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5BD115CC-7D0B-AD48-9011-F7CDA62D689F}"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T72" i="1"/>
  <c r="BT73" i="1"/>
  <c r="BT74" i="1"/>
  <c r="BF75" i="1"/>
  <c r="BT75" i="1"/>
  <c r="BF76" i="1"/>
  <c r="BT76" i="1"/>
  <c r="BF77" i="1"/>
  <c r="BT77"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T179" i="1"/>
  <c r="BF180" i="1"/>
  <c r="BT180" i="1"/>
  <c r="BF181" i="1"/>
  <c r="BT181"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T312" i="1"/>
  <c r="BF313" i="1"/>
  <c r="BT313" i="1"/>
  <c r="BF314" i="1"/>
  <c r="BT314" i="1"/>
  <c r="BF315" i="1"/>
  <c r="BT315" i="1"/>
  <c r="BF316" i="1"/>
  <c r="BT316" i="1"/>
  <c r="BF317" i="1"/>
  <c r="BT317"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T399" i="1"/>
  <c r="BF400" i="1"/>
  <c r="BT400" i="1"/>
  <c r="BF401" i="1"/>
  <c r="BT401" i="1"/>
  <c r="BF402" i="1"/>
  <c r="BT402" i="1"/>
  <c r="BF403" i="1"/>
  <c r="BT403" i="1"/>
  <c r="BF404" i="1"/>
  <c r="BT404" i="1"/>
  <c r="BF405" i="1"/>
  <c r="BT405" i="1"/>
  <c r="BF406" i="1"/>
  <c r="BT406" i="1"/>
  <c r="BF407" i="1"/>
  <c r="BT407" i="1"/>
  <c r="BF408" i="1"/>
  <c r="BT408" i="1"/>
  <c r="BF409" i="1"/>
  <c r="BT409"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T451"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T502" i="1"/>
  <c r="BT503" i="1"/>
  <c r="BT504" i="1"/>
  <c r="BT505" i="1"/>
  <c r="BT506" i="1"/>
  <c r="BT507" i="1"/>
  <c r="BT508" i="1"/>
  <c r="BT509"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T527" i="1"/>
  <c r="BT528" i="1"/>
  <c r="BT529" i="1"/>
  <c r="BF530" i="1"/>
  <c r="BT530" i="1"/>
  <c r="BF531" i="1"/>
  <c r="BT531" i="1"/>
  <c r="BF532" i="1"/>
  <c r="BT532"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T596" i="1"/>
  <c r="BF597" i="1"/>
  <c r="BT597" i="1"/>
  <c r="BF598" i="1"/>
  <c r="BT598" i="1"/>
  <c r="BT599" i="1"/>
  <c r="BF600" i="1"/>
  <c r="BT600" i="1"/>
  <c r="BF601" i="1"/>
  <c r="BT601" i="1"/>
  <c r="BF602" i="1"/>
  <c r="BT602" i="1"/>
  <c r="BF603" i="1"/>
  <c r="BT603" i="1"/>
  <c r="BF604" i="1"/>
  <c r="BT604"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T668"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T683"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T733" i="1"/>
  <c r="BF734" i="1"/>
  <c r="BT734" i="1"/>
  <c r="BF735" i="1"/>
  <c r="BT735" i="1"/>
  <c r="BF736" i="1"/>
  <c r="BT736" i="1"/>
  <c r="BF737" i="1"/>
  <c r="BT737" i="1"/>
  <c r="BF738" i="1"/>
  <c r="BT738" i="1"/>
  <c r="BT739" i="1"/>
  <c r="BF740" i="1"/>
  <c r="BT740" i="1"/>
  <c r="BF741" i="1"/>
  <c r="BT741" i="1"/>
  <c r="BF742" i="1"/>
  <c r="BT742" i="1"/>
  <c r="BF743" i="1"/>
  <c r="BT743" i="1"/>
  <c r="BF744" i="1"/>
  <c r="BT744" i="1"/>
  <c r="BT745" i="1"/>
  <c r="BT746" i="1"/>
  <c r="BT747" i="1"/>
  <c r="BT748" i="1"/>
  <c r="BT749" i="1"/>
  <c r="BT750" i="1"/>
  <c r="BT751" i="1"/>
  <c r="BT752" i="1"/>
  <c r="BT753" i="1"/>
  <c r="BT754" i="1"/>
  <c r="BT755" i="1"/>
  <c r="BF756" i="1"/>
  <c r="BT756" i="1"/>
  <c r="BF757" i="1"/>
  <c r="BT757"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T781" i="1"/>
  <c r="BF782" i="1"/>
  <c r="BT782" i="1"/>
  <c r="BF783" i="1"/>
  <c r="BT783" i="1"/>
  <c r="BT784" i="1"/>
  <c r="BT785" i="1"/>
  <c r="BT786" i="1"/>
  <c r="BT787" i="1"/>
  <c r="BF788" i="1"/>
  <c r="BT788" i="1"/>
  <c r="BT789" i="1"/>
  <c r="BF790" i="1"/>
  <c r="BT790" i="1"/>
  <c r="BF791" i="1"/>
  <c r="BT791" i="1"/>
  <c r="BF792" i="1"/>
  <c r="BT792" i="1"/>
  <c r="BF793" i="1"/>
  <c r="BT793" i="1"/>
  <c r="BF794" i="1"/>
  <c r="BT794" i="1"/>
  <c r="BF795" i="1"/>
  <c r="BT795" i="1"/>
  <c r="BT796" i="1"/>
  <c r="BT797" i="1"/>
  <c r="BT798" i="1"/>
  <c r="BT799" i="1"/>
  <c r="BT800" i="1"/>
  <c r="BT801" i="1"/>
  <c r="BT802" i="1"/>
  <c r="BT803" i="1"/>
  <c r="BF804" i="1"/>
  <c r="BT804" i="1"/>
  <c r="BF805" i="1"/>
  <c r="BT805" i="1"/>
  <c r="BF806" i="1"/>
  <c r="BT806" i="1"/>
  <c r="BF807" i="1"/>
  <c r="BT807" i="1"/>
  <c r="BF808" i="1"/>
  <c r="BT808" i="1"/>
  <c r="BF809" i="1"/>
  <c r="BT809" i="1"/>
  <c r="BF810" i="1"/>
  <c r="BT810" i="1"/>
  <c r="BT811" i="1"/>
  <c r="BF812" i="1"/>
  <c r="BT812" i="1"/>
  <c r="BT813" i="1"/>
  <c r="BT814" i="1"/>
  <c r="BT815" i="1"/>
  <c r="BT816" i="1"/>
  <c r="BF817" i="1"/>
  <c r="BT817" i="1"/>
  <c r="BF818" i="1"/>
  <c r="BT818" i="1"/>
  <c r="BT819" i="1"/>
  <c r="BF820" i="1"/>
  <c r="BT820" i="1"/>
  <c r="BT821" i="1"/>
  <c r="BF822" i="1"/>
  <c r="BT822" i="1"/>
  <c r="BF823" i="1"/>
  <c r="BT823" i="1"/>
  <c r="BF824" i="1"/>
  <c r="BT824" i="1"/>
  <c r="BT825" i="1"/>
  <c r="BF826" i="1"/>
  <c r="BT826" i="1"/>
  <c r="BT827" i="1"/>
  <c r="BT828" i="1"/>
  <c r="BF829" i="1"/>
  <c r="BT829" i="1"/>
  <c r="BF830" i="1"/>
  <c r="BT830" i="1"/>
  <c r="BT831" i="1"/>
  <c r="BT832" i="1"/>
  <c r="BF833" i="1"/>
  <c r="BT833" i="1"/>
  <c r="BT834" i="1"/>
  <c r="BT835" i="1"/>
  <c r="BT836" i="1"/>
  <c r="BF837" i="1"/>
  <c r="BT837" i="1"/>
  <c r="BT838" i="1"/>
  <c r="BF839" i="1"/>
  <c r="BT839" i="1"/>
  <c r="BF840" i="1"/>
  <c r="BT840"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T863"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T965" i="1"/>
  <c r="BF966" i="1"/>
  <c r="BT966" i="1"/>
  <c r="BF967" i="1"/>
  <c r="BT967" i="1"/>
  <c r="BF968" i="1"/>
  <c r="BT968" i="1"/>
  <c r="BF969" i="1"/>
  <c r="BT969" i="1"/>
  <c r="BF970" i="1"/>
  <c r="BT970" i="1"/>
  <c r="BF971" i="1"/>
  <c r="BT971" i="1"/>
  <c r="BT972" i="1"/>
  <c r="BT973" i="1"/>
  <c r="BF974" i="1"/>
  <c r="BT974" i="1"/>
  <c r="BF975" i="1"/>
  <c r="BT975" i="1"/>
  <c r="BF976" i="1"/>
  <c r="BT976" i="1"/>
  <c r="BT977" i="1"/>
  <c r="BF978" i="1"/>
  <c r="BT978" i="1"/>
  <c r="BF979" i="1"/>
  <c r="BT979" i="1"/>
  <c r="BF980" i="1"/>
  <c r="BT980" i="1"/>
  <c r="BF981" i="1"/>
  <c r="BT981" i="1"/>
  <c r="BF982" i="1"/>
  <c r="BT982" i="1"/>
  <c r="BT983"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T996" i="1"/>
  <c r="BT997" i="1"/>
  <c r="BT998" i="1"/>
  <c r="BT999" i="1"/>
  <c r="BT1000" i="1"/>
  <c r="BT1001" i="1"/>
</calcChain>
</file>

<file path=xl/sharedStrings.xml><?xml version="1.0" encoding="utf-8"?>
<sst xmlns="http://schemas.openxmlformats.org/spreadsheetml/2006/main" count="59612" uniqueCount="17580">
  <si>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</si>
  <si>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</si>
  <si>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</si>
  <si>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</si>
  <si>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</si>
  <si>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</si>
  <si>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</si>
  <si>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</si>
  <si>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</si>
  <si>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</si>
  <si>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</si>
  <si>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</si>
  <si>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</si>
  <si>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</si>
  <si>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</si>
  <si>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</si>
  <si>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</si>
  <si>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</si>
  <si>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</si>
  <si>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</si>
  <si>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</si>
  <si>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</si>
  <si>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</si>
  <si>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</si>
  <si>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</si>
  <si>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</si>
  <si>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</si>
  <si>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</si>
  <si>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</si>
  <si>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</si>
  <si>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</si>
  <si>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</si>
  <si>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</si>
  <si>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</si>
  <si>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</si>
  <si>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</si>
  <si>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</si>
  <si>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</si>
  <si>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</si>
  <si>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</si>
  <si>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</si>
  <si>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</si>
  <si>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</si>
  <si>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</si>
  <si>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</si>
  <si>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</si>
  <si>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</si>
  <si>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</si>
  <si>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</si>
  <si>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</si>
  <si>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</si>
  <si>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</si>
  <si>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</si>
  <si>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</si>
  <si>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</si>
  <si>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</si>
  <si>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</si>
  <si>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</si>
  <si>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</si>
  <si>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</si>
  <si>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</si>
  <si>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</si>
  <si>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</si>
  <si>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</si>
  <si>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</si>
  <si>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</si>
  <si>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</si>
  <si>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</si>
  <si>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</si>
  <si>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</si>
  <si>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</si>
  <si>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</si>
  <si>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</si>
  <si>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Casaux, R; Carlini, A; Corbalán, A; Bertolin, L; DiPrinzio, CY</t>
  </si>
  <si>
    <t/>
  </si>
  <si>
    <t>Casaux, R.; Carlini, A.; Corbalan, A.; Bertolin, L.; DiPrinzio, C. Y.</t>
  </si>
  <si>
    <t>The diet of the Weddell seal Leptonychotes weddellii at Laurie Island, South Orkney Islands</t>
  </si>
  <si>
    <t>POLAR BIOLOGY</t>
  </si>
  <si>
    <t>English</t>
  </si>
  <si>
    <t>Article</t>
  </si>
  <si>
    <t>Weddell seal; Diet; South Orkney Islands; Antarctica; Krill; Fish</t>
  </si>
  <si>
    <t>ARCTOCEPHALUS-GAZELLA; ANTARCTIC PENINSULA; DANCO COAST; PHALACROCORAX-BRANSFIELDENSIS; GEOGRAPHICAL VARIATION; POPULATION; PREY; SHAG; FOOD; BEHAVIOR</t>
  </si>
  <si>
    <t>The diet of the Weddell seal Leptonychotes weddellii at the South Orkney Islands was investigated by the analysis of 44 and 26 faecal samples collected from the beaches of Laurie Island from May 1999 to January 2000 and from October to December 2001, respectively. The diet was diverse and both pelagic and benthic-demersal organisms were represented in the samples. Fish were the most frequent prey of the samples in both seasons, and fish and krill were the most numerous prey items. Octopods predominated by mass in 1999, whereas krill constituted the bulk of the diet in 2001, a fact that was not observed previously. Among fish, Gobionotothen gibberifrons was largely the species that contributed mostly to the diet, whereas pelagic fish could not be identified in the samples. The results are compared with information from other study areas and discussed in relation to the consumption of krill.</t>
  </si>
  <si>
    <t>[Casaux, R.; Carlini, A.; Corbalan, A.] Inst Antartico Argentino, RA-1010 Buenos Aires, DF, Argentina; [Casaux, R.; Bertolin, L.; DiPrinzio, C. Y.] Consejo Nacl Invest Cient &amp; Tecn, RA-1033 Buenos Aires, DF, Argentina</t>
  </si>
  <si>
    <t>Instituto Antartico Argentino; Consejo Nacional de Investigaciones Cientificas y Tecnicas (CONICET)</t>
  </si>
  <si>
    <t>Casaux, R (corresponding author), Univ Nacl Patagonia San Juan Bosco, LIESA, Ruta 259 Km 5, RA-9200 Esquel, Chubut, Argentina.</t>
  </si>
  <si>
    <t>rcasaux@dna.gov.ar</t>
  </si>
  <si>
    <t>di prinzio, cecilia/0000-0002-3561-4307</t>
  </si>
  <si>
    <t>Laboratorio de Investigaciones en Ecologia y Sistematica Animal (LIESA) [43]</t>
  </si>
  <si>
    <t>Laboratorio de Investigaciones en Ecologia y Sistematica Animal (LIESA)</t>
  </si>
  <si>
    <t>We would like to express our gratitude to the members of the Administracion de Parques Nacionales R. Cerda, M. Gray, A. Sanchez and F. Ferioli for Weld assistance. We thank the members of Orcadas Station for their logistic support. This is the contribution to the Laboratorio de Investigaciones en Ecologia y Sistematica Animal (LIESA) No. 43.</t>
  </si>
  <si>
    <t>SPRINGER</t>
  </si>
  <si>
    <t>NEW YORK</t>
  </si>
  <si>
    <t>233 SPRING ST, NEW YORK, NY 10013 USA</t>
  </si>
  <si>
    <t>0722-4060</t>
  </si>
  <si>
    <t>POLAR BIOL</t>
  </si>
  <si>
    <t>Polar Biol.</t>
  </si>
  <si>
    <t>JUN</t>
  </si>
  <si>
    <t>10.1007/s00300-009-0583-8</t>
  </si>
  <si>
    <t>Biodiversity Conservation; Ecology</t>
  </si>
  <si>
    <t>Science Citation Index Expanded (SCI-EXPANDED)</t>
  </si>
  <si>
    <t>Biodiversity &amp; Conservation; Environmental Sciences &amp; Ecology</t>
  </si>
  <si>
    <t>445LJ</t>
  </si>
  <si>
    <t>2024-04-21</t>
  </si>
  <si>
    <t>WOS:000266052000002</t>
  </si>
  <si>
    <t>de Skowronski, RSP; Gheller, PF; Bromberg, S; David, CJ; Petti, MAV; Corbisier, TN</t>
  </si>
  <si>
    <t>de Skowronski, Rodrigo S. P.; Gheller, Paula F.; Bromberg, Sandra; David, Carlos J.; Petti, Monica A. V.; Corbisier, Thais N.</t>
  </si>
  <si>
    <t>Distribution of microphytobenthic biomass in Martel Inlet, King George Island (Antarctica)</t>
  </si>
  <si>
    <t>Microphytobenthos; Chlorophyll a; Phaeopigments; Nearshore sediments; King George Island; Antarctica</t>
  </si>
  <si>
    <t>SOUTH-SHETLAND-ISLANDS; WATER MARINE HABITATS; ADMIRALTY BAY; BENTHIC MICROALGAE; ECOLOGICAL ROLE; NEARSHORE ZONE; MCMURDO-SOUND; SECRET GARDEN; INDIAN-OCEAN; SIGNY ISLAND</t>
  </si>
  <si>
    <t>The spatial and temporal variation of microphytobenthic biomass in the nearshore zone of Martel Inlet (King George Island, Antarctica) was estimated at several sites and depths (10-60 m), during three summer periods (1996/1997, 1997/1998, 2004/2005). The mean values were inversely related to the bathymetric gradient: higher ones at 10-20 m depth (136.2 +/- A 112.5 mg Chl a m(-2), 261.7 +/- A 455.9 mg Phaeo m(-2)), intermediate at 20-30 m (55.6 +/- A 39.5 mg Chl a m(-2), 108.8 +/- A 73.0 mg Phaeo m(-2)) and lower ones at 40-60 m (22.7 +/- A 23.7 mg Chl a m(-2), 58.3 +/- A 38.9 mg Phaeo m(-2)). There was also a reduction in the Chl a/Phaeo ratio with depth, from 3.2 +/- A 3.2 (10-20 m) to 0.7 +/- A 1.0 (40-60 m), showing a higher contribution of senescent phytoplankton and/or macroalgae debris at the deeper sites and the limited light flux reaching the bottom. Horizontal differences found in the biomass throughout the inlet could not be clearly related to hydrodynamics or proximity to glaciers, but with sediment characteristics. An inter-summer variation was observed: the first summer presented the highest microphytobenthic biomass apparently related to more hydrodynamic conditions, which causes the deposition of allochthonous material.</t>
  </si>
  <si>
    <t>[Gheller, Paula F.; Bromberg, Sandra; Petti, Monica A. V.; Corbisier, Thais N.] Univ Sao Paulo, Inst Oceanog, BR-05508900 Sao Paulo, Brazil; [de Skowronski, Rodrigo S. P.] Pi r2 Consultoria Ambiental, BR-22210030 Rio De Janeiro, Brazil; [David, Carlos J.] UNINOVE, Ctr Univ Nove Julho, BR-05001100 Sao Paulo, Brazil</t>
  </si>
  <si>
    <t>Universidade de Sao Paulo; Universidade Nove de Julho</t>
  </si>
  <si>
    <t>Corbisier, TN (corresponding author), Univ Sao Paulo, Inst Oceanog, BR-05508900 Sao Paulo, Brazil.</t>
  </si>
  <si>
    <t>tncorbis@usp.br</t>
  </si>
  <si>
    <t>Petti, Monica A V/S-6367-2016; Corbisier, Thais N./R-8255-2017; Bromberg, Sandra/S-6266-2016</t>
  </si>
  <si>
    <t>Interministerial Secretary for the Sea Resources (SeCIRM); Brazilian Ministry of Environment (MMA); National Research Council (CNPq); Brazilian Antarctic Program (PROANTAR)</t>
  </si>
  <si>
    <t>Interministerial Secretary for the Sea Resources (SeCIRM); Brazilian Ministry of Environment (MMA); National Research Council (CNPq)(Conselho Nacional de Desenvolvimento Cientifico e Tecnologico (CNPQ)); Brazilian Antarctic Program (PROANTAR)</t>
  </si>
  <si>
    <t>We would like to thank the staff of the Brazilian Antarctic Station Comandante Ferraz for the logistical support; the financial support provided by the Interministerial Secretary for the Sea Resources (SeCIRM), the Brazilian Ministry of Environment (MMA), and the National Research Council (CNPq), under the scope of the Brazilian Antarctic Program (PROANTAR). We extend our thanks to the Oceanographic Institute of the University of Sao Paulo; to Sao Paulo State Research Foundation (FAPESP) and CNPq for the provided scholarships. We are also grateful to the Geology Laboratories from the Oceanographic Institute of University of Sao Paulo, and from Santa Ursula University (Rio de Janeiro), for the sediment analysis, and to Dr. Sabine Schultes for the English review. Special thanks to Dr. Lucia Campos, coordinator of Benthos Project (GEAMB), for her helpful collaboration in the sampling of the monitoring program. We are grateful for two anonymous referees for their contribution in improving an early version of the manuscript.</t>
  </si>
  <si>
    <t>1432-2056</t>
  </si>
  <si>
    <t>10.1007/s00300-009-0584-7</t>
  </si>
  <si>
    <t>WOS:000266052000003</t>
  </si>
  <si>
    <t>Chong, CW; Tan, GYA; Wong, RCS; Riddle, MJ; Tan, IKP</t>
  </si>
  <si>
    <t>Chong, C. W.; Tan, G. Y. Annie; Wong, Richard C. S.; Riddle, Martin J.; Tan, Irene K. P.</t>
  </si>
  <si>
    <t>DGGE fingerprinting of bacteria in soils from eight ecologically different sites around Casey Station, Antarctica</t>
  </si>
  <si>
    <t>Antarctica; Soil bacterial community; DGGE; Environmental factors</t>
  </si>
  <si>
    <t>HEAVY-METAL CONTAMINATION; COMMUNITY STRUCTURE; MICROBIAL BIOMASS; MARINE-SEDIMENTS; DIVERSITY; CLASSIFICATION; CONSTRAINTS; REGION; ISLAND; LAKE</t>
  </si>
  <si>
    <t>Bacterial community structures in soils collected from eight sites around Casey Station, Antarctica, were investigated using denaturing gradient gel electrophoresis (DGGE) of amplified 16S rRNA gene fragments. Higher bacterial diversity was found in soils from protected or relatively low human-impacted sites in comparison to highly impacted sites. However, the highest diversity was detected in samples from Wilkes Tip, a former waste disposal site that has been undisturbed for the last 50 years. Comparison of community structure based on non-metric multidimensional scaling plots revealed that all sites, except the hydrocarbon-contaminated (oil spill) site, were clustered with a 45% similarity. A total of 23 partial 16S rRNA gene sequences were obtained from the excised DGGE bands, with the majority of the sequences closely related to those of the Cytophaga-Flexibacter-Bacteroides group. No significant correlation was established between environmental variables, including soil pH, electrical conductivity, carbon, nitrogen, water content and heavy metals, with bacterial diversity across the eight study sites.</t>
  </si>
  <si>
    <t>[Chong, C. W.; Tan, G. Y. Annie; Tan, Irene K. P.] Univ Malaya, Inst Biol Sci, Fac Sci, Kuala Lumpur 50603, Malaysia; [Wong, Richard C. S.] Univ Malaya, Dept Chem, Fac Sci, Kuala Lumpur 50603, Malaysia; [Riddle, Martin J.] Australian Antarctic Div, Kingston, Tas 7050, Australia</t>
  </si>
  <si>
    <t>Universiti Malaya; Universiti Malaya; Australian Antarctic Division</t>
  </si>
  <si>
    <t>Chong, CW (corresponding author), Univ Malaya, Inst Biol Sci, Fac Sci, Kuala Lumpur 50603, Malaysia.</t>
  </si>
  <si>
    <t>cchhoonngg81@yahoo.com</t>
  </si>
  <si>
    <t>Tan, Geok Yuan Annie/B-7996-2009; WONG, RICHARD/C-1045-2010; Tan, Irene Kit Ping/B-8661-2010; Chong, Chun Wie/ABG-7676-2020</t>
  </si>
  <si>
    <t>WONG, RICHARD/0000-0003-0497-7049; Tan, Irene Kit Ping/0000-0001-9601-5810; Chong, Chun Wie/0000-0002-6881-8883</t>
  </si>
  <si>
    <t>Ministry of Science, Technology and Innovation; University of Malaya [PPP: PS063-2007B]</t>
  </si>
  <si>
    <t>Ministry of Science, Technology and Innovation(Ministry of Energy, Science, Technology, Environment and Climate Change (MESTECC), Malaysia); University of Malaya(Universiti Malaya)</t>
  </si>
  <si>
    <t>This study was conducted under the auspices of the Malaysian Antarctic Research Programme, which is governed by the Academy of Sciences Malaysia. It was funded by the Ministry of Science, Technology and Innovation and the University of Malaya (PPP: PS063-2007B). The Australian Antarctic Division supported the expedition to Casey Station where Weld guidance and laboratory facilities were provided for collection and storage of soil samples.</t>
  </si>
  <si>
    <t>ONE NEW YORK PLAZA, SUITE 4600, NEW YORK, NY, UNITED STATES</t>
  </si>
  <si>
    <t>10.1007/s00300-009-0585-6</t>
  </si>
  <si>
    <t>WOS:000266052000004</t>
  </si>
  <si>
    <t>Santin-Janin, H; Garel, M; Chapuis, JL; Pontier, D</t>
  </si>
  <si>
    <t>Santin-Janin, H.; Garel, M.; Chapuis, J. -L.; Pontier, D.</t>
  </si>
  <si>
    <t>Assessing the performance of NDVI as a proxy for plant biomass using non-linear models: a case study on the Kerguelen archipelago</t>
  </si>
  <si>
    <t>Generalized non-linear model; Negative binomial distribution; NDVI; Predictive model; Sub-antarctic; Validation study; Vegetation biomass</t>
  </si>
  <si>
    <t>VEGETATION INDEX; INTERCEPT METHOD; AVHRR; GRASSLANDS; GROWTH; LENGTH; DEER; HETEROGENEITY; PRODUCTIVITY; REFLECTANCE</t>
  </si>
  <si>
    <t>Numerous ecological studies, including of the polar environment, are now using the remotely sensed normalized difference vegetation index (NDVI, e.g. PAL-NDVI or MODIS-NDVI) as a proxy of vegetation productivity rather than performing direct vegetation assessments. Even though previous data strongly suggested a saturation of NDVI at high biomass values, few studies have explicitly included this characteristic in the modelling process. Here, we developed a generalized non-linear model to explicitly model the relationship between temporal variations of NDVI (Pathfinder AVHRR Land 8 km dataset) and empirical field data. We illustrated our approach on the Kerguelen archipelago by using a green biomass index (point-intercept protocol) sampled at a small scale relative to PAL-NDVI data, and in presence of spatial (water) and temporal (cloud contamination, snow) heterogeneity, i.e. field conditions encountered in many ecological studies. We showed a strong relationship (r (pred.obs) = 0.89 [0.77; 0.95](95%)) between this index and the seasonal component of NDVI time series (NDVIcomp). Despite the absence of lignified species in the stand, the NDVIcomp reached an asymptote (0.54 +/- 0.05) for high values of green biomass index stressing the need to account for non-linearity when relating NDVI and plant measurements. We provided here a new methodological framework to standardize comparisons between studies assessing performance of NDVI as a proxy of vegetation data.</t>
  </si>
  <si>
    <t>[Santin-Janin, H.; Garel, M.; Pontier, D.] Univ Lyon 1, Univ Lyon, CNRS, Lab Biometrie &amp; Biol Evolut,UMR 5558, F-69622 Villeurbanne, France; [Garel, M.] Ctr Natl Etud &amp; Rech Appl Faune Montagne, Off Natl Chasse &amp; Faune Sauvage, F-34098 Montpellier 05, France; [Chapuis, J. -L.] MNHN CNRS P6, Dept Ecol &amp; Gest Biodiversite, UMR 5173, F-75005 Paris, France</t>
  </si>
  <si>
    <t>Centre National de la Recherche Scientifique (CNRS); CNRS - Institute of Ecology &amp; Environment (INEE); VetAgro Sup; Universite Claude Bernard Lyon 1; Museum National d'Histoire Naturelle (MNHN)</t>
  </si>
  <si>
    <t>Santin-Janin, H (corresponding author), Univ Lyon 1, Univ Lyon, CNRS, Lab Biometrie &amp; Biol Evolut,UMR 5558, 43 Blvd 11 Novembre 1918, F-69622 Villeurbanne, France.</t>
  </si>
  <si>
    <t>hugues.sj@biomserv.univ-lyon1.fr</t>
  </si>
  <si>
    <t>Pontier, Dominique/0000-0003-4700-3543</t>
  </si>
  <si>
    <t>French Polar Institute Paul-Emile Victor (IPEV)</t>
  </si>
  <si>
    <t>We thank the French Polar Institute Paul-Emile Victor (IPEV) for financial support (programmes 279 and 136). Many thanks are due to J.-M. Gaillard, P. Aubry, R. Ecochard, M.-L. Delignette-Muller, I. Herfindal, J.-D. Lebreton, A. Avril and S. Hamel for their helpful suggestions on an earlier version of the manuscript. We also thank N. G. Yoccoz, S. Ryan and one anonymous referee for their comments that greatly improve the manuscript.</t>
  </si>
  <si>
    <t>10.1007/s00300-009-0586-5</t>
  </si>
  <si>
    <t>WOS:000266052000005</t>
  </si>
  <si>
    <t>Matallanas, J</t>
  </si>
  <si>
    <t>Matallanas, J.</t>
  </si>
  <si>
    <t>Description of a new genus and species of zoarcid fish, Bellingshausenia olasoi, from the Bellingshausen Sea (Southern Ocean)</t>
  </si>
  <si>
    <t>Taxonomy; Pisces; Zoarcidae; Bellingshausen Sea; Antarctica</t>
  </si>
  <si>
    <t>A new genus and species of zoarcid fish, Bellingshausenia olasoi, is described on the basis of five specimens collected from the Bellingshausen Sea, Southern Ocean, at depths of 602-615 m. Bellingshausenia is a lycodine that can be distinguished from all other zoarcid genera by the following combination of characters: seven branchiostegal rays, scapular foramen open, cranium narrowed, smooth ceratohyal-epihyal articulation, palatal arch well developed, supratemporal commissure and occipital pores absent, intercalar reduced and displaced backward and parasphenoid wing high. The relationships of the new genus are discussed.</t>
  </si>
  <si>
    <t>Univ Autonoma Barcelona, Fac Biociencias, Unidad Zool, Grp Biodiversidad Anim, E-08193 Barcelona, Spain</t>
  </si>
  <si>
    <t>Autonomous University of Barcelona</t>
  </si>
  <si>
    <t>Matallanas, J (corresponding author), Univ Autonoma Barcelona, Fac Biociencias, Unidad Zool, Grp Biodiversidad Anim, E-08193 Barcelona, Spain.</t>
  </si>
  <si>
    <t>Jesus.Matallanas@uab.es</t>
  </si>
  <si>
    <t>Ministerio de Educacion y Ciencia, Spain: Estudio taxonomico de los Zoarcidae (Teleostei: Perciformes) del Mar de Bellingshausen (Oceano Antartico) [CLG2007-28861-E/ANT]</t>
  </si>
  <si>
    <t>Ministerio de Educacion y Ciencia, Spain: Estudio taxonomico de los Zoarcidae (Teleostei: Perciformes) del Mar de Bellingshausen (Oceano Antartico)(Spanish Government)</t>
  </si>
  <si>
    <t>I thank the scientific team, the captain, the crew and the UTM technicians of the B.I.O. HESPERIDES for their help during the BENTART-03 cruise, from which the specimens were captured. Special thanks to Jose Castro Cordoba for his expertise in fishing with the traps, and to Dr. Ignacio Olaso for helping me on board with the collection of the type specimens. I am also grateful to Carmen Benito (manageress, Servei de Radioisotops, Facultat de Biologia, Universitat de Barcelona, Spain) for the X-rays and to Jordi Corbera for the illustrations. I thank my daughter Muriel for the English revision of the manuscript. The manuscript also benefited from the constructive criticism by the referees (Dr. M. Eric Anderson, Dr. Atila Esteban Gosztonyi, and a third anonymous referee). The BENTART-03 cruise was supported by the Spanish Antarctic Programme (CICYT). This study was supported by a personal grant from the Ministerio de Educacion y Ciencia, Spain: Estudio taxonomico de los Zoarcidae (Teleostei: Perciformes) del Mar de Bellingshausen (Oceano Antartico) (CLG2007-28861-E/ANT).</t>
  </si>
  <si>
    <t>10.1007/s00300-009-0588-3</t>
  </si>
  <si>
    <t>WOS:000266052000006</t>
  </si>
  <si>
    <t>Becquevort, S; Dumont, I; Tison, JL; Lannuzel, D; Sauvee, ML; Chou, L; Schoemann, V</t>
  </si>
  <si>
    <t>Becquevort, S.; Dumont, I.; Tison, J. -L.; Lannuzel, D.; Sauvee, M. -L.; Chou, L.; Schoemann, V.</t>
  </si>
  <si>
    <t>Biogeochemistry and microbial community composition in sea ice and underlying seawater off East Antarctica during early spring</t>
  </si>
  <si>
    <t>Review</t>
  </si>
  <si>
    <t>Sea ice; Brine volume fraction; Nutrients; Organic carbon; Sympagic organisms</t>
  </si>
  <si>
    <t>TRANSPARENT EXOPOLYMER PARTICLES; DISSOLVED ORGANIC-MATTER; OCEAN CARBON-CYCLE; WEDDELL SEA; MACKENZIE SHELF; MCMURDO-SOUND; PACK ICE; BACTERIAL-ACTIVITY; SIZE DISTRIBUTION; HIGH-RESOLUTION</t>
  </si>
  <si>
    <t>Pack ice, brines and seawaters were sampled in October 2003 in the East Antarctic sector to investigate the structure of the microbial communities (algae, bacteria and protozoa) in relation to the associated physico-chemical conditions (ice structure, temperature, salinity, inorganic nutrients, chlorophyll a and organic matter). Ice cover ranged between 0.3 and 0.8 m, composed of granular and columnar ice. The brine volume fractions sharply increased above -4A degrees C in the bottom ice, coinciding with an important increase of algal biomass (up to 3.9 mg C l(-1)), suggesting a control of the algae growth by the space availability at that period of time. Large accumulation of NH4 (+) and PO4 (3-) was observed in the bottom ice. The high pool of organic matter, especially of transparent exopolymeric particles, likely led to nutrients retention and limitation of the protozoa grazing pressure, inducing therefore an algal accumulation. In contrast, the heterotrophs dominated in the underlying seawaters.</t>
  </si>
  <si>
    <t>[Becquevort, S.; Lannuzel, D.; Sauvee, M. -L.; Chou, L.] Univ Libre Bruxelles, Fac Sci, Lab Oceanog Chim &amp; Geochim Eaux, B-1050 Brussels, Belgium; [Tison, J. -L.] Univ Libre Bruxelles, Fac Sci, Unite Glaciol, B-1050 Brussels, Belgium</t>
  </si>
  <si>
    <t>Universite Libre de Bruxelles; Universite Libre de Bruxelles</t>
  </si>
  <si>
    <t>Becquevort, S (corresponding author), Univ Libre Bruxelles, Fac Sci, Lab Oceanog Chim &amp; Geochim Eaux, Campus Plaine,CP221,Bd Triomphe,CP 208, B-1050 Brussels, Belgium.</t>
  </si>
  <si>
    <t>sbecq@ulb.ac.be</t>
  </si>
  <si>
    <t>Tison, Jean-Louis/F-4065-2015; lannuzel, delphine/J-7937-2014</t>
  </si>
  <si>
    <t>Tison, Jean-Louis/0000-0002-9758-3454; lannuzel, delphine/0000-0001-6154-1837</t>
  </si>
  <si>
    <t>Belgian French Community [2/07-287]; Belgian Federal Science Policy Office [SD/CA/03AB]; European Network of Excellence EUR-OCEANS [511106-2]; Integrated Project CarboOcean [511176-2]; FRIA (Fonds pour la Recherche en Industries Agronomiques)</t>
  </si>
  <si>
    <t>Belgian French Community; Belgian Federal Science Policy Office(Belgian Federal Science Policy Office); European Network of Excellence EUR-OCEANS; Integrated Project CarboOcean; FRIA (Fonds pour la Recherche en Industries Agronomiques)(Fonds de la Recherche Scientifique - FNRS)</t>
  </si>
  <si>
    <t>The authors would like to thank the Australian Antarctic Division, especially Ian Allison (Expedition Leader) and Rob Massom (Chief Scientist), for their invitation to participate in the ARISE in the East'' endeavor. We are also grateful to the captain and crew of the RV Aurora Australis for their logistic assistance throughout the duration of the cruise. Special thanks are due to Anne Trevena for her great help in organizing the cruise, ice core sub-sampling and salinity measurements. The support from Bruno Delille for field assistance is greatly acknowledged. This work was funded by the Belgian French Community (ARC contract no. 2/07-287) and by the Belgian Federal Science Policy Office (contracts SD/CA/03A&amp;B). This is also a contribution to the European Network of Excellence EUR-OCEANS (contract no. 511106-2) and Integrated Project CarboOcean (contract no. 511176-2). The present study is a Belgian input to the SOLAS international research initiative. I. Dumont benefits from a FRIA (Fonds pour la Recherche en Industries Agronomiques) PhD grant.</t>
  </si>
  <si>
    <t>10.1007/s00300-009-0589-2</t>
  </si>
  <si>
    <t>WOS:000266052000007</t>
  </si>
  <si>
    <t>López-González, PJ; Gili, JM; Fuentes, V</t>
  </si>
  <si>
    <t>Lopez-Gonzalez, Pablo J.; Gili, Josep-Maria; Fuentes, Veronica</t>
  </si>
  <si>
    <t>A new species of shallow-water sea pen (Octocorallia: Pennatulacea: Kophobelemnidae) from Antarctica</t>
  </si>
  <si>
    <t>Antarctica; Sea pen; Pennatulacea; Octocorallia; Malacobelemnon; New species</t>
  </si>
  <si>
    <t>GENUS CAVERNULARIA; ATLANTIC; ANTHOZOA</t>
  </si>
  <si>
    <t>The pennatulacean genus Malacobelemnon has previously been considered to be distributed in the Western Indian and western Pacific Oceans, with one described species and another possible undescribed species from South Africa. An undescribed shallow-water species attributable to this Kophobelemnidae genus has been collected from the Antarctic region (King George, South Shetland Islands). The present paper reports this discovery, providing the description and illustrations of the new species, Malacobelemnon daytoni n. sp. Some of the characters previously considered in the genus Malacobelemnon should be slightly modified to include the new Antarctic species. The general colony shape, the distribution of siphonozooids, number of longitudinal autozooids rows, and the length and shape of the section of axis are the main characters used to distinguish the new species from the other in the genus M. stephensoni Tixier-Durivault 1965. From a bathymetric point of view, Malacobelemnon daytoni n. sp. is one of the shallowest pennatulacean species recorded, being an important contribution to the shallow-water Antarctic fauna.</t>
  </si>
  <si>
    <t>[Lopez-Gonzalez, Pablo J.] Univ Seville, Fac Biol, Dept Fisiol &amp; Zool, E-41012 Seville, Spain; [Gili, Josep-Maria; Fuentes, Veronica] CMIMA CSIC, Inst Ciencias Mar, Dept Biol Marina &amp; Oceanog, Barcelona 08003, Spain</t>
  </si>
  <si>
    <t>University of Sevilla; Consejo Superior de Investigaciones Cientificas (CSIC); CSIC - Centro Mediterraneo de Investigaciones Marinas y Ambientales (CMIMA); CSIC - Instituto de Ciencias del Mar (ICM)</t>
  </si>
  <si>
    <t>López-González, PJ (corresponding author), Univ Seville, Fac Biol, Dept Fisiol &amp; Zool, E-41012 Seville, Spain.</t>
  </si>
  <si>
    <t>pjlopez@us.es; gili@cmima.csic.es; vfuentes@cmima.csic.es</t>
  </si>
  <si>
    <t>Lopez-González, Pablo J./Y-6440-2018; Fuentes, Verónica L/K-7589-2014</t>
  </si>
  <si>
    <t>Lopez-González, Pablo J./0000-0002-7348-6270; Fuentes, Verónica L/0000-0002-6380-0174</t>
  </si>
  <si>
    <t>10.1007/s00300-009-0591-8</t>
  </si>
  <si>
    <t>WOS:000266052000009</t>
  </si>
  <si>
    <t>Carlini, AR; Negrete, J; Daneri, GA; Rogers, T; Marquez, MEI; Ciaglia, M; Mennucci, JA</t>
  </si>
  <si>
    <t>Carlini, A. R.; Negrete, J.; Daneri, G. A.; Rogers, T.; Marquez, M. E. I.; Ciaglia, M.; Mennucci, J. A.</t>
  </si>
  <si>
    <t>Immobilization of adult male southern elephant seals (Mirounga leonina) during the breeding and molting periods using a tiletamine/zolazepam mixture and ketamine</t>
  </si>
  <si>
    <t>Anesthesia; Southern elephant seal; Tiletamine-zolazepam; Chemical restraint; Ketamine</t>
  </si>
  <si>
    <t>ANTARCTIC FUR SEALS; CHEMICAL RESTRAINT; FIELD IMMOBILIZATION; DRUG-COMBINATIONS; XYLAZINE; ZOLAZEPAM; DIAZEPAM; ANESTHESIA; SIZE; MASS</t>
  </si>
  <si>
    <t>Seventy-seven immobilizations were carried out on adult male southern elephant seals at Stranger Point, Isla 25 de Mayo (King George Island) using a combination of Zoletil(A (R)) (tiletamine and zolazepam) and ketamine in order to obtain biological samples. During 2006/2007, 22 males were immobilized at the beginning of their breeding period (EB), 19 of which were recaptured at the end of breeding (LB). Four were given only once at an unknown stage of breeding (USB) and 18 males were immobilized at the beginning of molting (BM). During 2007/2008, 14 adult males were immobilized at an USB. Zoletil(A (R)) was administered using an automatic discharge device, whereas ketamine was injected directly with a syringe, and was used only when the initial sedation was not enough to carry out the programmed sampling. The initial mean dose of Zoletil(A (R)) was 1,387 +/- A 304 mg, which represented 0.60 +/- A 0.14 mg/kg, range 0.36-1.05, n = 77. In 47 procedures, an average dose of 1.04 +/- A 0.66 mg/kg of ketamine was added. Mean immobilization time was 34 +/- A 14 min. In 25 out of the 77 procedures, males showed apnea, which lasted 8 +/- A 4 min (range 2-15 min). The necessary doses of Zoletil(A (R)) and ketamine to attain immobilization differed between stages. For animals taken twice, doses (mg/kg) of Zoletil(A (R)) and ketamine were significantly higher at the beginning than at the end of breeding. During molting, the doses of Zoletil(A (R)) given were significantly lower than those used during breeding, although the proportion of animals that required ketamine during molting was significantly higher than during breeding. Zoletil(A (R)) proved to be a safe immobilizing agent for field work on adult males of this species, given the wide range of doses used without any serious consequences. Furthermore, the addition of ketamine was useful when the initial sedation was not satisfactory or for prolonging the immobilization period in a practical and reliable way.</t>
  </si>
  <si>
    <t>[Carlini, A. R.; Negrete, J.; Marquez, M. E. I.; Mennucci, J. A.] Inst Antartico Argentino, RA-1248 Buenos Aires, DF, Argentina; [Negrete, J.] Comis Invest Cient &amp; Tecnol CONICET, Buenos Aires, DF, Argentina; [Daneri, G. A.] Museo Argentino Cs Nat B Rivadavia, Buenos Aires, DF, Argentina; [Rogers, T.; Ciaglia, M.] Univ New S Wales, Sch BEES, Evolut &amp; Ecol Res Ctr, Sydney, NSW, Australia</t>
  </si>
  <si>
    <t>Instituto Antartico Argentino; Comision de Investigaciones Cientificas; Consejo Nacional de Investigaciones Cientificas y Tecnicas (CONICET); University of New South Wales Sydney</t>
  </si>
  <si>
    <t>Carlini, AR (corresponding author), Inst Antartico Argentino, Cerrito 1248 C1010 AAZ, RA-1248 Buenos Aires, DF, Argentina.</t>
  </si>
  <si>
    <t>acarlini@dna.gov.ar</t>
  </si>
  <si>
    <t>Rogers, Tracey L/C-3419-2008</t>
  </si>
  <si>
    <t>Rogers, Tracey/0000-0002-7141-4177; Negrete, Javier/0000-0001-6853-8307</t>
  </si>
  <si>
    <t>Direccion Nacional del Antartico; Agencia Nacional de Promocion Cientifica y Tecnologica [36054]; Winnifred Violet Scott Foundation</t>
  </si>
  <si>
    <t>Direccion Nacional del Antartico; Agencia Nacional de Promocion Cientifica y Tecnologica(ANPCyTSpanish Government); Winnifred Violet Scott Foundation</t>
  </si>
  <si>
    <t>The studies on southern elephant seals on Isla 25 de Mayo were part of an Argentinean-Australian collaboration project. We received financial support from the Direccion Nacional del Antartico, the Agencia Nacional de Promocion Cientifica y Tecnologica (Grant: PICTO no. 36054) and the Winnifred Violet Scott Foundation. The procedures on southern elephant seals were approved by the Direccion Nacional del Antartico (environmental office). We want to thank Dr. Marthan Bester and two anonymous reviewers for their helpful comments to improve the manuscript. We are grateful to W. Coppola, M. Gasco, I. Gould, F. Galliari, H. Merlo Alvarez and M. Santos for their cooperation.</t>
  </si>
  <si>
    <t>10.1007/s00300-009-0592-7</t>
  </si>
  <si>
    <t>Green Published</t>
  </si>
  <si>
    <t>WOS:000266052000010</t>
  </si>
  <si>
    <t>Schiaffino, MR; Unrein, F; Gasol, JM; Farias, ME; Estevez, C; Balague, V; Izaguirre, I</t>
  </si>
  <si>
    <t>Schiaffino, M. Romina; Unrein, Fernando; Gasol, Josep M.; Farias, Maria E.; Estevez, Cristina; Balague, Vanessa; Izaguirre, Irina</t>
  </si>
  <si>
    <t>Comparative analysis of bacterioplankton assemblages from maritime Antarctic freshwater lakes with contrasting trophic status</t>
  </si>
  <si>
    <t>Maritime Antarctic lakes; Bacterioplankton; 16S rRNA gene; Denaturing gradient gel electrophoresis; Hope Bay (Antarctic Peninsula); Potter Peninsula (King George Island)</t>
  </si>
  <si>
    <t>GRADIENT GEL-ELECTROPHORESIS; COMMUNITY STRUCTURE; SP NOV.; MICROBIAL DIVERSITY; HOPE BAY; PLANKTONIC COMMUNITIES; PHYTOPLANKTON; DGGE; STABILITY; DYNAMICS</t>
  </si>
  <si>
    <t>The bacterioplankton assemblages of eight maritime Antarctic lakes with a wide range of trophic status and geographic span (six lakes from Hope Bay, Antarctic Peninsula and two from Potter Peninsula, King George Island) were described using denaturing gradient gel electrophoresis and band sequencing during two consecutive austral summers (2003-2004). Analyses of the gels identified a total of 230 bands spread across 57 different positions. Among those bands, 14 were shared between lakes from Hope Bay and Potter Peninsula, 17 were observed only in particular lakes, and 17 were registered both years in the same lake. We successfully reamplified and sequenced 43 bands located in 36 different positions belonging to Bacteroidetes, Actinobacteria, Betaproteobacteria and Cyanobacteria. The closest matches for 63% of the sequenced bands were from Antarctic or from other cold environment clones and sequences already in the databases, suggesting the widespread dominance of microbial communities adapted to cold habitats. The results of the multivariate analyses (Cluster Analysis and CCA) indicated that the nutrient status of the lake influences the bacterioplankton assemblages.</t>
  </si>
  <si>
    <t>[Schiaffino, M. Romina; Izaguirre, Irina] Univ Buenos Aires, Fac Ciencias Exactas &amp; Nat, Dept Ecol Genet &amp; Evoluc, Buenos Aires, DF, Argentina; [Unrein, Fernando; Farias, Maria E.; Izaguirre, Irina] Consejo Nacl Invest Cient &amp; Tecn, RA-1033 Buenos Aires, DF, Argentina; [Unrein, Fernando] IIB INTECH, Chascomus, Argentina; [Gasol, Josep M.; Balague, Vanessa] Inst Ciencias Mar CSIC, Dept Biol Marina Oceanog, Barcelona, Catalonia, Spain; [Farias, Maria E.; Estevez, Cristina] PROIMI CONICET Planta Piloto Proc Ind Microbiol, San Miguel De Tucuman, Argentina</t>
  </si>
  <si>
    <t>University of Buenos Aires; Consejo Nacional de Investigaciones Cientificas y Tecnicas (CONICET); Consejo Superior de Investigaciones Cientificas (CSIC); CSIC - Centro Mediterraneo de Investigaciones Marinas y Ambientales (CMIMA); CSIC - Instituto de Ciencias del Mar (ICM); Consejo Nacional de Investigaciones Cientificas y Tecnicas (CONICET)</t>
  </si>
  <si>
    <t>Izaguirre, I (corresponding author), Univ Buenos Aires, Fac Ciencias Exactas &amp; Nat, Dept Ecol Genet &amp; Evoluc, Buenos Aires, DF, Argentina.</t>
  </si>
  <si>
    <t>iri@ege.fcen.uba.ar</t>
  </si>
  <si>
    <t>; Gasol, Josep M/B-1709-2008</t>
  </si>
  <si>
    <t>Unrein, Fernando/0000-0002-8592-1858; Balague, Vanessa/0000-0001-6813-8207; Schiaffino, Maria Romina/0000-0002-9383-2003; Gasol, Josep M/0000-0001-5238-2387</t>
  </si>
  <si>
    <t>Instituto Antartico Argentino (DNA); Argentinean Funds for Technical and Scientific Investigation (FONCYT) [PICT 04440, PICT 32732]; MIXANTAR [REN2002-11396-E/ANT]; MICRODIFF [DGICYT REN2001-2120/MAR]; Spanish MECyD [SB2001-0166]</t>
  </si>
  <si>
    <t>Instituto Antartico Argentino (DNA); Argentinean Funds for Technical and Scientific Investigation (FONCYT)(FONCyT); MIXANTAR; MICRODIFF; Spanish MECyD</t>
  </si>
  <si>
    <t>The Antarctic expeditions were supported by the Instituto Antartico Argentino (DNA), in the framework of a cooperative project between this institution, UBA and ICM-CSIC. This work was financed by grants of the Argentinean Funds for Technical and Scientific Investigation (FONCYT, PICT 04440 and PICT 32732), and by the Spanish projects MIXANTAR (REN2002-11396-E/ANT) and MICRODIFF (DGICYT REN2001-2120/MAR) grant SB2001-0166 from the Spanish MECyD. We wish to thank the members of the Esperanza Station for the logistic support, P. Rodriguez and E. Moreno-Diaz for their assistance with the Weld work, and Dr. Ramon Massana for general support. We also thank the reviewers for their valuable suggestions on the manuscript.</t>
  </si>
  <si>
    <t>10.1007/s00300-009-0593-6</t>
  </si>
  <si>
    <t>WOS:000266052000011</t>
  </si>
  <si>
    <t>Luis, AJ; Sudhakar, M</t>
  </si>
  <si>
    <t>Luis, Alvarinho J.; Sudhakar, M.</t>
  </si>
  <si>
    <t>Upper-ocean hydrodynamics along meridional sections in the southwest Indian sector of the Southern Ocean during austral summer 2007</t>
  </si>
  <si>
    <t>POLAR SCIENCE</t>
  </si>
  <si>
    <t>Southern Ocean; Hydrological fronts; Baroclinic transport; Water mass; Turbulent heat flux</t>
  </si>
  <si>
    <t>AGULHAS CURRENT; WATER MASSES; SUBTROPICAL CONVERGENCE; SATELLITE-ALTIMETER; FRONTAL STRUCTURE; PRYDZ BAY; VARIABILITY; CIRCULATION; TOPEX/POSEIDON; TRANSPORT</t>
  </si>
  <si>
    <t>This paper addresses analysis of surface meteorological and hydrographic data collected along the transects Durban-India Bay, Antarctica (Track-1) and Prydz Bay-Mauritius (Track-2) during February-March 2007 as part of the International Polar Year project (IPY#70). Strong winds (&gt; 12 m s(-1)) resulted in enhanced turbulent heat loss north of 45 degrees S. Whereas a highly stable marine atmospheric boundary layer (MABL) and strong winds facilitated the release of latent heat of condensation along Track-1, a highly unstable MABL and strong winds resulted in large turbulent heat loss from the sea surface along Track-2, in the 40-45 degrees S belt. The northern and southern branches of Subantarctic Front on both tracks coalesce, while the Agulhas Retroflection Front (AF) and South Subtropical Front (SSTF) merge between 43 degrees and 44 degrees S on Track-2. The southern branch of the Polar Front (PF2) meanders 550 km southward towards the east. The Subtropical Surface Water, Central Water, and Mode Water are located north of 43.5 degrees S, while the Subantarctic Surface Water, Antarctic Surface Water, Antarctic Intermediate Water, and Circumpolar Deep Water are encountered in the region of the Antarctic Circumpolar Current (ACC). Baroclinic transport relative to 1000 db reveals that the ACC is enhanced by 10 x 10(6) m(3) s(-1) eastward, and a four-fold increase in transport occurs south of the ACC. Nearly 50% of the ACC transport occurs in the 100-500 m slab. We discuss the effects of the feedback of AC and hydrological fronts on the MABL. (C) 2009 Elsevier B.V. and NIPR. All rights reserved.</t>
  </si>
  <si>
    <t>[Luis, Alvarinho J.; Sudhakar, M.] Govt India, NCAOR, Polar Remote Sensing Sect, Minist Earth Sci, Headland Sada 403804, Goa, India</t>
  </si>
  <si>
    <t>Ministry of Earth Sciences (MoES) - India; National Centre for Polar and Ocean Research (NCPOR)</t>
  </si>
  <si>
    <t>Luis, AJ (corresponding author), Govt India, NCAOR, Polar Remote Sensing Sect, Minist Earth Sci, Headland Sada 403804, Goa, India.</t>
  </si>
  <si>
    <t>alvluis@ncaor.org</t>
  </si>
  <si>
    <t>Luis, Dr Alvarinho J./0000-0002-3425-8048</t>
  </si>
  <si>
    <t>Ministry of Earth Sciences, Government of India</t>
  </si>
  <si>
    <t>Ministry of Earth Sciences, Government of India(Ministry of Earth Science (MoES), Government of India)</t>
  </si>
  <si>
    <t>We express our gratitude to the voyage leader Mr. Ajay Dhar and the crew of MV Emerald Sea for their cooperation during data collection. Special thanks are due to Dr. N. Murukesh for his assistance with data processing. We acknowledge Mr. R. Ravindra (Director of NCAOR) for his encouragement and the Ministry of Earth Sciences, Government of India, for financial grant for the XCTD probes. This work represents NCAOR contribution No. R-45.</t>
  </si>
  <si>
    <t>ELSEVIER</t>
  </si>
  <si>
    <t>AMSTERDAM</t>
  </si>
  <si>
    <t>RADARWEG 29, 1043 NX AMSTERDAM, NETHERLANDS</t>
  </si>
  <si>
    <t>1873-9652</t>
  </si>
  <si>
    <t>1876-4428</t>
  </si>
  <si>
    <t>POLAR SCI</t>
  </si>
  <si>
    <t>Polar Sci.</t>
  </si>
  <si>
    <t>10.1016/j.polar.2009.03.001</t>
  </si>
  <si>
    <t>Ecology; Geosciences, Multidisciplinary</t>
  </si>
  <si>
    <t>Environmental Sciences &amp; Ecology; Geology</t>
  </si>
  <si>
    <t>V33OP</t>
  </si>
  <si>
    <t>hybrid</t>
  </si>
  <si>
    <t>WOS:000209028400002</t>
  </si>
  <si>
    <t>Travouillon, T; Jolissaint, L; Ashley, MCB; Lawrence, JS; Storey, JWV</t>
  </si>
  <si>
    <t>Travouillon, T.; Jolissaint, L.; Ashley, M. C. B.; Lawrence, J. S.; Storey, J. W. V.</t>
  </si>
  <si>
    <t>Overcoming the Boundary Layer Turbulence at Dome C: Ground-Layer Adaptive Optics versus Tower</t>
  </si>
  <si>
    <t>PUBLICATIONS OF THE ASTRONOMICAL SOCIETY OF THE PACIFIC</t>
  </si>
  <si>
    <t>HIGH-ANTARCTIC PLATEAU; ATMOSPHERIC-TURBULENCE; SOUTH-POLE; TELESCOPE</t>
  </si>
  <si>
    <t>The unique atmospheric conditions present at sites such as Dome C on the Antarctic plateau are very favorable for high spatial resolution astronomy. At Dome C, the majority of the optical turbulence is confined to a 30 to 40 m thick stable boundary layer that results from the strong temperature inversion created by the heat exchange between the air and the ice-covered ground. To fully realize the potential of the exceptionally calm free atmosphere, this boundary layer must be overcome. In this article we compare the performance of two methods proposed to beat the boundary layer: mounting a telescope on a tower that physically puts it above the turbulent layer, and installing a telescope at ground level with a ground-layer adaptive optics system. A case is also made to combine these two methods to further improve the image quality.</t>
  </si>
  <si>
    <t>[Travouillon, T.] CALTECH, Pasadena, CA 91125 USA; [Jolissaint, L.] Leiden Observ, NL-2333 Leiden, Netherlands; [Ashley, M. C. B.; Lawrence, J. S.; Storey, J. W. V.] Univ New S Wales, Sch Phys, Sydney, NSW 2052, Australia</t>
  </si>
  <si>
    <t>California Institute of Technology; University of New South Wales Sydney</t>
  </si>
  <si>
    <t>Travouillon, T (corresponding author), CALTECH, Pasadena, CA 91125 USA.</t>
  </si>
  <si>
    <t>Ashley, Michael/0000-0003-1412-2028; Lawrence, Jon/0000-0002-6998-6993; Travouillon, Tony/0000-0001-9304-6718</t>
  </si>
  <si>
    <t>NSF Office of Polar Programs (OPP); Australian Research Council (ARC); ARENA EC FP6 [RICA-026150]; Netherlands Research School of Astronomy (NOVA)</t>
  </si>
  <si>
    <t>NSF Office of Polar Programs (OPP)(National Science Foundation (NSF)); Australian Research Council (ARC)(Australian Research Council); ARENA EC FP6; Netherlands Research School of Astronomy (NOVA)</t>
  </si>
  <si>
    <t>`This research was funded by the NSF Office of Polar Programs (OPP), the Australian Research Council (ARC), the ARENA EC FP6 (RICA-026150), and the Netherlands Research School of Astronomy (NOVA). We would like to thank the Institut Paul Emile Victor (IPEV) and PNRA for the logistical support. We are also grateful to the referee who helped considerably to improve the clarity of this article.</t>
  </si>
  <si>
    <t>UNIV CHICAGO PRESS</t>
  </si>
  <si>
    <t>CHICAGO</t>
  </si>
  <si>
    <t>1427 E 60TH ST, CHICAGO, IL 60637-2954 USA</t>
  </si>
  <si>
    <t>0004-6280</t>
  </si>
  <si>
    <t>1538-3873</t>
  </si>
  <si>
    <t>PUBL ASTRON SOC PAC</t>
  </si>
  <si>
    <t>Publ. Astron. Soc. Pac.</t>
  </si>
  <si>
    <t>10.1086/600077</t>
  </si>
  <si>
    <t>Astronomy &amp; Astrophysics</t>
  </si>
  <si>
    <t>456FL</t>
  </si>
  <si>
    <t>Bronze, Green Accepted</t>
  </si>
  <si>
    <t>WOS:000266827100010</t>
  </si>
  <si>
    <t>Hillenbrand, CD; Kuhn, G; Frederichs, T</t>
  </si>
  <si>
    <t>Hillenbrand, C. -D.; Kuhn, G.; Frederichs, T.</t>
  </si>
  <si>
    <t>Record of a Mid-Pleistocene depositional anomaly in West Antarctic continental margin sediments: an indicator for ice-sheet collapse?</t>
  </si>
  <si>
    <t>QUATERNARY SCIENCE REVIEWS</t>
  </si>
  <si>
    <t>MARIE-BYRD-LAND; LATE QUATERNARY MEGATSUNAMI; SOUTHERN-OCEAN ODP-LEG-177; SEA-LEVEL; ATLANTIC SECTOR; BERMUDA RECORD; CLIMATE VARIABILITY; COSMOGENIC NUCLIDES; SURFACE SEDIMENTS; PACIFIC MARGIN</t>
  </si>
  <si>
    <t>Modern global warming is likely to cause future melting of Earth's polar ice sheets that may result in dramatic sea-level rise. A possible collapse of the West Antarctic Ice Sheet (WAIS) alone, which is considered highly vulnerable as it is mainly based below sea level, may raise global sea level by up to 5-6 m. Despite the importance of the WAIS for changes in global sea level, its response to the glacial-interglacial cycles of the Quaternary is poorly constrained. Moreover, the geological evidence for the disintegration of the WAIS at some time within the last ca. 750 kyr, possibly during Marine Isotope Stage (MIS) 11 (424-374 ka), is ambiguous. Here we present physical properties, palaeomagnetic, geochemical and clay mineralogical data from a glaciomarine sedimentary sequence that was recovered from the West Antarctic continental margin in the Amundsen Sea and spans more than the last 1 Myr. Within the sedimentary sequence, proxies for biological productivity (such as biogenic opal and the barium/aluminum ratio) and the supply of lithogenic detritus from the West Antarctic hinterland (such as ice-rafted debris and clay minerals) exhibit cyclic fluctuations in accordance with the glacial-interglacial cycles of the Quaternary. A prominent depositional anomaly spans MIS 15-MIS 13 (621-478 ka). The proxies for biological productivity and lithogenic sediment supply indicate that this interval has the characteristics of a single, prolonged interglacial period. Even though no proxy suggests environmental conditions much different from today, we conclude that, if the WAIS collapsed during the last 800 kyr, then MIS 15-MIS 13 was the most likely time period. Apparently, the duration rather than the strength of interglacial conditions was the crucial factor for the WAIS drawdown. A comparison with various marine and terrestrial climate archives from around the world corroborates that unusual environmental conditions prevailed throughout MIS 15-MIS 13. Some of these anomalies are observed in the pelagic Southern Ocean and the South Atlantic and might originate in major ice-sheet drawdown in Antarctica, but further research is required to test this hypothesis. Crown Copyright (C) 2008 Published by Elsevier Ltd. All rights reserved.</t>
  </si>
  <si>
    <t>[Hillenbrand, C. -D.] British Antarctic Survey, Cambridge CB3 0ET, England; [Kuhn, G.] Alfred Wegener Inst Polar &amp; Marine Res, D-27515 Bremerhaven, Germany; [Frederichs, T.] Univ Bremen, Dept Geosci, D-28334 Bremen, Germany</t>
  </si>
  <si>
    <t>UK Research &amp; Innovation (UKRI); Natural Environment Research Council (NERC); NERC British Antarctic Survey; Helmholtz Association; Alfred Wegener Institute, Helmholtz Centre for Polar &amp; Marine Research; University of Bremen</t>
  </si>
  <si>
    <t>Hillenbrand, CD (corresponding author), British Antarctic Survey, High Cross,Madingley Rd, Cambridge CB3 0ET, England.</t>
  </si>
  <si>
    <t>hilc@bas.ac.uk</t>
  </si>
  <si>
    <t>Kuhn, Gerhard/0000-0001-6069-7485</t>
  </si>
  <si>
    <t>British Antarctic Survey GRADES-QWAD; Alfred Wegener Institute for Polar and Marine Research; NERC [bas010018] Funding Source: UKRI; Natural Environment Research Council [bas010018] Funding Source: researchfish</t>
  </si>
  <si>
    <t>British Antarctic Survey GRADES-QWAD; Alfred Wegener Institute for Polar and Marine Research; NERC(UK Research &amp; Innovation (UKRI)Natural Environment Research Council (NERC)); Natural Environment Research Council(UK Research &amp; Innovation (UKRI)Natural Environment Research Council (NERC))</t>
  </si>
  <si>
    <t>This work was supported by the British Antarctic Survey GRADES-QWAD Project and the MARCOPOLI programme at the Alfred Wegener Institute for Polar and Marine Research. The authors thank the captain, officers, crew, scientists and support staff, who participated in RV Polarstern expedition ANT-XVIII/5a, in particular chief scientist R. Gersonde. We gratefully acknowledge R. Frohlking, N. Lensch, M. Seebeck and S. Wiebe for helping with shipboard and/or laboratory work, H. Grobe and A. Mackensen for providing unpublished data, F. Schmieder and E. Wolff for valuable discussions, A.G.C. Graham, R. Larter, A. Mackensen and J. Smith for their comments on an earlier draft of the manuscript, and D. Piper and an anonymous reviewer for their critical and constructive reviews.</t>
  </si>
  <si>
    <t>PERGAMON-ELSEVIER SCIENCE LTD</t>
  </si>
  <si>
    <t>OXFORD</t>
  </si>
  <si>
    <t>THE BOULEVARD, LANGFORD LANE, KIDLINGTON, OXFORD OX5 1GB, ENGLAND</t>
  </si>
  <si>
    <t>0277-3791</t>
  </si>
  <si>
    <t>1873-457X</t>
  </si>
  <si>
    <t>QUATERNARY SCI REV</t>
  </si>
  <si>
    <t>Quat. Sci. Rev.</t>
  </si>
  <si>
    <t>13-14</t>
  </si>
  <si>
    <t>10.1016/j.quascirev.2008.12.010</t>
  </si>
  <si>
    <t>Geography, Physical; Geosciences, Multidisciplinary</t>
  </si>
  <si>
    <t>Physical Geography; Geology</t>
  </si>
  <si>
    <t>459MX</t>
  </si>
  <si>
    <t>WOS:000267108100001</t>
  </si>
  <si>
    <t>Denis, D; Crosta, X; Schmidt, S; Carson, DS; Ganeshram, RS; Renssen, H; Bout-Roumazeilles, V; Zaragosi, S; Martin, B; Cremer, M; Giraudeau, J</t>
  </si>
  <si>
    <t>Denis, Delphine; Crosta, Xavier; Schmidt, Sabine; Carson, Damien S.; Ganeshram, Raja S.; Renssen, Hans; Bout-Roumazeilles, Viviane; Zaragosi, Sebastien; Martin, Bernard; Cremer, Michel; Giraudeau, Jacques</t>
  </si>
  <si>
    <t>Holocene glacier and deep water dynamics, Adelie Land region, East Antarctica</t>
  </si>
  <si>
    <t>EQUILIBRIUM-LINE ALTITUDES; SOUTHERN-OCEAN SEDIMENTS; SEA-ICE; CLIMATE EVOLUTION; CONTINENTAL-SHELF; NORTH-ATLANTIC; LAW DOME; DIATOM ASSEMBLAGES; WINDMILL ISLANDS; LATE PLEISTOCENE</t>
  </si>
  <si>
    <t>This study presents a high-resolution multi-proxy investigation of sediment core MD03-2601 and documents major glacier oscillations and deep water activity during the Holocene in the Adelie Land region, East Antarctica. A comparison with surface ocean conditions reveals synchronous changes of glaciers, sea ice and deep water formation at Milankovitch and sub-Milankovitch time scales. We report (1) a deglaciation of the Adelie Land continental shelf from 11 to 8.5 cal ka BP, which occurred in two phases of effective glacier grounding-line retreat at 10.6 and 9 cal ka BP, associated with active deep water formation: (2) a rapid glacier and sea ice readvance centred around 7.7 cal ka BP; and (3) five rapid expansions of the glacier-sea ice systems, during the Mid to Late Holocene, associated to a long-term increase of deep water formation. At Milankovich time scales, we show that the precessionnal component of insolation at high and low latitudes explains the major trend of the glacier-sea ice-ocean system throughout the Holocene, in the Adelie Land region. In addition, the orbitally-forced seasonality seems to control the coastal deep water formation via the sea ice-ocean coupling, which could lead to opposite patterns between north and south high latitudes during the Mid to Late Holocene. At sub-Milankovitch time scales, there are eight events of glacier-sea ice retreat and expansion that occurred during atmospheric cooling events over East Antarctica. Comparisons of our results with other peri-Antarctic records and model simulations from high southern latitudes may suggest that our interpretation on glacier-sea ice-ocean interactions and their Holocene evolutions reflect a more global Antarctic Holocene pattern. (C) 2009 Elsevier Ltd. All rights reserved.</t>
  </si>
  <si>
    <t>[Denis, Delphine; Crosta, Xavier; Schmidt, Sabine; Zaragosi, Sebastien; Martin, Bernard; Cremer, Michel; Giraudeau, Jacques] Univ Bordeaux 1, CNRS, EPOC, UMR 5805, F-33405 Talence, France; [Carson, Damien S.; Ganeshram, Raja S.] Univ Edinburgh, Grant Inst, Sch Geosci, Edinburgh EH9 3JW, Midlothian, Scotland; [Renssen, Hans] Vrije Univ Amsterdam, Fac Earth &amp; Life Sci, NL-1081 HV Amsterdam, Netherlands; [Bout-Roumazeilles, Viviane] Univ Sci &amp; Technol Lille 1, FRE Sedimentol &amp; Geodynam 2255, F-59655 Villeneuve Dascq, France</t>
  </si>
  <si>
    <t>Centre National de la Recherche Scientifique (CNRS); CNRS - National Institute for Earth Sciences &amp; Astronomy (INSU); Universite de Bordeaux; University of Edinburgh; Vrije Universiteit Amsterdam; Universite de Lille</t>
  </si>
  <si>
    <t>Denis, D (corresponding author), Univ Bordeaux 1, CNRS, EPOC, UMR 5805, Ave Fac, F-33405 Talence, France.</t>
  </si>
  <si>
    <t>d.denis@epoc.u-bordeaux1.fr; x.crosta@epoc.ubordeaux1.fr; s.schmidt@epoc.u-bordeaux1.fr; d.s.carson@sms.ed.ac.uk; r.ganeshram@ed.ac.uk; hans.renssen@geo.falw.vu.nl; viviane.bout@univ-lille1.fr; s.zaragosi@epoc.u-bordeaux1.fr; b.martin@epoc.u-bordeaux1.fr; m.cremer@epoc.u-bordeaux1.fr; j.giraudeau@epoc.u-bordeaux1.fr</t>
  </si>
  <si>
    <t>Giraudeau, Jacques/AAF-5764-2019; Zaragosi, Sébastien/D-6925-2011; Renssen, Hans/C-9927-2010; Roumazeilles, Viviane Bout/A-8278-2008; Schmidt, Sabine/G-1193-2013; BOUT-ROUMAZEILLES, Viviane/AAD-5259-2019; Ganeshram, Raja S/JPX-5314-2023; ZARAGOSI, Sébastien/JXL-2488-2024</t>
  </si>
  <si>
    <t>Schmidt, Sabine/0000-0002-5985-9747; BOUT-ROUMAZEILLES, Viviane/0000-0001-6917-818X; Zaragosi, Sebastien/0000-0002-1456-8129; Giraudeau, Jacques/0000-0002-5069-4667</t>
  </si>
  <si>
    <t>Images X (CADO) cruise; NSF [NBP0101]; TARDHOL; PNEDC; French IPEV (Institut Paul Emile Victor); International Marine Past Global Change Study (IMAGES); ACI JC ARTTE</t>
  </si>
  <si>
    <t>Images X (CADO) cruise; NSF(National Science Foundation (NSF)); TARDHOL; PNEDC; French IPEV (Institut Paul Emile Victor); International Marine Past Global Change Study (IMAGES); ACI JC ARTTE</t>
  </si>
  <si>
    <t>We thank Elodie Marches and Samuel Toucanne for their help in the understanding of sedimentological processes. We are grateful to both of the anonymous reviewers for their constructive suggestions. We personally thank people from Images X (CADO) cruise and from NSF-funded NBP0101 cruise for data and suggestions concerning the Dumont d'Urville Trough. Financial support for this study was provided by TARDHOL project through the national PNEDC Program (INSU-CNRS) with the logistic support of the French IPEV (Institut Paul Emile Victor), the International Marine Past Global Change Study (IMAGES) and the ACI JC ARTTE. This is an EPOC contribution No. 1721.</t>
  </si>
  <si>
    <t>10.1016/j.quascirev.2008.12.024</t>
  </si>
  <si>
    <t>WOS:000267108100010</t>
  </si>
  <si>
    <t>Lawrence, JS; Ashley, MCB; Hengst, S; Luong-Van, DM; Storey, JWV; Yang, H; Zhou, X; Zhu, Z</t>
  </si>
  <si>
    <t>Lawrence, J. S.; Ashley, M. C. B.; Hengst, S.; Luong-Van, D. M.; Storey, J. W. V.; Yang, H.; Zhou, X.; Zhu, Z.</t>
  </si>
  <si>
    <t>The PLATO Dome A site-testing observatory: Power generation and control systems</t>
  </si>
  <si>
    <t>REVIEW OF SCIENTIFIC INSTRUMENTS</t>
  </si>
  <si>
    <t>astronomical instruments; astronomical observatories; power generation control; robots; telecontrol</t>
  </si>
  <si>
    <t>INFRARED SKY BRIGHTNESS; HIGH-ANTARCTIC PLATEAU; SOUTH-POLE; ATMOSPHERIC-TURBULENCE; SEEING MEASUREMENTS; TELESCOPE; INSTRUMENT</t>
  </si>
  <si>
    <t>The atmospheric conditions above Dome A, a currently unmanned location at the highest point on the Antarctic plateau, are uniquely suited to astronomy. For certain types of astronomy Dome A is likely to be the best location on the planet, and this has motivated the development of the Plateau Observatory (PLATO). PLATO was deployed to Dome A in early 2008. It houses a suite of purpose-built site-testing instruments designed to quantify the benefits of Dome A site for astronomy, and science instruments designed to take advantage of the observing conditions. The PLATO power generation and control system is designed to provide continuous power and heat, and a high-reliability command and communications platform for these instruments. PLATO has run and collected data throughout the winter 2008 season completely unattended. Here we present a detailed description of the power generation, power control, thermal management, instrument interface, and communications systems for PLATO, and an overview of the system performance for 2008.</t>
  </si>
  <si>
    <t>[Lawrence, J. S.; Ashley, M. C. B.; Hengst, S.; Luong-Van, D. M.; Storey, J. W. V.] Univ New S Wales, Sch Phys, Sydney, NSW 2052, Australia; [Yang, H.] Polar Res Inst China, Shanghai 200136, Peoples R China; [Zhou, X.] Chinese Acad Sci, Natl Astron Observ, Beijing 100012, Peoples R China; [Zhu, Z.] Acad Sinica, Purple Mt Observ, Nanjing 210008, Peoples R China</t>
  </si>
  <si>
    <t>University of New South Wales Sydney; Polar Research Institute of China; Chinese Academy of Sciences; National Astronomical Observatory, CAS; Chinese Academy of Sciences; Nanjing Institute of Astronomical Optics &amp; Technology, NAOC, CAS; Purple Mountain Observatory, CAS</t>
  </si>
  <si>
    <t>Lawrence, JS (corresponding author), Macquarie Univ, Dept Phys &amp; Engn, N Ryde, NSW 2109, Australia.</t>
  </si>
  <si>
    <t>jsl@ics.mq.edu.au</t>
  </si>
  <si>
    <t>Lawrence, Jon/0000-0002-6998-6993; Ashley, Michael/0000-0003-1412-2028</t>
  </si>
  <si>
    <t>Australian Research Council; Australian Antarctic Division; Chinese Academy of Sciences; European Commission; National Natural Science Foundation of China; U. S. National Science Foundation; United States Antarctic Program; Chinese PANDA International Polar Year project; Polar Research Institute of China</t>
  </si>
  <si>
    <t>Australian Research Council(Australian Research Council); Australian Antarctic Division; Chinese Academy of Sciences(Chinese Academy of Sciences); European Commission(European Union (EU)European Commission Joint Research Centre); National Natural Science Foundation of China(National Natural Science Foundation of China (NSFC)); U. S. National Science Foundation(National Science Foundation (NSF)); United States Antarctic Program; Chinese PANDA International Polar Year project; Polar Research Institute of China</t>
  </si>
  <si>
    <t>The authors wish to thank all members of the 2008 Polar Research Institute of China Dome A expedition for their heroic effort in reaching the site and for providing invaluable assistance to the expedition astronomers in setting up the PLATO observatory. A number of staff and students from the University of New South Wales and many of the instrument team investigators provided valuable contributions to the design and construction of the PLATO observatory power generation and control systems: Graham Allen, Jason Allen, Colin Bonner, Jessie Christiansen, Jon Everett, George Georgevits, Mikayla Keen, Craig Kulesa, Tim Leslie, Anna Moore, Reed Riddle, Nick Tothill, Tony Travouillon, and Xu-guo Zhang. We also acknowledge the whole PLATO team for motivation and support: Stuart Bradley, Xiangqun Cui, Longlong Feng, Xuefei Gong, Jingyao Hu, Zhaoji Jiang, Yuansheng Li, Mark McCaughrean, Carlton Pennypacker, Weijia Qin, Zhaohui Shang, Bo Sun, Nicholas Suntzeff, Chris Walker, Lifan Wang, Jun Yan, Ji Yang, Donald York, Xiangyan Yuan, and Zhanhai Zhang. This research was financially supported by the Australian Research Council, the Australian Antarctic Division, the Chinese Academy of Sciences, the European Commission Sixth Framework Program, the National Natural Science Foundation of China, the U. S. National Science Foundation, and the United States Antarctic Program. This paper was supported by the Chinese PANDA International Polar Year project and the Polar Research Institute of China.</t>
  </si>
  <si>
    <t>AMER INST PHYSICS</t>
  </si>
  <si>
    <t>MELVILLE</t>
  </si>
  <si>
    <t>1305 WALT WHITMAN RD, STE 300, MELVILLE, NY 11747-4501 USA</t>
  </si>
  <si>
    <t>0034-6748</t>
  </si>
  <si>
    <t>1089-7623</t>
  </si>
  <si>
    <t>REV SCI INSTRUM</t>
  </si>
  <si>
    <t>Rev. Sci. Instrum.</t>
  </si>
  <si>
    <t>10.1063/1.3137081</t>
  </si>
  <si>
    <t>Instruments &amp; Instrumentation; Physics, Applied</t>
  </si>
  <si>
    <t>Instruments &amp; Instrumentation; Physics</t>
  </si>
  <si>
    <t>465PZ</t>
  </si>
  <si>
    <t>WOS:000267600600030</t>
  </si>
  <si>
    <t>Bottaro, M; Oliveri, D; Ghigliotti, L; Pisano, E; Ferrando, S; Vacchi, M</t>
  </si>
  <si>
    <t>Bottaro, Massimiliano; Oliveri, Diana; Ghigliotti, Laura; Pisano, Eva; Ferrando, Sara; Vacchi, Marino</t>
  </si>
  <si>
    <t>Born among the ice: first morphological observations on two developmental stages of the Antarctic silverfish Pleuragramma antarcticum, a key species of the Southern Ocean</t>
  </si>
  <si>
    <t>REVIEWS IN FISH BIOLOGY AND FISHERIES</t>
  </si>
  <si>
    <t>Antarctic waters; Development; Morphology; Pleuragramma antarcticum; Sea-ice</t>
  </si>
  <si>
    <t>EARLY-LIFE STAGES; ELONGATUS-CAERULESCENS TELEOSTEI; HIPPOGLOSSUS-HIPPOGLOSSUS L; ANARHICHAS-MINOR OLAFSEN; TERRA-NOVA BAY; ROSS SEA; FREE NEUROMASTS; MUSCLE DEVELOPMENT; NOTOTHENIOID FISH; WHITE MUSCLE</t>
  </si>
  <si>
    <t>The Antarctic silverfish Pleuragramma antarcticum is a keystone species in the Southern Ocean ecosystem, providing one of the major links between lower and higher trophic levels. Despite the importance of this species, surprisingly little is known of its early development. The first spawning area for the silverfish has been recently identified in the near-shore of Terra Nova Bay (Ross Sea). Evidence indicates that spawning and embryo development occurs in the cryopelagic environment, below the seasonal pack-ice. In order to contribute to the knowledge of the life cycle of this very important Antarctic species, we carried out the first histological characterization on pre-hatching embryos and newly hatched larvae. Embryonated eggs and larvae of P. antarcticum were collected between late October and November 2005 at TNB through holes drilled into the sea ice. Embryonic stage just before hatching and the first post-hatching stage were the most abundant within our samples and thus were analysed using both macroscopic and histological approaches. Early life stages of the Antarctic silverfish revealed interesting features: the sensory system, foraging apparatus and heart appeared well developed, whereas the liver and gills were underdeveloped. Morphological details of the organogenesis were performed, providing the first substantial information on the development of P. antarcticum and representing a further steps towards the knowledge of the life cycle of this important Antarctic key species.</t>
  </si>
  <si>
    <t>Univ Genoa, ICRAM, C Museo Nazl dellAntartide MNA, Viale Benedetto XV 5, I-16132 Genoa, Italy; [Bottaro, Massimiliano; Vacchi, Marino] Univ Genoa, ICRAM, MNA, I-16132 Genoa, Italy; [Oliveri, Diana; Ghigliotti, Laura; Pisano, Eva; Ferrando, Sara] Univ Genoa, Dipartimento Biol, I-16132 Genoa, Italy</t>
  </si>
  <si>
    <t>University of Genoa; University of Genoa; University of Genoa</t>
  </si>
  <si>
    <t>Bottaro, M (corresponding author), Univ Genoa, ICRAM, MNA, Viale Benedetto XV 5, I-16132 Genoa, Italy.</t>
  </si>
  <si>
    <t>m.bottaro@unige.it</t>
  </si>
  <si>
    <t>Ghigliotti, Laura/J-3076-2012; Ghigliotti, Laura/AAN-6843-2021; Ferrando, Sara/AAC-9934-2022</t>
  </si>
  <si>
    <t>Ghigliotti, Laura/0000-0003-2139-1381; Ferrando, Sara/0000-0002-5781-9709; Bottaro, Massimiliano/0000-0001-7995-5288</t>
  </si>
  <si>
    <t>PNRA</t>
  </si>
  <si>
    <t>This work was financially supported by the PNRA (Italian National Antarctic Research Program). We are grateful to Federico Mazzei (DIBIO, University of Genoa), Clive W. Evans, John A. Macdonald, Mike Taler (School of Biological Sciences, University of Auckland, NZ) and Arthur L. DeVries (Department of Animal Biology, University of Illinois at Urbana- Champaign, USA) for their work and invaluable collaboration in all the activities at Terra Nova Bay. We acknowledgment also Mario Pestarino (DIBIO, University of Genoa) for his comments. Special thanks to Carla J. L. Atkinson (School of Biomedical Sciences, University of Queensland, Australia) and Grazia Tagliafierro (DIBIO, University of Genoa) for their readily available help and suggestions during this study. We are also grateful to an anonymous reviewer who greatly improved our work. Experiments should be carried out in accordance with the European Communities Council Directive of 24 November 1986 (86/609/EEC).</t>
  </si>
  <si>
    <t>DORDRECHT</t>
  </si>
  <si>
    <t>VAN GODEWIJCKSTRAAT 30, 3311 GZ DORDRECHT, NETHERLANDS</t>
  </si>
  <si>
    <t>0960-3166</t>
  </si>
  <si>
    <t>REV FISH BIOL FISHER</t>
  </si>
  <si>
    <t>Rev. Fish. Biol. Fish.</t>
  </si>
  <si>
    <t>10.1007/s11160-009-9106-5</t>
  </si>
  <si>
    <t>Fisheries; Marine &amp; Freshwater Biology</t>
  </si>
  <si>
    <t>442FW</t>
  </si>
  <si>
    <t>WOS:000265827200008</t>
  </si>
  <si>
    <t>Kharitonov, VV; Morev, VA</t>
  </si>
  <si>
    <t>Kharitonov, V. V.; Morev, V. A.</t>
  </si>
  <si>
    <t>Hummocks near the North Pole 35 drifting station</t>
  </si>
  <si>
    <t>RUSSIAN METEOROLOGY AND HYDROLOGY</t>
  </si>
  <si>
    <t>Study of hummocks is a very important applied and scientific problem. The main objective of this work is representing new information on structure of hummocks that were studied in the spring time at the North Pole 35 drifting station. In this paper, methodology and results of studying several hummocks with different morphology are considered. The maximum hummock keel draft varied from 3.5 to 14 m, while the maximum sail height was between 2.5 and 3.9 m. The hummock porosity and porosity of the unconsolidated part of its keel varied in the range of 6-18 and 4-26%, respectively. The average thickness of the hummock consolidated layer stayed in the range from 1.8 to 2.4 m. It was found that relatively small sail heights do not affect the consolidated layer thickness, however higher sails influence on the consolidated layer size. The higher the hummock sail, the less its consolidated layer thickness is.</t>
  </si>
  <si>
    <t>[Kharitonov, V. V.; Morev, V. A.] Arctic &amp; Antarctic Res Inst, St Petersburg 199397, Russia</t>
  </si>
  <si>
    <t>Arctic &amp; Antarctic Research Institute</t>
  </si>
  <si>
    <t>Kharitonov, VV (corresponding author), Arctic &amp; Antarctic Res Inst, Ul Beringa 38, St Petersburg 199397, Russia.</t>
  </si>
  <si>
    <t>Kharitonov, Victor/0000-0003-1847-9980</t>
  </si>
  <si>
    <t>ALLERTON PRESS INC</t>
  </si>
  <si>
    <t>18 WEST 27TH ST, NEW YORK, NY 10001 USA</t>
  </si>
  <si>
    <t>1068-3739</t>
  </si>
  <si>
    <t>RUSS METEOROL HYDROL</t>
  </si>
  <si>
    <t>Russ. Meteorol. Hydrol.</t>
  </si>
  <si>
    <t>10.3103/S1068373909060065</t>
  </si>
  <si>
    <t>Meteorology &amp; Atmospheric Sciences</t>
  </si>
  <si>
    <t>486PX</t>
  </si>
  <si>
    <t>WOS:000269210600006</t>
  </si>
  <si>
    <t>Schiavone, A; Corsolini, S; Kannan, K; Tao, L; Trivelpiece, W; Torres, D; Focardi, S</t>
  </si>
  <si>
    <t>Schiavone, A.; Corsolini, S.; Kannan, K.; Tao, L.; Trivelpiece, W.; Torres, D., Jr.; Focardi, S.</t>
  </si>
  <si>
    <t>Perfluorinated contaminants in fur seal pups and penguin eggs from South Shetland, Antarctica</t>
  </si>
  <si>
    <t>SCIENCE OF THE TOTAL ENVIRONMENT</t>
  </si>
  <si>
    <t>Perfluorinated compounds; Penguin; Egg; Seal; Antarctica</t>
  </si>
  <si>
    <t>KING-GEORGE-ISLAND; PERFLUOROOCTANE SULFONATE; TISSUE DISTRIBUTION; FLUORINATED HYDROCARBONS; MARINE MAMMALS; PUSA-SIBIRICA; POLAR BEARS; BIRDS; PFOS; FLUOROCHEMICALS</t>
  </si>
  <si>
    <t>Perfluorinated compounds (PFCs) have emerged as a new class of global environmental pollutants. In this study, the presence of perfluorochemicals (PFCs) in penguin eggs and Antarctic fur seals was reported for the first time. Tissue samples from Antarctic fur seal pups and penguin eggs were collected during the 2003/04 breeding season. Ten PFC contaminants were determined in seal and penguin samples. The PFC concentrations in seal liver were in the decreasing order, PFOS&gt;PFNA&gt;PFHpA&gt;PFUnDA while in Adelie penguin eggs were PFHpA&gt;PFUnDA&gt;PFDA&gt;PFDoDA, and in Gentoo penguin eggs were PFUnDA&gt;PFOS&gt;PFDoDA&gt;PFHpA. The PFC concentrations differed significantly between seals and penguins (p&lt;0.005) and a species-specific difference was found between the two species of penguins (p&lt;0.005). In our study we found a mean concentration of PFOS in seal muscle and liver samples of 1.3 ng/g and 9.4 ng/g wet wt, respectively, and a mean concentration in Gentoo and Adelie penguin eggs of 0.3 ng/g and 0.38 ng/g wet wt, respectively. PFCs detected in penguin eggs and seal pups suggested oviparous and viviparous transfer of PFOS to eggs and off-springs. (C) 2009 Elsevier B.V. All rights reserved.</t>
  </si>
  <si>
    <t>[Schiavone, A.; Corsolini, S.; Focardi, S.] Univ Siena, Dept Environm Sci G Sarfattia, I-53100 Siena, Italy; [Kannan, K.; Tao, L.] SUNY Albany, Sch Publ Hlth, New York State Dept Hlth, Wadsworth Ctr, Albany, NY 12201 USA; [Kannan, K.; Tao, L.] SUNY Albany, Sch Publ Hlth, Dept Environm Hlth Sci, Albany, NY 12201 USA; [Trivelpiece, W.] SW Fisheries Sci Ctr, US Antarctic Marine Living Resources Div, La Jolla, CA 92037 USA; [Torres, D., Jr.] Inst Antartico Chileno INACH, Punta Arenas 1055, Chile</t>
  </si>
  <si>
    <t>University of Siena; State University of New York (SUNY) System; State University of New York (SUNY) Albany; Wadsworth Center; State University of New York (SUNY) System; State University of New York (SUNY) Albany; National Oceanic Atmospheric Admin (NOAA) - USA</t>
  </si>
  <si>
    <t>Schiavone, A (corresponding author), Univ Siena, Dept Environm Sci G Sarfattia, Via PA Mattioli 4, I-53100 Siena, Italy.</t>
  </si>
  <si>
    <t>schiavone4@unisi.it</t>
  </si>
  <si>
    <t>Corsolini, Simonetta/B-9460-2012</t>
  </si>
  <si>
    <t>Corsolini, Simonetta/0000-0002-9772-2362; Kannan, Kurunthachalam/0000-0002-1926-7456</t>
  </si>
  <si>
    <t>Italian National Program of Research in Antarctica (PNRA); National Science Foundation</t>
  </si>
  <si>
    <t>Italian National Program of Research in Antarctica (PNRA)(Ministry of Education, Universities and Research (MIUR)); National Science Foundation(National Science Foundation (NSF))</t>
  </si>
  <si>
    <t>This research was funded by the Italian National Program of Research in Antarctica (PNRA). The National Science Foundation supported S. Corsolini's stay and travel to and from King George Is. We are very grateful to Daniel Torres and Daniel Torres jr (Instituto Antarctico Chileno, Santiago, Chile) for collecting the fur seal samples during the 2003/04 expedition, and to Wayne Trivelpiece, and Susan Trivelpiece for collecting the penguin eggs samples. We thanks Roger Hewitt, the Agunsa (Punta Arenas, Chile) and Raytheon (USA) for their friendly logistic support.</t>
  </si>
  <si>
    <t>0048-9697</t>
  </si>
  <si>
    <t>1879-1026</t>
  </si>
  <si>
    <t>SCI TOTAL ENVIRON</t>
  </si>
  <si>
    <t>Sci. Total Environ.</t>
  </si>
  <si>
    <t>JUN 1</t>
  </si>
  <si>
    <t>10.1016/j.scitotenv.2008.12.058</t>
  </si>
  <si>
    <t>Environmental Sciences</t>
  </si>
  <si>
    <t>Environmental Sciences &amp; Ecology</t>
  </si>
  <si>
    <t>451BT</t>
  </si>
  <si>
    <t>WOS:000266446400032</t>
  </si>
  <si>
    <t>Vicente, CS; Munilla, T; Corbera, J; Sorbe, JC; Ramos, A</t>
  </si>
  <si>
    <t>Vicente, Carlos San; Munilla, Tomas; Corbera, Jordi; Sorbe, Jean-Claude; Ramos, Ana</t>
  </si>
  <si>
    <t>Suprabenthic fauna from the Bellingshausen Sea and western Antarctic Peninsula: spatial distribution and community structure</t>
  </si>
  <si>
    <t>SCIENTIA MARINA</t>
  </si>
  <si>
    <t>suprabenthos; Bellingshausen Sea; Antarctic Paninsula; Souther Ocean</t>
  </si>
  <si>
    <t>SOUTH-SHETLAND ISLANDS; BRANSFIELD STRAIT; QUANTITATIVE-ANALYSIS; PERACARIDA CRUSTACEA; DIVERSITY; BOTTOM; BIODIVERSITY; ASSEMBLAGES; MALACOSTRACA; EUPHAUSIIDS</t>
  </si>
  <si>
    <t>During the austral summers of 2003 and 2006 suprabenthic assemblages were investigated at 35 stations located in the Bellingshausen Sea and off the western Antarctic Peninsula at depths ranging from 45 to 3280 m. Suprabenthos was collected with a Maccer-GIROQ sledge equipped with an automatic opening and closing system. The highest dissimilarity values in the segregation of the pairwise station groupd were obtained for Mysidae, Lysianassidae, Gammaridea, Cumacca and Munnopsidae. The recorded faunistic patterns showed dependences in the environmental variables depth and percentage of mud in the sediment as single and combined variables.</t>
  </si>
  <si>
    <t>[Munilla, Tomas] Univ Autonoma Barcelona, Fac Ciencias Biol, Zool Lab, Dpto Biol Anim, E-08193 Barcelona, Spain; [Sorbe, Jean-Claude] UB 1, CNRS, UMR 5805, Lab Oceanog Biol, F-33120 Areachon, France; [Ramos, Ana] Inst Espanol Oceanog, E-36200 Vigo, Spain</t>
  </si>
  <si>
    <t>Autonomous University of Barcelona; Centre National de la Recherche Scientifique (CNRS); CNRS - National Institute for Earth Sciences &amp; Astronomy (INSU); Spanish Institute of Oceanography</t>
  </si>
  <si>
    <t>Vicente, CS (corresponding author), Carrer Nou 8, E-43839 Tarragona, Spain.</t>
  </si>
  <si>
    <t>ana.ramos@vi.ieo.es</t>
  </si>
  <si>
    <t>Corbera, Jordi/AAI-3207-2020</t>
  </si>
  <si>
    <t>Corbera, Jordi/0000-0003-3583-3929</t>
  </si>
  <si>
    <t>CONSEJO SUPERIOR INVESTIGACIONES CIENTIFICAS-CSIC</t>
  </si>
  <si>
    <t>MADRID</t>
  </si>
  <si>
    <t>VITRUVIO 8, 28006 MADRID, SPAIN</t>
  </si>
  <si>
    <t>0214-8358</t>
  </si>
  <si>
    <t>1886-8134</t>
  </si>
  <si>
    <t>SCI MAR</t>
  </si>
  <si>
    <t>Sci. Mar.</t>
  </si>
  <si>
    <t>10.3989/scimar.2009.73n2357</t>
  </si>
  <si>
    <t>Marine &amp; Freshwater Biology</t>
  </si>
  <si>
    <t>465HI</t>
  </si>
  <si>
    <t>Green Submitted, gold</t>
  </si>
  <si>
    <t>WOS:000267573000014</t>
  </si>
  <si>
    <t>Siciliano, SD; Ma, WK; Ferguson, S; Farrell, RE</t>
  </si>
  <si>
    <t>Siciliano, Steven D.; Ma, Wai K.; Ferguson, Susan; Farrell, Richard E.</t>
  </si>
  <si>
    <t>Nitrifier dominance of Arctic soil nitrous oxide emissions arises due to fungal competition with denitrifiers for nitrate</t>
  </si>
  <si>
    <t>SOIL BIOLOGY &amp; BIOCHEMISTRY</t>
  </si>
  <si>
    <t>N-15 tracer; Arctic; Denitrification; DGGE; Nitrification; Nitrous oxide; Fungi; Temperature dependence</t>
  </si>
  <si>
    <t>AMMONIA-OXIDIZING BACTERIA; DEVON ISLAND; NITRITE REDUCTASE; LOWLAND ECOSYSTEM; TEMPERATURE; NITRIFICATION; KINETICS; FLUXES; MINERALIZATION; RESPIRATION</t>
  </si>
  <si>
    <t>Arctic soils emit nitrous oxide, which is a potent greenhouse gas and also represents an important loss of nitrogen to oligotrophic Arctic ecosystems. However, little is known about the temperature sensitivity of nitrous oxide release in Arctic soils or the organisms mainly responsible for it. We investigated controls on nitrous oxide emissions in an Arctic soil across a typical temperature range (between 4 and 13 degrees C) on Truelove Lowland, Devon Island, Canada (75 degrees 40'N 84 degrees 35'W) at two different moisture contents. When fertilized with ammonia or nitrate, nitrous oxide emissions and temperature dependence of nitrous oxide emissions were insensitive to soil moisture content but linked to nitrification rates. Stable isotope analysis revealed that nitrous oxide was predominantly released by nitrifiers. However, nitrous oxide emissions were not linked to nitrifier prevalence with an insignificant (P &lt; 0.219) increase in amoA genes and a (P &lt; 0.01) decrease in archaeal nitrifiers. In contrast, denitrifier nosZ prevalence was 10,000 times greater than that of nitrifiers and was related to nitrous oxide emission potential when soils were fertilized with nitrate. Manipulating water-filled pore space should have changed the pattern of N2O emissions. We used selective inhibitors to further explore why denitrification did not occur under field conditions when we manipulated water-filled pore space or when we used N-15 analysis. When fungi were inhibited in the soil, nitrous oxide emissions from denitrifiers increased with no change in nitrous oxide released by nitrifiers. When fungi were active in the soil, there was little available nitrate but when fungi were inhibited, available soil nitrate increased over the incubation period. The dominance of nitrifiers in nitrous oxide emissions from Arctic soils under field conditions is linked to the competition for nitrate between fungi and denitrifiers. (C) 2009 Elsevier Ltd. All rights reserved.</t>
  </si>
  <si>
    <t>[Siciliano, Steven D.; Ma, Wai K.; Farrell, Richard E.] Univ Saskatchewan, Dept Soil Sci, Saskatoon, SK S7N 5A8, Canada; [Ferguson, Susan] Australian Antarctic Div, Hobart, Tas, Australia</t>
  </si>
  <si>
    <t>University of Saskatchewan; Australian Antarctic Division</t>
  </si>
  <si>
    <t>Siciliano, SD (corresponding author), Univ Saskatchewan, Dept Soil Sci, 51 Campus Dr, Saskatoon, SK S7N 5A8, Canada.</t>
  </si>
  <si>
    <t>steven.siciliano@usask.ca</t>
  </si>
  <si>
    <t>Siciliano, Steven D/G-3370-2011</t>
  </si>
  <si>
    <t>Siciliano, Steven/0000-0002-8994-3341; Farrell, Richard/0000-0001-6365-3939</t>
  </si>
  <si>
    <t>Polar Continental Shelf Project [608-04]; National Engineering and Research Council of Canada Discovery; Nitrogen Working Group</t>
  </si>
  <si>
    <t>Polar Continental Shelf Project(Natural Resources Canada); National Engineering and Research Council of Canada Discovery; Nitrogen Working Group</t>
  </si>
  <si>
    <t>This research was made possible by the logistical support of the Polar Continental Shelf Project, Project #608-04 and a National Engineering and Research Council of Canada Discovery Grant to S.D.S. J. Killer and J. Mordit are thanked for their help in the lab and the field. The support and suggestions of the Nitrogen Working Group is appreciated.</t>
  </si>
  <si>
    <t>0038-0717</t>
  </si>
  <si>
    <t>1879-3428</t>
  </si>
  <si>
    <t>SOIL BIOL BIOCHEM</t>
  </si>
  <si>
    <t>Soil Biol. Biochem.</t>
  </si>
  <si>
    <t>10.1016/j.soilbio.2009.02.024</t>
  </si>
  <si>
    <t>Soil Science</t>
  </si>
  <si>
    <t>Agriculture</t>
  </si>
  <si>
    <t>457OZ</t>
  </si>
  <si>
    <t>WOS:000266942900010</t>
  </si>
  <si>
    <t>Gemelli, M; Rocchi, S; Di Vincenzo, G; Petrelli, M</t>
  </si>
  <si>
    <t>Gemelli, M.; Rocchi, S.; Di Vincenzo, G.; Petrelli, M.</t>
  </si>
  <si>
    <t>Accretion of juvenile crust at the Early Palaeozoic Antarctic margin of Gondwana: geochemical and geochronological evidence from granulite xenoliths</t>
  </si>
  <si>
    <t>TERRA NOVA</t>
  </si>
  <si>
    <t>NORTHERN VICTORIA LAND; LANTERMAN RANGE; ACTIVE MARGIN; TRANSANTARCTIC MOUNTAINS; ROSS OROGEN; MANTLE; EVOLUTION; ZIRCON; AUSTRALIA; PETROLOGY</t>
  </si>
  <si>
    <t>Geodynamic models for the Antarctic sector of the active Early Palaeozoic Palaeo-Pacific margin of Gondwana are based on the nature and age of the deep crust of the Robertson Bay terrane, the outermost lithotectonic unit of the margin. As this crustal block is covered with thick turbidite deposits, the only way to probe the deep crust is through the analysis of granulite xenoliths from Cenozoic scoria cones. Low-K felsic xenoliths yield the oldest (Middle Cambrian) laser-probe U-Pb ages on zircon areas with igneous growth zoning. This finding, along with the positive whole-rock epsilon(Nd(500Ma)), suggests that these felsic rocks derived from a juvenile magma formed during the Early Palaeozoic Ross orogenic cycle. Mafic xenoliths have geochemical-isotopic compositions similar to those of modern primitive island arcs, suggesting the involvement of subducted oceanic crust in their magma genesis and accretion of juvenile crust at the Antarctic margin of Gondwana.</t>
  </si>
  <si>
    <t>[Gemelli, M.; Rocchi, S.] Univ Pisa, Dipartimento Sci Terra, I-56126 Pisa, Italy; [Di Vincenzo, G.] CNR, Ist Geosci &amp; Georisorse, I-56127 Pisa, Italy; [Petrelli, M.] Univ Perugia, Dipartimento Sci Terra, I-06123 Perugia, Italy</t>
  </si>
  <si>
    <t>University of Pisa; Consiglio Nazionale delle Ricerche (CNR); Istituto di Geoscienze e Georisorse (IGG-CNR); University of Perugia</t>
  </si>
  <si>
    <t>Gemelli, M (corresponding author), Univ Pisa, Dipartimento Sci Terra, Via S Maria 53, I-56126 Pisa, Italy.</t>
  </si>
  <si>
    <t>gemelli@dst.unipi.it</t>
  </si>
  <si>
    <t>Petrelli, Maurizio/L-6858-2015; Gemelli, Maurizio/F-6244-2013; Rocchi, Sergio/A-7752-2018</t>
  </si>
  <si>
    <t>Petrelli, Maurizio/0000-0001-6956-4742; Gemelli, Maurizio/0000-0001-5621-0339; Rocchi, Sergio/0000-0001-6868-1939; DI VINCENZO, GIANFRANCO/0000-0002-9669-9789</t>
  </si>
  <si>
    <t>WILEY</t>
  </si>
  <si>
    <t>HOBOKEN</t>
  </si>
  <si>
    <t>111 RIVER ST, HOBOKEN 07030-5774, NJ USA</t>
  </si>
  <si>
    <t>0954-4879</t>
  </si>
  <si>
    <t>1365-3121</t>
  </si>
  <si>
    <t>Terr. Nova</t>
  </si>
  <si>
    <t>10.1111/j.1365-3121.2009.00868.x</t>
  </si>
  <si>
    <t>Geosciences, Multidisciplinary</t>
  </si>
  <si>
    <t>Geology</t>
  </si>
  <si>
    <t>449OR</t>
  </si>
  <si>
    <t>Bronze</t>
  </si>
  <si>
    <t>WOS:000266340400001</t>
  </si>
  <si>
    <t>Davenport, S</t>
  </si>
  <si>
    <t>Davenport, Stephen</t>
  </si>
  <si>
    <t>Growth in Antarctic sea ice</t>
  </si>
  <si>
    <t>WEATHER</t>
  </si>
  <si>
    <t>News Item</t>
  </si>
  <si>
    <t>weather@wiley.com</t>
  </si>
  <si>
    <t>0043-1656</t>
  </si>
  <si>
    <t>1477-8696</t>
  </si>
  <si>
    <t>Weather</t>
  </si>
  <si>
    <t>458QB</t>
  </si>
  <si>
    <t>WOS:000267037500003</t>
  </si>
  <si>
    <t>Holzkämper, S; Holmgren, K; Lee-Thorp, J; Talma, S; Mangini, A; Partridge, T</t>
  </si>
  <si>
    <t>Holzkamper, Steffen; Holmgren, Karin; Lee-Thorp, Julia; Talma, Siep; Mangini, Augusto; Partridge, Tim</t>
  </si>
  <si>
    <t>Late Pleistocene stalagmite growth in Wolkberg Cave, South Africa</t>
  </si>
  <si>
    <t>EARTH AND PLANETARY SCIENCE LETTERS</t>
  </si>
  <si>
    <t>South Africa; Late Pleistocene; climate variability; stalagmites; stable isotopes</t>
  </si>
  <si>
    <t>STABLE-ISOTOPE VARIATIONS; CLIMATE VARIABILITY; LAST DEGLACIATION; SAVANNA BIOME; SPELEOTHEMS; FRACTIONATION; ARAGONITE; CALCITE; PRECIPITATION; PALEOCLIMATE</t>
  </si>
  <si>
    <t>Little is known about the sequence of climate and environmental change in southern Africa during the last glacial period, in spite of the intimations from records, such as Antarctic ice cores and archaeological sites, that very marked changes took place which would have had profound effects on vegetation and animal distributions across the sub-continent. High-resolution, (semi-) continuous climate and environmental records can be extracted from suitable cave speleothems. Speleothems are reasonably abundant in southern Africa, but their occurrence is patchy in time and space and the records can be difficult to interpret. Here we report our assessment of the stalagmite W5 from Wolkberg Cave in the northeastern part of South Africa, as an archive for glacial-period climatic and environmental shifts. The cave is located at 1450 m asl, in the dolomitic limestones of the Transvaal System in an area currently dominated by C-4 grass vegetation. Nine U/Th dates show growth from 58 to 46 ka, and a second brief phase ca. 40 ka, indicating that the available moisture was sufficient to allow speleothems to form. The delta O-18 and delta C-13 values along the growth axis show variability in the order of 2 parts per thousand for the former, while variability in the latter is characterized by a shift from values near -2 parts per thousand in the older section to +2 parts per thousand or more in the younger part. These high delta C-13 values are probably the combined result Of CO2 degassing of the percolating soil water prior to the carbonate precipitation in the cave chamber, the increasing dominance Of C-4 over C-3 vegetation, and the high percentage of aragonite towards the stalagmite's top. The retrieved data point towards increasingly drier and colder conditions during the growth period of the stalagmite. Furthermore, the high-frequency variations of delta O-18 values indicate the presence of short term climate oscillations that are probably linked to shifts of the Intertropical Convergence Zone. (C) 2009 Elsevier B.V. All rights reserved.</t>
  </si>
  <si>
    <t>[Holzkamper, Steffen; Holmgren, Karin] Stockholm Univ, Dept Phys Geog &amp; Quaternary Geol, S-10691 Stockholm, Sweden; [Lee-Thorp, Julia] Univ Bradford, Div Archaeol Geog &amp; Environm Sci, Bradford BD7 1DP, W Yorkshire, England; [Talma, Siep] CSIR, ZA-0001 Pretoria, South Africa; [Mangini, Augusto] Heidelberg Univ, Heidelberg Acad Sci, D-69120 Heidelberg, Germany; [Partridge, Tim] Univ Witwatersrand, Sch Geog Archeol &amp; Environm Studies, Johannesburg, South Africa</t>
  </si>
  <si>
    <t>Stockholm University; University of Bradford; Council for Scientific &amp; Industrial Research (CSIR) - South Africa; Ruprecht Karls University Heidelberg; University of Witwatersrand</t>
  </si>
  <si>
    <t>Holzkämper, S (corresponding author), Stockholm Univ, Dept Phys Geog &amp; Quaternary Geol, S-10691 Stockholm, Sweden.</t>
  </si>
  <si>
    <t>steffen.holzkamper@natgeo.su.se; karin.holmgren@natgeo.su.se; J.A.Lee-thorp@Bradford.ac.uk; siep.talma@gmail.com; augusto.mangini@iup.uni-heidelberg.de; tcp@iafrica.com</t>
  </si>
  <si>
    <t>Holzkamper, Steffen/0000-0001-8487-2532</t>
  </si>
  <si>
    <t>Swedish Research Council</t>
  </si>
  <si>
    <t>Swedish Research Council(Swedish Research Council)</t>
  </si>
  <si>
    <t>We thank Peter deMenocal and two anonymous reviewers for their constructive comments on the manuscript. We would also like to thank Mr. Rene Eichst clter for U/Th dating, Mr. Andrew Gledhill from the Bradford University Stable Light Isotopes Facility, Professor Howell Edwards for Raman analyses and Dr. Ulf HAlenius from the Museum of Natural History Stockholm for the help with the XRD analyses. The Department of Nature Conservation of the Limpopo Provincial Government is thanked for granting permission to Professor T.C. Partridge to collect speleothem samples from the Wolkberg Cave for scientific analysis, and the Swedish Research Council for funding of this study.</t>
  </si>
  <si>
    <t>0012-821X</t>
  </si>
  <si>
    <t>1385-013X</t>
  </si>
  <si>
    <t>EARTH PLANET SC LETT</t>
  </si>
  <si>
    <t>Earth Planet. Sci. Lett.</t>
  </si>
  <si>
    <t>MAY 30</t>
  </si>
  <si>
    <t>1-4</t>
  </si>
  <si>
    <t>10.1016/j.epsl.2009.03.016</t>
  </si>
  <si>
    <t>Geochemistry &amp; Geophysics</t>
  </si>
  <si>
    <t>457BJ</t>
  </si>
  <si>
    <t>WOS:000266899800021</t>
  </si>
  <si>
    <t>Aoto, YA; de Oliveira, AGS; Ornellas, FR</t>
  </si>
  <si>
    <t>Aoto, Yuri Alexandre; de Oliveira-Filho, Antonio Gustavo S.; Ornellas, Fernando R.</t>
  </si>
  <si>
    <t>Isomers on the [H, S2, Cl] potential energy surface: A high level investigation</t>
  </si>
  <si>
    <t>JOURNAL OF MOLECULAR STRUCTURE-THEOCHEM</t>
  </si>
  <si>
    <t>Sulfur-chlorine chemistry; Chlorine reservoir; Structure and bonding; Vibrational spectra; CCSD(T)</t>
  </si>
  <si>
    <t>CORRELATED MOLECULAR CALCULATIONS; GAUSSIAN-BASIS SETS; ATMOSPHERIC CHEMISTRY; MICROWAVE-SPECTRUM; OZONE DEPLETION; ANTARCTIC OZONE; RADICALS; KINETICS; DIFLUORIDE; DICHLORIDE</t>
  </si>
  <si>
    <t>This study reports a systematic state-of-the-art characterization of new sulfur-chlorine species on the [H, S-2, Cl] potential energy surface. Coupled cluster theory singles and doubles with perturbative contributions of connected triples, using the series of correlation consistent basis sets with extrapolations to the complete basis set limit (CBS), were employed to quantify the energetic quantities involved in the isomerization processes on this surface. The structures and vibrational frequencies are unique for some species and represent the most accurate investigation to date. These molecules are potentially a new route of coupling the sulfur and chlorine chemistries in the atmosphere, and conditions of high concentration of H2S (HS) like in volcanic eruptions might contribute to their formation. Also an assessment of the MP2/CBS approach relative to CCSD(T)/CBS provides insights on the expected performance of MP2/CBS on the characterization of polysulfides, and also of more complex systems containing disulfide bridges. (C) 2009 Elsevier B.V. All rights reserved.</t>
  </si>
  <si>
    <t>[Aoto, Yuri Alexandre; de Oliveira-Filho, Antonio Gustavo S.; Ornellas, Fernando R.] Univ Sao Paulo, Inst Quim, Dept Quim Fundamental, BR-05513970 Sao Paulo, Brazil</t>
  </si>
  <si>
    <t>Universidade de Sao Paulo</t>
  </si>
  <si>
    <t>Ornellas, FR (corresponding author), Univ Sao Paulo, Inst Quim, Dept Quim Fundamental, Av Lineu Prestes 748,Caixa Postal 26077, BR-05513970 Sao Paulo, Brazil.</t>
  </si>
  <si>
    <t>frornell@usp.br</t>
  </si>
  <si>
    <t>Aoto, Yuri/ABB-1163-2021; de Oliveira-Filho, Antonio Gustavo Sampaio/I-3049-2012; Aoto, Yuri A/P-6956-2017; Ornellas, Fernando R/H-2380-2012</t>
  </si>
  <si>
    <t>Aoto, Yuri/0000-0002-1981-7470; de Oliveira-Filho, Antonio Gustavo Sampaio/0000-0002-8867-475X;</t>
  </si>
  <si>
    <t>Fundacao de Amparo a Pesquisa do Estado de Sao Paulo (FAPESP); Conselho Nacional de Desenvolvimento Cientifico e Tecnologico (CNPq) of Brazil</t>
  </si>
  <si>
    <t>Fundacao de Amparo a Pesquisa do Estado de Sao Paulo (FAPESP)(Fundacao de Amparo a Pesquisa do Estado de Sao Paulo (FAPESP)); Conselho Nacional de Desenvolvimento Cientifico e Tecnologico (CNPq) of Brazil(Conselho Nacional de Desenvolvimento Cientifico e Tecnologico (CNPQ))</t>
  </si>
  <si>
    <t>F.R.O. acknowledges academic support from Fundacao de Amparo a Pesquisa do Estado de Sao Paulo (FAPESP), and the Conselho Nacional de Desenvolvimento Cientifico e Tecnologico (CNPq) of Brazil. Y.A.A. acknowledges CNPq for a graduate fellowship, and A.G.S.O.F. is thankful to FAPESP for an undergraduate research fellowship.</t>
  </si>
  <si>
    <t>ELSEVIER SCIENCE BV</t>
  </si>
  <si>
    <t>PO BOX 211, 1000 AE AMSTERDAM, NETHERLANDS</t>
  </si>
  <si>
    <t>0166-1280</t>
  </si>
  <si>
    <t>J MOL STRUC-THEOCHEM</t>
  </si>
  <si>
    <t>Theochem-J. Mol. Struct.</t>
  </si>
  <si>
    <t>1-3</t>
  </si>
  <si>
    <t>10.1016/j.theochem.2009.02.016</t>
  </si>
  <si>
    <t>Chemistry, Physical</t>
  </si>
  <si>
    <t>Chemistry</t>
  </si>
  <si>
    <t>441XQ</t>
  </si>
  <si>
    <t>WOS:000265804300013</t>
  </si>
  <si>
    <t>Newland, C; Field, IC; Nichols, PD; Bradshaw, CJA; Hindell, MA</t>
  </si>
  <si>
    <t>Newland, China; Field, Iain C.; Nichols, Peter D.; Bradshaw, Corey J. A.; Hindell, Mark A.</t>
  </si>
  <si>
    <t>Blubber fatty acid profiles indicate dietary resource partitioning juvenile southern between adult and elephant seals</t>
  </si>
  <si>
    <t>MARINE ECOLOGY PROGRESS SERIES</t>
  </si>
  <si>
    <t>Fatty acid signature analysis; Southern elephant seal; Diet; Resource partitioning</t>
  </si>
  <si>
    <t>MIROUNGA-LEONINA; SIGNATURE ANALYSIS; VERTICAL STRATIFICATION; FORAGING ECOLOGY; STABLE-ISOTOPE; DIVE DURATION; HARBOR SEALS; WHALES; POPULATION; AGE</t>
  </si>
  <si>
    <t>When resources are limited or patchy, a species may develop some degree of resource partitioning to reduce intra-specific competition. Development of intra-specific resource partitioning is more pronounced in species with clear phenotypic variation among individuals (e.g. age or sex). Southern elephant seals Mirounga leonina have pronounced sexual dimorphism and range widely in size and foraging range between juvenile and adult stages. However, hypothesized diet-based resource partitioning has been less clear due to difficulties in sampling diet while seals are away from breeding islands. We analysed fatty acids (FAs) from blubber of 122 juvenile seals and compared them to FA profiles from blubber of 52 adult females, and to FA profiles from 51 prey species (grouped as fish and squid) to examine evidence for diet-based resource partitioning in the seals. FA signature analysis revealed physiological and dietary differences between ages. Principle components of the 21 FAs from seal blubber and prey parts distinguished prey from seals, and clearly separated prey species into fish and squid classes. FA profiles from adult females differed to those from juveniles, with the former more 'squid-like' and the latter more 'fish-like'. Variation in FA profiles of seals was also apparent between sexes and during different seasons. Differences in diet between juveniles and adult females suggest resource partitioning occurs in response to large metabolic and physiological differences with age that limit juvenile dispersal and diving abilities. By consuming a different suite of prey species relative to adult females, juvenile southern elephant seals may reduce intra-specific competition.</t>
  </si>
  <si>
    <t>[Newland, China; Field, Iain C.; Hindell, Mark A.] Univ Tasmania, Sch Zool, Antarctic Wildlife Res Unit, Hobart, Tas 7001, Australia; [Field, Iain C.] Charles Darwin Univ, Inst Adv Studies, Sch Environm Res, Darwin, NT 0909, Australia; [Nichols, Peter D.] CSIRO Marine &amp; Atmospher Res, Hobart, Tas 7000, Australia; [Nichols, Peter D.; Hindell, Mark A.] Antarctic &amp; Climate Ecosyst CRC, Hobart, Tas 7001, Australia; [Bradshaw, Corey J. A.] Univ Adelaide, Sch Earth &amp; Environm Sci, Res Inst Climate Change &amp; Sustainabil, Adelaide, SA 5005, Australia; [Bradshaw, Corey J. A.] S Australian Res &amp; Dev Inst, Henley Beach, SA 5022, Australia</t>
  </si>
  <si>
    <t>University of Tasmania; Charles Darwin University; Commonwealth Scientific &amp; Industrial Research Organisation (CSIRO); University of Tasmania; University of Adelaide</t>
  </si>
  <si>
    <t>Newland, C (corresponding author), Univ Tasmania, Sch Zool, Antarctic Wildlife Res Unit, Private Bag 05, Hobart, Tas 7001, Australia.</t>
  </si>
  <si>
    <t>cnewland@utas.edu.au</t>
  </si>
  <si>
    <t>Hindell, Mark A/C-8368-2013; Hindell, Mark A/K-1131-2013; Field, Iain C/D-3934-2009; Bradshaw, Corey J. A./A-1311-2008; Nichols, Peter D/C-5128-2011</t>
  </si>
  <si>
    <t>Bradshaw, Corey J. A./0000-0002-5328-7741; Hindell, Mark/0000-0002-7823-7185</t>
  </si>
  <si>
    <t>INTER-RESEARCH</t>
  </si>
  <si>
    <t>OLDENDORF LUHE</t>
  </si>
  <si>
    <t>NORDBUNTE 23, D-21385 OLDENDORF LUHE, GERMANY</t>
  </si>
  <si>
    <t>0171-8630</t>
  </si>
  <si>
    <t>1616-1599</t>
  </si>
  <si>
    <t>MAR ECOL PROG SER</t>
  </si>
  <si>
    <t>Mar. Ecol.-Prog. Ser.</t>
  </si>
  <si>
    <t>MAY 29</t>
  </si>
  <si>
    <t>10.3354/meps08010</t>
  </si>
  <si>
    <t>Ecology; Marine &amp; Freshwater Biology; Oceanography</t>
  </si>
  <si>
    <t>Environmental Sciences &amp; Ecology; Marine &amp; Freshwater Biology; Oceanography</t>
  </si>
  <si>
    <t>463BS</t>
  </si>
  <si>
    <t>WOS:000267404000025</t>
  </si>
  <si>
    <t>Kuwabara, T; Bieber, JW; Evenson, P; Munakata, K; Yasue, S; Kato, C; Fushishita, A; Tokumaru, M; Duldig, ML; Humble, JE; Silva, MR; Dal Lago, A; Schuch, NJ</t>
  </si>
  <si>
    <t>Kuwabara, T.; Bieber, J. W.; Evenson, P.; Munakata, K.; Yasue, S.; Kato, C.; Fushishita, A.; Tokumaru, M.; Duldig, M. L.; Humble, J. E.; Silva, M. R.; Dal Lago, A.; Schuch, N. J.</t>
  </si>
  <si>
    <t>Determination of interplanetary coronal mass ejection geometry and orientation from ground-based observations of galactic cosmic rays</t>
  </si>
  <si>
    <t>JOURNAL OF GEOPHYSICAL RESEARCH-SPACE PHYSICS</t>
  </si>
  <si>
    <t>MAGNETIC CLOUDS; NEAR-EARTH; 1 AU; ANISOTROPY; PERIOD; SHOCK</t>
  </si>
  <si>
    <t>We have developed a method for determining interplanetary coronal mass ejection (ICME) geometry from galactic cosmic ray data recorded by the ground-based muon detector network. The cosmic ray density depression inside the ICME, which is associated with a Forbush decrease, is represented by an expanding cylinder that is based on a theoretical model of the cosmic ray particle diffusion. ICME geometry and orientation are deduced from observed time variations of cosmic ray density and density gradient and are compared with those deduced from a magnetic flux rope model. From March 2001 to May 2005, 11 ICME events that produced Forbush decreases &gt;2% were observed, and clear variations of the density gradient due to ICME passage were observed in 8 of 11 events. In five of the eight events, signatures of magnetic flux rope structure (large, smooth rotation of magnetic field) were also seen, and the ICME geometry and orientation deduced from the two methods were very similar in three events. This suggests that the cosmic ray-based method can be used as a complementary method for deducing ICME geometry especially for events where a large Forbush decrease is observed.</t>
  </si>
  <si>
    <t>[Kuwabara, T.; Bieber, J. W.; Evenson, P.] Univ Delaware, Bartol Res Inst, Newark, DE 19716 USA; [Kuwabara, T.; Bieber, J. W.; Evenson, P.] Univ Delaware, Dept Phys &amp; Astron, Newark, DE 19716 USA; [Munakata, K.; Yasue, S.; Kato, C.; Fushishita, A.] Shinshu Univ, Dept Phys, Matsumoto, Nagano 3908621, Japan; [Tokumaru, M.] Nagoya Univ, Solar Terr Environm Lab, Nagoya, Aichi 4648601, Japan; [Duldig, M. L.] Australian Antarctic Div, Kingston, Tas 7050, Australia; [Humble, J. E.] Univ Tasmania, Sch Math &amp; Phys, Hobart, Tas 7001, Australia; [Silva, M. R.; Dal Lago, A.] Natl Inst Space Res, BR-12227010 Sao Jose Dos Campos, SP, Brazil; [Schuch, N. J.] MCT, INPE, CRS, So Reg Space Res Ctr, BR-97110970 Santa Maria, RS, Brazil</t>
  </si>
  <si>
    <t>University of Delaware; University of Delaware; Shinshu University; Nagoya University; Australian Antarctic Division; University of Tasmania; Instituto Nacional de Pesquisas Espaciais (INPE); Instituto Nacional de Pesquisas Espaciais (INPE)</t>
  </si>
  <si>
    <t>Kuwabara, T (corresponding author), Univ Delaware, Bartol Res Inst, 217 Sharp Lab, Newark, DE 19716 USA.</t>
  </si>
  <si>
    <t>takao@bartol.udel.edu; jwbieber@bartol.udel.edu; evenson@udel.edu; kmuna00@shinshu-u.ac.jp; shyasue@shinshu-u.ac.jp; ckato@shinshu-u.ac.jp; s07t303@shinshu-u.ac.jp; tokumaru@stelab.nagoya-u.ac.jp; marc.duldig@aad.gov.au; john.humble@utas.edu.au; marlos@lacesm.ufsm.br; dallago@dge.inpe.br; njschuch@aries.lacesm.ufsm.br</t>
  </si>
  <si>
    <t>Schuch, Nelson Jorge/K-9730-2015; Dal Lago, Alisson/H-6511-2017; Rockenbach, Marlos/C-1711-2012</t>
  </si>
  <si>
    <t>Duldig, Marcus/0000-0001-7463-8267; Dal Lago, Alisson/0000-0002-4361-6492; da Silva, Manoel Ribeiro/0000-0002-0559-9011; Humble, John/0000-0002-4698-1671; Rockenbach, Marlos/0000-0002-9737-9429</t>
  </si>
  <si>
    <t>NASA [NNX08AQ01G]; Ministry of Education, Culture, Sports, Science and Technology in Japan; NASA [NNX08AQ01G, 95273] Funding Source: Federal RePORTER</t>
  </si>
  <si>
    <t>NASA(National Aeronautics &amp; Space Administration (NASA)); Ministry of Education, Culture, Sports, Science and Technology in Japan(Ministry of Education, Culture, Sports, Science and Technology, Japan (MEXT)); NASA(National Aeronautics &amp; Space Administration (NASA))</t>
  </si>
  <si>
    <t>This work is supported by NASA grant NNX08AQ01G. The prototype network of the ground based muon detectors had been supported in part by a Grants-in-Aid for Scientific Research from the Ministry of Education, Culture, Sports, Science and Technology in Japan and by the joint research program of the Solar-Terrestrial Environment Laboratory, Nagoya University. We thank N. F. Ness for providing ACE magnetic field data via the ACE Science Center. [30] Zuyin Pu thanks Ian Richardson and Stephen Kahler for their assistance in evaluating this paper.</t>
  </si>
  <si>
    <t>AMER GEOPHYSICAL UNION</t>
  </si>
  <si>
    <t>WASHINGTON</t>
  </si>
  <si>
    <t>2000 FLORIDA AVE NW, WASHINGTON, DC 20009 USA</t>
  </si>
  <si>
    <t>2169-9380</t>
  </si>
  <si>
    <t>2169-9402</t>
  </si>
  <si>
    <t>J GEOPHYS RES-SPACE</t>
  </si>
  <si>
    <t>J. Geophys. Res-Space Phys.</t>
  </si>
  <si>
    <t>MAY 27</t>
  </si>
  <si>
    <t>A05109</t>
  </si>
  <si>
    <t>10.1029/2008JA013717</t>
  </si>
  <si>
    <t>452HU</t>
  </si>
  <si>
    <t>Bronze, Green Published</t>
  </si>
  <si>
    <t>WOS:000266531800001</t>
  </si>
  <si>
    <t>Friedrich, O; Herrle, JO; Wilson, PA; Cooper, MJ; Erbacher, J; Hemleben, C</t>
  </si>
  <si>
    <t>Friedrich, Oliver; Herrle, Jens O.; Wilson, Paul A.; Cooper, Matthew J.; Erbacher, Jochen; Hemleben, Christoph</t>
  </si>
  <si>
    <t>Early Maastrichtian carbon cycle perturbation and cooling event: Implications from the South Atlantic Ocean</t>
  </si>
  <si>
    <t>PALEOCEANOGRAPHY</t>
  </si>
  <si>
    <t>GLASSY FORAMINIFERAL CALCITE; LATE CRETACEOUS CLIMATE; STABLE-ISOTOPE RECORDS; DEEP-WATER SOURCES; SEA-LEVEL CHANGES; ENVIRONMENTAL-CHANGES; ANTARCTIC GLACIATION; ICE SHEETS; GREENHOUSE; SURFACE</t>
  </si>
  <si>
    <t>Published stable isotope records in marine carbonate are characterized by a positive delta O-18 excursion associated with a negative delta C-13 shift during the early Maastrichtian. However, the cause and even the precise timing of these excursions remain uncertain. We have generated high-resolution foraminiferal stable isotope and gray-scale records for the latest Campanian to early Maastrichtian (similar to 73-68 Ma) at two Ocean Drilling Program sites, 525 (Walvis Ridge) and 690 (Weddell Sea). We demonstrate that the negative delta C-13 excursion is decoupled from the delta O-18 increase with a lag of about 600 ka. Our delta C-13 records (both planktic and benthic) show an amplitude for the negative excursion of 0.7 parts per thousand that falls between about 72.1 and 70.7 Ma. Our planktic delta O-18 records indicate an overall increase of 1.2 parts per thousand from 73 to 68 Ma at Site 690, whereas at Site 525 they record a slightly smaller increase (similar to 1 parts per thousand) that peaks around 70.1 Ma with decreasing values thereafter. Our benthic delta O-18 data indicate an increase of similar to 1.5 parts per thousand at Site 525 and similar to 0.7 parts per thousand at Site 690 between about 71.4 and 69.9 Ma. Benthic delta O-18 values show different baseline values at the two sites before and after the excursion, but the larger increase at Site 525 means that the values attained at the peak of the excursion are similar at the two sites. We interpret this observation in terms of water mass changes. The excursion is interpreted to reflect a cooling of bottom waters in response to the strengthening contribution of intermediate-to deep-water production in the high southern latitudes rather than increased ice volume. The associated carbon cycle perturbations that we observe are interpreted to reflect a weakening of surface water stratification and increased productivity, as supported by our gray value data.</t>
  </si>
  <si>
    <t>[Friedrich, Oliver; Hemleben, Christoph] Univ Tubingen, Inst Geowissensch, D-72076 Tubingen, Germany; [Friedrich, Oliver; Wilson, Paul A.; Cooper, Matthew J.] Univ Southampton, Sch Ocean &amp; Earth Sci, Natl Oceanog Ctr, Southampton SO14 3ZH, Hants, England; [Herrle, Jens O.] Univ Alberta, Dept Earth &amp; Atmospher Sci, Edmonton, AB, Canada; [Erbacher, Jochen] Bundesanstalt Geowissensch &amp; Rohstoffe, D-30655 Hannover, Germany</t>
  </si>
  <si>
    <t>Eberhard Karls University of Tubingen; NERC National Oceanography Centre; University of Southampton; University of Alberta</t>
  </si>
  <si>
    <t>Friedrich, O (corresponding author), Univ Tubingen, Inst Geowissensch, Sigwartstr 10, D-72076 Tubingen, Germany.</t>
  </si>
  <si>
    <t>of2w07@noc.soton.ac.uk</t>
  </si>
  <si>
    <t>Herrle, Jens O/B-9088-2008; Cooper, Matthew/I-8573-2012</t>
  </si>
  <si>
    <t>Erbacher, Jochen/0000-0003-2793-0307; Wilson, Paul/0000-0001-6425-8906</t>
  </si>
  <si>
    <t>U.S. National Science Foundation; German Research Foundation [He 697/41-1/2, ER 226/2-1, FR 2544/1-1]; J.O.H.'s Natural Sciences and Engineering Research Council Canada Discovery Grant; Canada Research Chair Program; European Commission</t>
  </si>
  <si>
    <t>U.S. National Science Foundation(National Science Foundation (NSF)); German Research Foundation(German Research Foundation (DFG)); J.O.H.'s Natural Sciences and Engineering Research Council Canada Discovery Grant; Canada Research Chair Program(Canada Research Chairs); European Commission(European Union (EU)European Commission Joint Research Centre)</t>
  </si>
  <si>
    <t>This research used samples provided by the Deep Sea Drilling Project and the Ocean Drilling Program (ODP). ODP is sponsored by the U.S. National Science Foundation and participating countries under the management of Joint Oceanographic Institutions, Inc. We are grateful to H. Erlenkeuser for stable isotope measurements and C. Bolton for linguistic corrections. Comments and suggestions of the reviewers K. L. Bice and G. D. Price and the editor G. Dickens helped to improve this manuscript. Funding for this study was provided by the German Research Foundation (grants He 697/41-1/2, ER 226/2-1, and FR 2544/1-1). This study is supported by J.O.H.'s Natural Sciences and Engineering Research Council Canada Discovery Grant and Canada Research Chair Program. This study was finished while O.F. held a Marie Curie Intra-European fellowship funded by the European Commission (project PLIOCLIMATE).</t>
  </si>
  <si>
    <t>0883-8305</t>
  </si>
  <si>
    <t>1944-9186</t>
  </si>
  <si>
    <t>Paleoceanography</t>
  </si>
  <si>
    <t>PA2211</t>
  </si>
  <si>
    <t>10.1029/2008PA001654</t>
  </si>
  <si>
    <t>Geosciences, Multidisciplinary; Oceanography; Paleontology</t>
  </si>
  <si>
    <t>Geology; Oceanography; Paleontology</t>
  </si>
  <si>
    <t>452IO</t>
  </si>
  <si>
    <t>WOS:000266533900001</t>
  </si>
  <si>
    <t>Eagles, G; Vaughan, APM</t>
  </si>
  <si>
    <t>Eagles, Graeme; Vaughan, Alan P. M.</t>
  </si>
  <si>
    <t>Gondwana breakup and plate kinematics: Business as usual</t>
  </si>
  <si>
    <t>GEOPHYSICAL RESEARCH LETTERS</t>
  </si>
  <si>
    <t>WEDDELL SEA; GRAVITY; ANTARCTICA; BASIN; SUBDUCTION; TECTONICS; BOUNDARY; FALKLAND; HISTORY; MODEL</t>
  </si>
  <si>
    <t>A tectonic model of the Weddell Sea is built by composing a simple circuit with optimized rotations describing the growth of the South Atlantic and SW Indian oceans. The model independently and accurately reproduces the consensus elements of the Weddell Sea's spreading record and continental margins, and offers solutions to remaining controversies there. At their present resolutions, plate kinematic data from the South Atlantic and SW Indian oceans and Weddell Sea rule against the proposed, but controversial, independent movements of small plates during Gondwana breakup that have been attributed to the presence or impact of a mantle plume. Hence, although supercontinent breakup here was accompanied by extraordinary excess volcanism, there is no indication from plate kinematics that the causes of that volcanism provided a unique driving mechanism for it. Citation: Eagles, G., and A. P. M. Vaughan (2009), Gondwana breakup and plate kinematics: Business as usual, Geophys. Res. Lett., 36, L10302, doi:10.1029/2009GL037552.</t>
  </si>
  <si>
    <t>[Eagles, Graeme] Royal Holloway Univ London, Dept Earth Sci, Egham TW20 0EX, Surrey, England; [Vaughan, Alan P. M.] British Antarctic Survey, Cambridge CB3 0ET, England</t>
  </si>
  <si>
    <t>University of London; Royal Holloway University London; UK Research &amp; Innovation (UKRI); Natural Environment Research Council (NERC); NERC British Antarctic Survey</t>
  </si>
  <si>
    <t>Eagles, G (corresponding author), Royal Holloway Univ London, Dept Earth Sci, Egham TW20 0EX, Surrey, England.</t>
  </si>
  <si>
    <t>g.eagles@es.rhul.ac.uk; alan.vaughan@bas.ac.uk</t>
  </si>
  <si>
    <t>Vaughan, Alan PM/B-7829-2010</t>
  </si>
  <si>
    <t>Eagles, Graeme/0000-0001-5325-0810</t>
  </si>
  <si>
    <t>Royal Holloway University of London; NERC [bas010020] Funding Source: UKRI; Natural Environment Research Council [bas010020] Funding Source: researchfish</t>
  </si>
  <si>
    <t>Royal Holloway University of London; NERC(UK Research &amp; Innovation (UKRI)Natural Environment Research Council (NERC)); Natural Environment Research Council(UK Research &amp; Innovation (UKRI)Natural Environment Research Council (NERC))</t>
  </si>
  <si>
    <t>GE acknowledges support from Royal Holloway University of London. Figures were generated using GMT.</t>
  </si>
  <si>
    <t>0094-8276</t>
  </si>
  <si>
    <t>1944-8007</t>
  </si>
  <si>
    <t>GEOPHYS RES LETT</t>
  </si>
  <si>
    <t>Geophys. Res. Lett.</t>
  </si>
  <si>
    <t>MAY 23</t>
  </si>
  <si>
    <t>L10302</t>
  </si>
  <si>
    <t>10.1029/2009GL037552</t>
  </si>
  <si>
    <t>449XE</t>
  </si>
  <si>
    <t>Green Published, Green Submitted, Bronze, Green Accepted</t>
  </si>
  <si>
    <t>WOS:000266363300003</t>
  </si>
  <si>
    <t>Moffat, C; Owens, B; Beardsley, RC</t>
  </si>
  <si>
    <t>Moffat, C.; Owens, B.; Beardsley, R. C.</t>
  </si>
  <si>
    <t>On the characteristics of Circumpolar Deep Water intrusions to the west Antarctic Peninsula Continental Shelf</t>
  </si>
  <si>
    <t>JOURNAL OF GEOPHYSICAL RESEARCH-OCEANS</t>
  </si>
  <si>
    <t>AUSTRAL FALL; CIRCULATION; FLUXES; ICE</t>
  </si>
  <si>
    <t>Hydrographic and current velocity observations collected from March 2001 to February 2003 on the west Antarctic Peninsula shelf as part of the Southern Ocean Global Ecosystems Dynamics program are used to characterize intrusions of Upper Circumpolar Deep Water (UCDW) and Lower Circumpolar DeepWater (LCDW) onto the shelf and Marguerite Bay. UCDW is found on the middle and outer shelf along Marguerite Trough, which connects the shelf break to Marguerite Bay, and at another location farther south. UCDW intrudes in the form of frequent (four per month) and small horizontal scales (approximate to 4 km) warm eddy-like structures with maximum vertical scales of a few hundred meters. However, no evidence of UCDW intrusions was found in Marguerite Bay. LCDW was found in several deep depressions connected to the shelf break, including Marguerite Trough, forming a tongue of relatively dense water 95 m thick (on average) that reaches into Marguerite Bay through Marguerite Trough. A steady advective-diffusive balance for the LCDW intrusion is used to make an estimation of the average upwelling rate and diffusivity in the deep layer within Marguerite Trough, which suggest the LCDW layer is renewed approximately every six weeks.</t>
  </si>
  <si>
    <t>[Moffat, C.; Owens, B.; Beardsley, R. C.] Woods Hole Oceanog Inst, Dept Phys Oceanog, Woods Hole, MA 02543 USA; [Moffat, C.] Univ Concepcion, Dept Oceanog, Concepcion, Chile</t>
  </si>
  <si>
    <t>Woods Hole Oceanographic Institution; Universidad de Concepcion</t>
  </si>
  <si>
    <t>Moffat, C (corresponding author), Woods Hole Oceanog Inst, Dept Phys Oceanog, Mail Stop 21,266 Woods Hole Rd, Woods Hole, MA 02543 USA.</t>
  </si>
  <si>
    <t>cmoffat@whoi.edu</t>
  </si>
  <si>
    <t>Moffat, Carlos F/B-3565-2015</t>
  </si>
  <si>
    <t>Moffat, Carlos F/0000-0002-7768-8275</t>
  </si>
  <si>
    <t>National Science Foundation Office of Polar programs through U.S. Southern Ocean GLOBEC [OPP 99-10092, 06-23223]; Chilean government</t>
  </si>
  <si>
    <t>National Science Foundation Office of Polar programs through U.S. Southern Ocean GLOBEC(National Science Foundation (NSF)); Chilean government</t>
  </si>
  <si>
    <t>We want to thank the crew of the research vessels L. M. Gould and N. B. Palmer for their help in the collection of the data used here. We also want to thank Richard Limeburner (WHOI) and Scott Worrilow (WHOI) and his crew in the Subsurface Mooring Operations Group and the Rigging Shop at WHOI for the successful deployment and recovery of the moored array and the preliminary data processing. John Klinck (Old Dominion University) provided the hydrographic data. Steve Lentz and Ken Brink (WHOI) and Glen Flierl (MIT) provided valuable comments to an early version of this paper. Two anonymous reviewers offered thoughtful criticism and suggestions for improvements to this paper. This work was supported by the National Science Foundation Office of Polar programs through U.S. Southern Ocean GLOBEC grants OPP 99-10092 and 06-23223. C. Moffat also received support from the Chilean government through its Presidential Fellowship program and the Coastal Ocean Institute at WHOI and the Cooperative Institute for Climate and Ocean Research at WHOI. This is U.S. GLOBEC contribution 639.</t>
  </si>
  <si>
    <t>2169-9275</t>
  </si>
  <si>
    <t>2169-9291</t>
  </si>
  <si>
    <t>J GEOPHYS RES-OCEANS</t>
  </si>
  <si>
    <t>J. Geophys. Res.-Oceans</t>
  </si>
  <si>
    <t>MAY 19</t>
  </si>
  <si>
    <t>C05017</t>
  </si>
  <si>
    <t>10.1029/2008JC004955</t>
  </si>
  <si>
    <t>Oceanography</t>
  </si>
  <si>
    <t>449XR</t>
  </si>
  <si>
    <t>WOS:000266364600002</t>
  </si>
  <si>
    <t>Seo, C; Sohn, JH; Ahn, JS; Yim, JH; Lee, HK; Oh, H</t>
  </si>
  <si>
    <t>Seo, Changon; Sohn, Jae Hak; Ahn, Jong Seog; Yim, Joung Han; Lee, Hong Kum; Oh, Hyuncheol</t>
  </si>
  <si>
    <t>Protein tyrosine phosphatase 1B inhibitory effects of depsidone and pseudodepsidone metabolites from the Antarctic lichen Stereocaulon alpinum</t>
  </si>
  <si>
    <t>BIOORGANIC &amp; MEDICINAL CHEMISTRY LETTERS</t>
  </si>
  <si>
    <t>Stereocaulon alpinum; Protein tyrosine phosphatase 1B (PTP1B); Depsidones; Lichen metabolites; Non-competitive inhibitors</t>
  </si>
  <si>
    <t>INSULIN SENSITIVITY; ACID; DERIVATIVES; RESISTANCE; OBESITY; PTP1B; MICE</t>
  </si>
  <si>
    <t>Seven phenolic lichen metabolites (1-7) have been isolated from a methanol extract of the Antarctic lichen Stereocaulon alpinum by various chromatographic methods. The structures of these compounds were determined mainly by analysis of NMR spectroscopic data. A depsidone-type compound, lobaric acid (1) and two pseudodepsidone-type compounds, 2 and 3, exhibited potent inhibitory activity against protein tyrosine phosphatase 1B (PTP1B) with IC50 values of 0.87 mu M, 6.86 mu M, and 2.48 mu M, respectively. Kinetic analyses of PTP1B inhibition by compounds 1 and 2 suggested that these compounds inhibited PTP1B activity in a non-competitive manner. (C) 2009 Elsevier Ltd. All rights reserved.</t>
  </si>
  <si>
    <t>[Seo, Changon; Sohn, Jae Hak; Oh, Hyuncheol] Silla Univ, Coll Med &amp; Life Sci, Pusan 617736, South Korea; [Ahn, Jong Seog] KRIBB, Taejon 305333, South Korea; [Yim, Joung Han; Lee, Hong Kum] KORDI, Korea Polar Res Inst, Inchon 406840, South Korea</t>
  </si>
  <si>
    <t>Silla University; Korea Research Institute of Bioscience &amp; Biotechnology (KRIBB); Korea Institute of Ocean Science &amp; Technology (KIOST); Korea Polar Research Institute (KOPRI)</t>
  </si>
  <si>
    <t>Oh, H (corresponding author), Silla Univ, Coll Med &amp; Life Sci, San 1-1 Gwaebeop Dong, Pusan 617736, South Korea.</t>
  </si>
  <si>
    <t>hoh@silla.ac.kr</t>
  </si>
  <si>
    <t>KOPRI [PE07050]</t>
  </si>
  <si>
    <t>KOPRI(Korea Polar Research Institute of Marine Research Placement (KOPRI))</t>
  </si>
  <si>
    <t>This work was supported by a Grant from the KOPRI Project (PE07050).</t>
  </si>
  <si>
    <t>0960-894X</t>
  </si>
  <si>
    <t>1464-3405</t>
  </si>
  <si>
    <t>BIOORG MED CHEM LETT</t>
  </si>
  <si>
    <t>Bioorg. Med. Chem. Lett.</t>
  </si>
  <si>
    <t>MAY 15</t>
  </si>
  <si>
    <t>10.1016/j.bmcl.2009.03.108</t>
  </si>
  <si>
    <t>Chemistry, Medicinal; Chemistry, Organic</t>
  </si>
  <si>
    <t>Pharmacology &amp; Pharmacy; Chemistry</t>
  </si>
  <si>
    <t>439LE</t>
  </si>
  <si>
    <t>WOS:000265627800043</t>
  </si>
  <si>
    <t>Geisz, H; Dickhut, R; Cochran, M; Fraser, W; Ducklow, H</t>
  </si>
  <si>
    <t>Geisz, Heidi; Dickhut, Rebecca; Cochran, Michele; Fraser, William; Ducklow, Hugh</t>
  </si>
  <si>
    <t>Response to Comment on Melting glaciers: a Probable Source of DDT to the Antarctic Marine Ecosystem</t>
  </si>
  <si>
    <t>ENVIRONMENTAL SCIENCE &amp; TECHNOLOGY</t>
  </si>
  <si>
    <t>Letter</t>
  </si>
  <si>
    <t>PCBS; WEST</t>
  </si>
  <si>
    <t>[Geisz, Heidi] Virginia Inst Marine Sci, Gloucester Point, VA 23062 USA; Polar Oceans Res Grp, Sheridan, MT 59749 USA; Marine Biol Lab, Ctr Ecosyst, Woods Hole, MA 02543 USA</t>
  </si>
  <si>
    <t>William &amp; Mary; Virginia Institute of Marine Science; Marine Biological Laboratory - Woods Hole</t>
  </si>
  <si>
    <t>Geisz, H (corresponding author), Virginia Inst Marine Sci, Gloucester Point, VA 23062 USA.</t>
  </si>
  <si>
    <t>heidig@vims.edu</t>
  </si>
  <si>
    <t>AMER CHEMICAL SOC</t>
  </si>
  <si>
    <t>1155 16TH ST, NW, WASHINGTON, DC 20036 USA</t>
  </si>
  <si>
    <t>0013-936X</t>
  </si>
  <si>
    <t>ENVIRON SCI TECHNOL</t>
  </si>
  <si>
    <t>Environ. Sci. Technol.</t>
  </si>
  <si>
    <t>10.1021/es900639g</t>
  </si>
  <si>
    <t>Engineering, Environmental; Environmental Sciences</t>
  </si>
  <si>
    <t>Engineering; Environmental Sciences &amp; Ecology</t>
  </si>
  <si>
    <t>445JI</t>
  </si>
  <si>
    <t>WOS:000266046700094</t>
  </si>
  <si>
    <t>van den Brink, N; Riddle, M; van den Heuvel-Greve, M; Allison, I; Snape, I; van Franeker, JA</t>
  </si>
  <si>
    <t>van den Brink, Nico; Riddle, Martin; van den Heuvel-Greve, Martine; Allison, Ian; Snape, Ian; van Franeker, Jan Andries</t>
  </si>
  <si>
    <t>Correspondence on Geisz et al. Melting Glaciers: A Probable Source of DDT to the Antarctic Marine Ecosystem</t>
  </si>
  <si>
    <t>ADELIE PENGUIN; SECTOR</t>
  </si>
  <si>
    <t>[van den Brink, Nico] Univ Wageningen &amp; Res Ctr, NL-6700 AA Wageningen, Netherlands; Australian Antarctic Div, Kingston, Tas 7050, Australia; Deltares, NL-2600 MH Delft, Netherlands; Wageningen IMARES, NL-1790 AD Den Burg, Texel, Netherlands</t>
  </si>
  <si>
    <t>Wageningen University &amp; Research; Australian Antarctic Division; Deltares; Wageningen University &amp; Research</t>
  </si>
  <si>
    <t>van den Brink, N (corresponding author), Univ Wageningen &amp; Res Ctr, POB 47, NL-6700 AA Wageningen, Netherlands.</t>
  </si>
  <si>
    <t>Allison, Ian F/I-4477-2015</t>
  </si>
  <si>
    <t>Allison, Ian F/0000-0001-9599-0251</t>
  </si>
  <si>
    <t>1520-5851</t>
  </si>
  <si>
    <t>10.1021/es8034494</t>
  </si>
  <si>
    <t>WOS:000266046700095</t>
  </si>
  <si>
    <t>Goodrich, CA; Fioretti, AM; Van Orman, J</t>
  </si>
  <si>
    <t>Goodrich, Cyrena Anne; Fioretti, Anna Maria; Van Orman, James</t>
  </si>
  <si>
    <t>Petrogenesis of augite-bearing ureilites Hughes 009 and FRO 90054/93008 inferred from melt inclusions in olivine, augite and orthopyroxene</t>
  </si>
  <si>
    <t>GEOCHIMICA ET COSMOCHIMICA ACTA</t>
  </si>
  <si>
    <t>MINERAL/MELT REACTION TEXTURE; RE-EQUILIBRATION; SILICATE-MELT; CLINOPYROXENE; PHENOCRYSTS; CRYSTAL; ORIGIN; MAGMAS; EVOLUTION; BEHAVIOR</t>
  </si>
  <si>
    <t>Melt inclusions in ureilites occur only in the small augite- and orthopyroxene-bearing subgroups. Previously [Goodrich C.A., Fioretti A.M., Tribaudino M. and Molin G. (2001) Primary trapped melt inclusions in olivine in the olivine-augite-orthopyroxene ureilite Hughes 009. Geochim. Cosmochim. Acta 65, 621-652] we described melt inclusions in olivine in the olivine-augite-orthopyroxene ureilite Hughes 009 (Hughes). FRO 90054/93008 (FRO) is a near-twin of Hughes, and has abundant melt inclusions in all three primary silicates. We use these inclusions to reconstruct the major, minor and rare earth element composition of the Hughes/FRO parent magma and evaluate models for the petrogenesis of aligite-bearing ureilites. Hughes and FRO consist of 23-47 vol% olivine (Fo 87.3 and 87.6, respectively), 7-52 vol% augite (mg 89.2, Wo 37.0 and mg 88.8, Wo 38.0, respectively), and 12-56 vol% orthopyroxene (mg 88.3, Wo 4.9 and mg 88.0, Wo 4.8, respectively). They have coarse-grained (&lt;= 3 mm), highly-equilibrated textures, with poikilitic relationships indicating the crystallization sequence olivine -&gt; augite -&gt; orthopyroxene. FRO is more shocked than Hughes, experienced greater secondary reduction, ad is more weathered. The two meteorites are probably derived from the same lithologic unit. Melt inclusions in olivine consist of glass +/- daughter cpx +/- metal-sulfide-phosphide spherules +/- chromite, and have completely reequilibrated Fe/Mg with their hosts. We follow the method of Goodrich et al. (2001) for reconstructing the composition of the primary trapped liquid they represent (olPTL), but correct all error in out, treatment of the effects of reequilibration. Inclusions in augite consist of glass, which shows only partial reequilibration of Fe/Mg. The composition of the primary trapped liquid they represent (augPTL) is reconstructed by reverse fractional crystallization of wall augite from the most ferroan glass. Inclusions in orthopyroxene consist of glass + 30-50 vol% daughter cpx. The cpx shows complete, but the glass only partial, reequilibration of Fe/Mg. A range of possible compositions for the primary trapped liquid they represent (opxPTL) is calculated by modal recombination of glass and cpx, followed by addition of wall orthopyroxene and adjustment of Fe/Mg for equilibrium with the primary orthopyroxene. Only a small subset of these compositions is plausible on the basis of being orthopyroxene-saturated. Results indicate that olPTL, assumed to represent the parent magma of these rocks, was saturated only with olivine and in equilibrium with Fo similar to 83. AugPTL and opxPTL are very similar in composition; both are close to augite + orthopyroxene co-saturation and in equilibrium with Fo 87/8. We Suggest that olPTL was reduced to Fo 87/8 due to smelting during ascent, and show that this produces a composition very similar to that of augPTL and opxPTL. REE data for each of the three primary silicates and the least evolved melt inclusions in olivine are used to calculate REE abundances in the Hughes/FRO parent magma. All four methods yield very similar results, indicating a REE pattern that is</t>
  </si>
  <si>
    <t>[Goodrich, Cyrena Anne] Kingsborough Community Coll, Dept Phys Sci, Brooklyn, NY 11235 USA; [Fioretti, Anna Maria] CNR, Ist Geosci, I-35127 Padua, Italy; [Fioretti, Anna Maria] CNR, Georisorse Sez Padova, I-35127 Padua, Italy; [Van Orman, James] Case Western Reserve Univ, Dept Geol Sci, Cleveland, OH 44120 USA</t>
  </si>
  <si>
    <t>City University of New York (CUNY) System; Consiglio Nazionale delle Ricerche (CNR); Consiglio Nazionale delle Ricerche (CNR); University System of Ohio; Case Western Reserve University</t>
  </si>
  <si>
    <t>Goodrich, CA (corresponding author), Planetary Sci Inst, 1700 E Ft Lowell, Tucson, AZ 85719 USA.</t>
  </si>
  <si>
    <t>cgoodrich@psi.edu</t>
  </si>
  <si>
    <t>Van Orman, James/0000-0001-8741-0288</t>
  </si>
  <si>
    <t>Max-Planck Institut fur Chemie, NASA [NNG05GH72G, NNX08AG63G]; NSF [0337125]; Programma Nazionale di Ricerche in Antartide (PNRA); NASA [101221, NNX08AG63G] Funding Source: Federal RePORTER; Division Of Earth Sciences; Directorate For Geosciences [0337125] Funding Source: National Science Foundation</t>
  </si>
  <si>
    <t>Max-Planck Institut fur Chemie, NASA(National Aeronautics &amp; Space Administration (NASA)); NSF(National Science Foundation (NSF)); Programma Nazionale di Ricerche in Antartide (PNRA); NASA(National Aeronautics &amp; Space Administration (NASA)); Division Of Earth Sciences; Directorate For Geosciences(National Science Foundation (NSF)NSF - Directorate for Geosciences (GEO))</t>
  </si>
  <si>
    <t>We thank John Longhi, Leonid Danyushevsky, Harold Connolly, David Mittlefchldt, Allan Treiman, Tim Grove, Michael Weisberg and Lionel Wilson for helpful discussions. We thank Elvira Macsenaere-Riester and Burkhard Schulz-Dobrick for assistance with EMPA, and Peter Hoppe, Elmar Groner, Roger Strebel and Jutta Zipfel for assistance with SIMS. We are grateful to Luigi Folco (Museo Nazionale per l'Antartide) and Caroline Smith (Natural History Museum) for the loan of thin sections of FRO meteorites. We thank reviewers Alex Ruzicka, John Longhi, and the associate editor Christian Koeberl, for reviews that led to significant improvement of this manuscript. This work was Supported by Max-Planck Institut fur Chemie, NASA Grant NNG05GH72G to C.A. Goodrich, NASA Grant NNX08AG63G to C.A. Goodrich (P.I.) and J.A. Van Orman (Co-I). NSF Grant 0337125 to J.A. Van Orman, and a grain (Antarctic Meteorites) from Programma Nazionale di Ricerche in Antartide (PNRA) to A.M. Fioretti.</t>
  </si>
  <si>
    <t>0016-7037</t>
  </si>
  <si>
    <t>1872-9533</t>
  </si>
  <si>
    <t>GEOCHIM COSMOCHIM AC</t>
  </si>
  <si>
    <t>Geochim. Cosmochim. Acta</t>
  </si>
  <si>
    <t>10.1016/j.gca.2009.02.018</t>
  </si>
  <si>
    <t>440AF</t>
  </si>
  <si>
    <t>WOS:000265669300022</t>
  </si>
  <si>
    <t>Bamber, JL; Riva, REM; Vermeersen, BLA; LeBrocq, AM</t>
  </si>
  <si>
    <t>Bamber, Jonathan L.; Riva, Riccardo E. M.; Vermeersen, Bert L. A.; LeBrocq, Anne M.</t>
  </si>
  <si>
    <t>Reassessment of the Potential Sea-Level Rise from a Collapse of the West Antarctic Ice Sheet</t>
  </si>
  <si>
    <t>SCIENCE</t>
  </si>
  <si>
    <t>EARTH; MODEL</t>
  </si>
  <si>
    <t>Theory has suggested that the West Antarctic Ice Sheet may be inherently unstable. Recent observations lend weight to this hypothesis. We reassess the potential contribution to eustatic and regional sea level from a rapid collapse of the ice sheet and find that previous assessments have substantially overestimated its likely primary contribution. We obtain a value for the global, eustatic sea-level rise contribution of about 3.3 meters, with important regional variations. The maximum increase is concentrated along the Pacific and Atlantic seaboard of the United States, where the value is about 25% greater than the global mean, even for the case of a partial collapse.</t>
  </si>
  <si>
    <t>[Bamber, Jonathan L.] Univ Bristol, Sch Geog Sci, Bristol Glaciol Ctr, Bristol BS8 1SS, Avon, England; [Riva, Riccardo E. M.; Vermeersen, Bert L. A.] Delft Univ Technol, Delft Inst Earth Observat &amp; Space Syst, NL-2629 HS Delft, Netherlands; [LeBrocq, Anne M.] Univ Durham, Dept Geog, Durham DH1 3LE, England</t>
  </si>
  <si>
    <t>University of Bristol; Delft University of Technology; Durham University</t>
  </si>
  <si>
    <t>Bamber, JL (corresponding author), Univ Bristol, Sch Geog Sci, Bristol Glaciol Ctr, Bristol BS8 1SS, Avon, England.</t>
  </si>
  <si>
    <t>j.bamber@bristol.ac.uk</t>
  </si>
  <si>
    <t>Bamber, Jonathan/C-7608-2011</t>
  </si>
  <si>
    <t>Bamber, Jonathan/0000-0002-2280-2819; Riva, Riccardo/0000-0002-2042-5669</t>
  </si>
  <si>
    <t>UK Natural Environment Research Council [NE/E004032/1]; Colorado University Cooperative Institute for Research in Environmental Sciences (CIRES) fellowship; Natural Environment Research Council [NE/E004032/1] Funding Source: researchfish; NERC [NE/E004032/1] Funding Source: UKRI</t>
  </si>
  <si>
    <t>UK Natural Environment Research Council(UK Research &amp; Innovation (UKRI)Natural Environment Research Council (NERC)); Colorado University Cooperative Institute for Research in Environmental Sciences (CIRES) fellowship; Natural Environment Research Council(UK Research &amp; Innovation (UKRI)Natural Environment Research Council (NERC)); NERC(UK Research &amp; Innovation (UKRI)Natural Environment Research Council (NERC))</t>
  </si>
  <si>
    <t>The authors thank R. Bindschadler, R. Thomas, D. Vaughan, and four anonymous referees for helpful and constructive comments on a draft of the paper. J.L.B. was supported by UK Natural Environment Research Council grant NE/E004032/1 and a Colorado University Cooperative Institute for Research in Environmental Sciences (CIRES) fellowship.</t>
  </si>
  <si>
    <t>AMER ASSOC ADVANCEMENT SCIENCE</t>
  </si>
  <si>
    <t>1200 NEW YORK AVE, NW, WASHINGTON, DC 20005 USA</t>
  </si>
  <si>
    <t>0036-8075</t>
  </si>
  <si>
    <t>1095-9203</t>
  </si>
  <si>
    <t>Science</t>
  </si>
  <si>
    <t>10.1126/science.1169335</t>
  </si>
  <si>
    <t>Multidisciplinary Sciences</t>
  </si>
  <si>
    <t>Science &amp; Technology - Other Topics</t>
  </si>
  <si>
    <t>445KD</t>
  </si>
  <si>
    <t>WOS:000266048800028</t>
  </si>
  <si>
    <t>Reyes, LH; Mar, JLG; Rahman, GMM; Seybert, B; Fahrenholz, T; Kingston, HMS</t>
  </si>
  <si>
    <t>Reyes, Laura Hinojosa; Mar, Jorge L. Guzman; Rahman, G. M. Mizanur; Seybert, Bryan; Fahrenholz, Timothy; Kingston, H. M. Skip</t>
  </si>
  <si>
    <t>Simultaneous determination of arsenic and selenium species in fish tissues using microwave-assisted enzymatic extraction and ion chromatography-inductively coupled plasma mass spectrometry</t>
  </si>
  <si>
    <t>TALANTA</t>
  </si>
  <si>
    <t>Microwave-assisted enzymatic extraction; Arsenic speciation; Selenium speciation; IC-ICP-MS; Fish tissues</t>
  </si>
  <si>
    <t>CERTIFIED REFERENCE MATERIALS; SPECIATION ANALYSIS; BIOLOGICAL TISSUES; ANTARCTIC KRILL; REACTION CELL; ICP-MS; SAMPLES; DIGESTION; QUANTIFICATION; MERCURY</t>
  </si>
  <si>
    <t>A microwave-assisted enzymatic extraction (MAEE) method was developed for the simultaneous extraction or arsenic (As) and selenium (Se) species in fish tissues. The extraction efficiency of total As and Se and the stability of As and Se species were evaluated by analyzing DOLT-3 (dogfish liver). Enzymatic extraction using pronase E/lipase mixture assisted by microwave energy was found to give satisfactory extraction recoveries for As and Se without promoting interspecies conversion. The optimum extraction conditions were found to be 0.2 g of sample, 20 mg pronase E and 5 mg lipase in 10 mL of 50 mM phosphate buffer, pH 7.25 at 37 degrees C. The total extraction time was 30 min. The speciation analysis was performed by ion chromatography-Inductively coupled plasma mass spectrometry (IC-ICP-MS). The accuracy of the developed extraction procedure was verified by analyzing two reference materials, DOLT-3 and BCR-627. The extraction recoveries in those reference materials ranged between 82 and 94% for As and 57 and 97% for Se. The accuracy of arsenic species measurement was tested by the analysis of BCR 627. The proposed method was applied to determine As and Se species in fish tissues purchased from a local fish market. Arsenobetaine (AsB) and selenomethionine (SeMet) were the major species detected in fish tissues. In the analyzed fish extracts, the sum of As species detected was in good agreement with the total As extracted. However, for Se, the sum of its species was lower than the total Se extracted, revealing the presence of Se-containing peptides or proteins. (c) 2009 Elsevier B.V. All rights reserved.</t>
  </si>
  <si>
    <t>[Reyes, Laura Hinojosa; Mar, Jorge L. Guzman; Rahman, G. M. Mizanur; Seybert, Bryan; Fahrenholz, Timothy; Kingston, H. M. Skip] Duquesne Univ, Dept Chem &amp; Biochem, Pittsburgh, PA 15282 USA</t>
  </si>
  <si>
    <t>Duquesne University</t>
  </si>
  <si>
    <t>Reyes, LH (corresponding author), Duquesne Univ, Dept Chem &amp; Biochem, Pittsburgh, PA 15282 USA.</t>
  </si>
  <si>
    <t>hinojosalr@gmail.com</t>
  </si>
  <si>
    <t>Mar, Jorge Luis Guzmán/AAR-4897-2021; Mar, Jorge Luis Guzmán/AAY-5035-2020; Reyes, Laura/HSI-0284-2023; Hinojosa-Reyes, Laura/AAY-5022-2020</t>
  </si>
  <si>
    <t>Mar, Jorge Luis Guzmán/0000-0001-9258-8179; Hinojosa-Reyes, Laura/0000-0002-4153-1727</t>
  </si>
  <si>
    <t>Milestone, Sri; CONACyT-Mexico</t>
  </si>
  <si>
    <t>Milestone, Sri; CONACyT-Mexico(Consejo Nacional de Ciencia y Tecnologia (CONACyT))</t>
  </si>
  <si>
    <t>The authors are grateful to Milestone, Sri; Metrohm-Peak, LLC; Applied Isotope Technologies, Inc.; and Duquesne University for instrumental and material Support. L.H. Reyes thanks Milestone, Sri for financial support. J.L. GUZman Mar specially acknowledges CONACyT-Mexico for the postdoctoral scholarship.</t>
  </si>
  <si>
    <t>0039-9140</t>
  </si>
  <si>
    <t>1873-3573</t>
  </si>
  <si>
    <t>Talanta</t>
  </si>
  <si>
    <t>10.1016/j.talanta.2009.01.003</t>
  </si>
  <si>
    <t>Chemistry, Analytical</t>
  </si>
  <si>
    <t>430GJ</t>
  </si>
  <si>
    <t>WOS:000264976600056</t>
  </si>
  <si>
    <t>Hibbins, RE; Jarvis, MJ; Ford, EAK</t>
  </si>
  <si>
    <t>Hibbins, R. E.; Jarvis, M. J.; Ford, E. A. K.</t>
  </si>
  <si>
    <t>Quasi-biennial oscillation influence on long-period planetary waves in the Antarctic upper mesosphere</t>
  </si>
  <si>
    <t>JOURNAL OF GEOPHYSICAL RESEARCH-ATMOSPHERES</t>
  </si>
  <si>
    <t>IMAGING DOPPLER INTERFEROMETER; LOWER THERMOSPHERE; MEAN WINDS; MESOPAUSE REGION; MIDDLE ATMOSPHERE; SASKATOON 52-DEGREES-N; NORTHERN-HEMISPHERE; SEMIDIURNAL TIDE; METEOR ECHOES; 16-DAY WAVES</t>
  </si>
  <si>
    <t>Long-period planetary wave data derived from meteor wind observations recorded over a 12-year period with the SuperDARN radar at Halley, Antarctica, are presented and compared with the phase of the quasi-biennial oscillation (QBO) throughout the equatorial stratosphere. Enhanced planetary wave activity in the Antarctic upper mesosphere is found during the summer months, when the QBO in the equatorial upper stratosphere is westerly, and during the late winter, when the QBO in the upper stratosphere is easterly. These quasi-biennial enhancements in planetary wave activity coincide with a reduction in strength, by up to 30%, of the late-winter eastward winds in the Antarctic upper mesosphere. In addition, when the QBO is in the correct phase for enhanced planetary wave activity in the upper mesosphere above Halley, planetary wave activity measured in the upper mesosphere of the high-latitude Northern Hemisphere is reduced (and vice versa). These results clearly indicate significant interhemispheric propagation of planetary waves from the winter to summer hemispheres. Observational evidence that the stratospheric QBO induces a strong enough QBO in the equatorial upper mesosphere to act as a gate to the interhemispheric propagation of these long-period waves is discussed in light of these results.</t>
  </si>
  <si>
    <t>[Hibbins, R. E.; Jarvis, M. J.; Ford, E. A. K.] British Antarctic Survey, Div Phys Sci, Cambridge CB3 0ET, England</t>
  </si>
  <si>
    <t>UK Research &amp; Innovation (UKRI); Natural Environment Research Council (NERC); NERC British Antarctic Survey</t>
  </si>
  <si>
    <t>Hibbins, RE (corresponding author), British Antarctic Survey, Div Phys Sci, Cambridge CB3 0ET, England.</t>
  </si>
  <si>
    <t>rehi@bas.ac.uk</t>
  </si>
  <si>
    <t>Hibbins, Robert/0000-0002-6867-2255</t>
  </si>
  <si>
    <t>UK Natural Environment Research Council; U. S. National Science Foundation [DPP-8602975]; Science and Technology Facilities Council, UK; Natural Environment Research Council [bas0100023, NE/D002753/1, bas010022] Funding Source: researchfish; NERC [bas010022, NE/D002753/1, bas0100023] Funding Source: UKRI</t>
  </si>
  <si>
    <t>UK Natural Environment Research Council(UK Research &amp; Innovation (UKRI)Natural Environment Research Council (NERC)); U. S. National Science Foundation(National Science Foundation (NSF)); Science and Technology Facilities Council, UK(UK Research &amp; Innovation (UKRI)Science &amp; Technology Facilities Council (STFC)); Natural Environment Research Council(UK Research &amp; Innovation (UKRI)Natural Environment Research Council (NERC)); NERC(UK Research &amp; Innovation (UKRI)Natural Environment Research Council (NERC))</t>
  </si>
  <si>
    <t>The authors would like to thank the staff of the Engineering and Data Management Group of the Physical Sciences Division at the British Antarctic Survey for their technical assistance and for the maintenance and operation of the Halley SuperDARN radar over the years, which was developed under funding from the UK Natural Environment Research Council and the U. S. National Science Foundation (grant DPP-8602975). The Pykkvibaer SuperDARN radar is operated by the Radio and Space Plasma Physics Group, University of Leicester, with funding provided by the Science and Technology Facilities Council, UK, and its predecessor research council, the Particle Physics and Astronomy Research Council.</t>
  </si>
  <si>
    <t>2169-897X</t>
  </si>
  <si>
    <t>2169-8996</t>
  </si>
  <si>
    <t>J GEOPHYS RES-ATMOS</t>
  </si>
  <si>
    <t>J. Geophys. Res.-Atmos.</t>
  </si>
  <si>
    <t>MAY 14</t>
  </si>
  <si>
    <t>D09109</t>
  </si>
  <si>
    <t>10.1029/2008JD011174</t>
  </si>
  <si>
    <t>446DI</t>
  </si>
  <si>
    <t>Green Accepted, Bronze</t>
  </si>
  <si>
    <t>WOS:000266100200001</t>
  </si>
  <si>
    <t>Rind, D; Jonas, J; Stammerjohn, S; Lonergan, P</t>
  </si>
  <si>
    <t>Rind, D.; Jonas, J.; Stammerjohn, S.; Lonergan, P.</t>
  </si>
  <si>
    <t>The Antarctic ozone hole and the Northern Annular Mode: A stratospheric interhemispheric connection</t>
  </si>
  <si>
    <t>HEMISPHERE CLIMATE-CHANGE; TEMPERATURE; SIMULATION; TRENDS</t>
  </si>
  <si>
    <t>The S.H. ozone hole deepened into the mid-1990s, while the Northern Annular Mode (NAM) became more positive. Both effects have since stabilized. We investigate a possible connection with modeling experiments of a S. H. spring ozone hole, and also year-round ozone loss in both polar regions. The S. H. ozone hole results in a more positive NAM-like phase extending down to the surface. Reduced vertical stability increases S. H. tropospheric wave energy flux into the stratosphere which drives a residual circulation with relative subsidence over the Southern pole and upwelling and reduced planetary wave energy flux at Northern high latitudes. The results suggest that similar trends in the Southern Ozone hole and the NAM over the last 20 years may be more than just a coincidence, although other factors undoubtedly influence the Northern high latitude circulation. Citation: Rind, D., J. Jonas, S. Stammerjohn, and P. Lonergan (2009), The Antarctic ozone hole and the Northern Annular Mode: A stratospheric interhemispheric connection, Geophys. Res. Lett., 36, L09818, doi: 10.1029/2009GL037866.</t>
  </si>
  <si>
    <t>[Rind, D.; Stammerjohn, S.] NASA, Goddard Inst Space Studies, New York, NY 10025 USA; [Jonas, J.; Lonergan, P.] Columbia Univ, Ctr Climate Syst Res, New York, NY 10025 USA</t>
  </si>
  <si>
    <t>National Aeronautics &amp; Space Administration (NASA); NASA Goddard Space Flight Center; Goddard Institute for Space Studies; Columbia University</t>
  </si>
  <si>
    <t>Rind, D (corresponding author), NASA, Goddard Inst Space Studies, New York, NY 10025 USA.</t>
  </si>
  <si>
    <t>drind@giss.nasa.gov</t>
  </si>
  <si>
    <t>STAMMERJOHN, SHARON/0000-0002-1697-8244</t>
  </si>
  <si>
    <t>NASA Atmospheric Composition Focus Area; NASA HMD high speed computing program</t>
  </si>
  <si>
    <t>NASA Atmospheric Composition Focus Area; NASA HMD high speed computing program(National Aeronautics &amp; Space Administration (NASA))</t>
  </si>
  <si>
    <t>This work was supported by the NASA Atmospheric Composition Focus Area and the NASA HMD high speed computing program. We also thank the referenced website for EP flux data.</t>
  </si>
  <si>
    <t>MAY 13</t>
  </si>
  <si>
    <t>L09818</t>
  </si>
  <si>
    <t>10.1029/2009GL037866</t>
  </si>
  <si>
    <t>446CX</t>
  </si>
  <si>
    <t>WOS:000266099100006</t>
  </si>
  <si>
    <t>Chen, C; Sedwick, PN; Sharma, M</t>
  </si>
  <si>
    <t>Chen, Cynthia; Sedwick, Peter N.; Sharma, Mukul</t>
  </si>
  <si>
    <t>Anthropogenic osmium in rain and snow reveals global-scale atmospheric contamination</t>
  </si>
  <si>
    <t>PROCEEDINGS OF THE NATIONAL ACADEMY OF SCIENCES OF THE UNITED STATES OF AMERICA</t>
  </si>
  <si>
    <t>pollution; seawater; isotopes; platinum group metals; precipitation</t>
  </si>
  <si>
    <t>GROUP ELEMENT CONCENTRATIONS; LONG-ISLAND SOUND; ISOTOPIC COMPOSITION; RE-187-OS-187 SYSTEMATICS; PART II; PLATINUM; PALLADIUM; BEHAVIOR; RHODIUM; SEDIMENTS</t>
  </si>
  <si>
    <t>Osmium is one of the rarer elements in seawater, with typical concentration of approximate to 10 x 10(-15) g g(-1) ( 5.3 x 10(-14) mol kg(-1)). The osmium isotope composition (Os-187/Os-188 ratio) of deep oceans is 1.05, reflecting a balance between inputs from continental crust (approximate to 1.3) and mantle/cosmic dust (approximate to 0.13). Here, we show that the Os-187/Os-188 ratios measured in rain and snow collected around the world range from 0.16 to 0.48, much lower than expected (&gt;1), but similar to the isotope composition of ores (approximate to 0.2) that are processed to extract platinum and other metals to be used primarily in automobile catalytic converters. Present-day surface seawater has a lower Os-187/Os-188 ratio (approximate to 0.95) than deep waters, suggesting that human activities have altered the isotope composition of the world's oceans and impacted the global geochemical cycle of osmium. The contamination of the surface ocean is particularly remarkable given that osmium has few industrial uses. The pollution may increase with growing demand for platinum-based catalysts.</t>
  </si>
  <si>
    <t>[Chen, Cynthia; Sharma, Mukul] Dartmouth Coll, Dept Earth Sci, Radiogen Isotope Geochem Lab, Hanover, NH 03755 USA; [Sedwick, Peter N.] Old Dominion Univ, Dept Ocean Earth &amp; Atmospher Sci, Norfolk, VA 23529 USA</t>
  </si>
  <si>
    <t>Dartmouth College; Old Dominion University</t>
  </si>
  <si>
    <t>Sharma, M (corresponding author), Dartmouth Coll, Dept Earth Sci, Radiogen Isotope Geochem Lab, 6105 Sherman Fairchild Hall, Hanover, NH 03755 USA.</t>
  </si>
  <si>
    <t>mukul.sharma@dartmouth.edu</t>
  </si>
  <si>
    <t>Sedwick, Peter/0000-0003-0663-8323</t>
  </si>
  <si>
    <t>National Science Foundation Chemical Oceanography; Antarctic Organisms and Ecosystems Programs; Directorate For Geosciences; Division Of Ocean Sciences [0926780] Funding Source: National Science Foundation; Division Of Ocean Sciences; Directorate For Geosciences [0751649] Funding Source: National Science Foundation</t>
  </si>
  <si>
    <t>National Science Foundation Chemical Oceanography(National Science Foundation (NSF)NSF - Directorate for Geosciences (GEO)); Antarctic Organisms and Ecosystems Programs(National Science Foundation (NSF)NSF - Directorate for Geosciences (GEO)); Directorate For Geosciences; Division Of Ocean Sciences(National Science Foundation (NSF)NSF - Directorate for Geosciences (GEO)); Division Of Ocean Sciences; Directorate For Geosciences(National Science Foundation (NSF)NSF - Directorate for Geosciences (GEO))</t>
  </si>
  <si>
    <t>We thank the following individuals who provided us samples: North Atlantic GEOTRACES samples [E. A. Boyle, Massachusetts Institute of Technology (MIT)], East Pacific (G. E. Ravizza, University of Hawaii), Almere rain (C. J. Beets, Frei Univ. Amsterdam), Mangalore rain (K. Balakrishna, MIT, India), California snow (R. Osterhuber, CSSL), and North American precipitation (C. Lehmann, NADP). East Antarctic samples were collected by C. C. on SIPEX cruise conducted by the Australian Antarctic Division. Wethank A. Bowie for making this possible, and D. Lannuzuel and P. Van der Merwe for help in collecting samples. We thank G. J. Wasserburg for comments and suggestions on an earlier version of this article. Official reviews from 3 anonymous reviewers and K. K. Turekian are gratefully acknowledged because they have led to substantial improvement of the manuscript. This work was supported in part by grants from the National Science Foundation Chemical Oceanography and Antarctic Organisms and Ecosystems Programs.</t>
  </si>
  <si>
    <t>NATL ACAD SCIENCES</t>
  </si>
  <si>
    <t>2101 CONSTITUTION AVE NW, WASHINGTON, DC 20418 USA</t>
  </si>
  <si>
    <t>0027-8424</t>
  </si>
  <si>
    <t>P NATL ACAD SCI USA</t>
  </si>
  <si>
    <t>Proc. Natl. Acad. Sci. U. S. A.</t>
  </si>
  <si>
    <t>MAY 12</t>
  </si>
  <si>
    <t>10.1073/pnas.0811803106</t>
  </si>
  <si>
    <t>447RG</t>
  </si>
  <si>
    <t>Green Published, Green Submitted, Bronze</t>
  </si>
  <si>
    <t>WOS:000266208900011</t>
  </si>
  <si>
    <t>Cedhagen, T; Gooday, AJ; Pawlowski, J</t>
  </si>
  <si>
    <t>Cedhagen, Tomas; Gooday, Andrew J.; Pawlowski, Jan</t>
  </si>
  <si>
    <t>A new genus and two new species of saccamminid foraminiferans (Protista, Rhizaria) from the deep Southern Ocean</t>
  </si>
  <si>
    <t>ZOOTAXA</t>
  </si>
  <si>
    <t>Foraminifera; Weddell Sea; Antarctica; Leptammina; Taxonomy; Deep Sea; ANDEEP</t>
  </si>
  <si>
    <t>MONOTHALAMOUS FORAMINIFERAN; WEDDELL SEA; ALLOGROMIID FORAMINIFERA; TAXONOMIC COMPOSITION; SP-NOV; DIVERSITY; BIODIVERSITY; ATLANTIC; BATHYAL; BIOGEOGRAPHY</t>
  </si>
  <si>
    <t>We describe two new species of spherical single-chambered ('saccamminid') foraminifera from the bathyal and abyssal Weddell Sea (Southern Ocean), collected in epibenthic sledge and Agassiz trawl samples obtained during the 2005 ANDEEP III campaign. Both are assigned to Leptammina gen. nov. The new genus is similar in overall test morphology to Saccammina Carpenter, 1869; it is distinguished mainly by its test wall, which is delicate, flexible and composed of fine mineral grains, rather than being rigid and coarsely agglutinated. In Leptammina grisea gen. et sp. nov., the test wall is relatively thick, grayish with a violet tinge and a dull surface; the cytoplasm is dark greenish. In Leptammina flavofusca gen. et sp. nov., the test is yellowish brown, with a very finely, almost transluscent agglutinated wall; the cytoplasm is pale yellowish. Both species have prominent circular apertures. Maximum likelihood phylogenetic analysis of SSU rRNA gene data showed that both species group together with an undescribed shallow-water Antarctic species (silver saccamminid) in a very strongly supported clade (100 %). Leptammina grisea gen. et sp. nov. is a relatively uncommon species (29 specimens from 3 stations), found at 1580-4822 m depth in the central and north-western Weddell Sea; Leptammina flavofusca gen. et sp. nov. is common (398 specimens from 4 stations) at depths of 3138-4795 m in the central Weddell Sea and off Kapp Norvegia. Both species are presently known only from ANDEEP III samples.</t>
  </si>
  <si>
    <t>[Cedhagen, Tomas] Univ Aarhus, Dept Marine Ecol, Inst Biol Sci, DK-8200 Aarhus N, Denmark; [Gooday, Andrew J.] Natl Oceanog Ctr, Southampton SO14 3ZH, Hants, England; [Pawlowski, Jan] Univ Geneva, Dept Zool &amp; Anim Biol, CH-1211 Geneva 4, Switzerland</t>
  </si>
  <si>
    <t>Aarhus University; NERC National Oceanography Centre; University of Geneva</t>
  </si>
  <si>
    <t>Cedhagen, T (corresponding author), Univ Aarhus, Dept Marine Ecol, Inst Biol Sci, Finlandsgade 14, DK-8200 Aarhus N, Denmark.</t>
  </si>
  <si>
    <t>cedhagen@biology.au.dk</t>
  </si>
  <si>
    <t>Pawlowski, Jan/AAO-3306-2021; Gooday, Andrew/ABB-4267-2020; Gooday, Andrew/AAH-8991-2021; Pawlowski, Jan/JNS-6857-2023; Cedhagen, Tomas/J-6426-2013</t>
  </si>
  <si>
    <t>Pawlowski, Jan/0000-0003-2421-388X; Gooday, Andrew/0000-0002-5661-7371; Cedhagen, Tomas/0000-0003-4550-8177</t>
  </si>
  <si>
    <t>Danish Research Agency [95091435]; UK Natural Environment Research Council [NER/B/S/2001/00336]; Swiss National Science Foundation [3100A0-112645]</t>
  </si>
  <si>
    <t>Danish Research Agency; UK Natural Environment Research Council(UK Research &amp; Innovation (UKRI)Natural Environment Research Council (NERC)); Swiss National Science Foundation(Swiss National Science Foundation (SNSF))</t>
  </si>
  <si>
    <t>We thank Prof. Angelika Brandt for inviting two of us (AJG, TC) to participate in the ANDEEP III expedition and making available material from the epibenthic sledge and Agassiz trawl, Prof. Eberhard Fahrbach for his efficient running of the Polarstern ANT XXII/3 cruise, and the Captain, officers and crew of the RV Polarstern for their assistance during the cruise. We also thank Mrs. Susanne Petersen for help with histological and SEM work, and Jackie Guiard for cloning and sequencing. This study was supported by the Danish Research Agency (Grant no. 95091435 to TC), the UK Natural Environment Research Council (Grant no. NER/B/S/2001/00336 to AJG), and the Swiss National Science Foundation (Grant no. 3100A0-112645 to JP). This is ANDEEP publication no 110. This publication also contributes to the CoML field project CeDAMar.</t>
  </si>
  <si>
    <t>MAGNOLIA PRESS</t>
  </si>
  <si>
    <t>AUCKLAND</t>
  </si>
  <si>
    <t>PO BOX 41383, AUCKLAND, ST LUKES 1030, NEW ZEALAND</t>
  </si>
  <si>
    <t>1175-5326</t>
  </si>
  <si>
    <t>1175-5334</t>
  </si>
  <si>
    <t>Zootaxa</t>
  </si>
  <si>
    <t>MAY 11</t>
  </si>
  <si>
    <t>10.11646/zootaxa.2096.1.3</t>
  </si>
  <si>
    <t>Zoology</t>
  </si>
  <si>
    <t>447ZW</t>
  </si>
  <si>
    <t>Green Accepted, Green Submitted, Bronze</t>
  </si>
  <si>
    <t>WOS:000266231900002</t>
  </si>
  <si>
    <t>Lecroq, B; Gooday, AJ; Pawlowski, J</t>
  </si>
  <si>
    <t>Lecroq, Beatrice; Gooday, Andrew John; Pawlowski, Jan</t>
  </si>
  <si>
    <t>Global genetic homogeneity in the deep-sea foraminiferan Epistominella exigua (Rotaliida: Pseudoparrellidae)</t>
  </si>
  <si>
    <t>deep-sea diversity; meiofauna; Foraminifera; SSU rDNA; ITS rDNA; geographic distribution</t>
  </si>
  <si>
    <t>BENTHIC FORAMINIFERA; DIVERSITY; DIFFERENTIATION; PHYTODETRITUS; BIODIVERSITY; DISPERSAL</t>
  </si>
  <si>
    <t>Epistominella exigua is one of the most common deep-sea foraminiferal morphospecies and has a world-wide distribution. A recent molecular study revealed high genetic similarity between Arctic, Atlantic and Antarctic populations of this species. Here, we show that the small-subunit (SSU) and internal transcribed spacer (ITS) rDNA sequences of an E. exigua population from Pacific are almost identical to those reported previously from the other three oceans. This result confirms the genetic homogeneity of E. exigua, which contrasts with the prevalence of highly differentiated populations in planktonic and shallow-water benthic foraminiferans. We discuss special features of diversifications mechanisms in the deep sea that may be responsible for the lack of genetic differentiation and global distribution of some meiofauna species.</t>
  </si>
  <si>
    <t>[Lecroq, Beatrice; Pawlowski, Jan] Univ Geneva, Dept Zool &amp; Anim Biol, CH-1211 Geneva 4, Switzerland; [Gooday, Andrew John] Natl Oceanog Ctr, Southampton SO14 3ZH, Hants, England</t>
  </si>
  <si>
    <t>University of Geneva; NERC National Oceanography Centre</t>
  </si>
  <si>
    <t>Lecroq, B (corresponding author), Univ Geneva, Dept Zool &amp; Anim Biol, CH-1211 Geneva 4, Switzerland.</t>
  </si>
  <si>
    <t>Beatrice.Lecroq@unige.ch</t>
  </si>
  <si>
    <t>Gooday, Andrew/ABB-4267-2020; Pawlowski, Jan/JNS-6857-2023; Gooday, Andrew/AAH-8991-2021</t>
  </si>
  <si>
    <t>Gooday, Andrew/0000-0002-5661-7371;</t>
  </si>
  <si>
    <t>Swiss National Science Foundation [3100A0-112645]; U.K. Natural Environment Research Council [NER/B/S/2001/00336]</t>
  </si>
  <si>
    <t>Swiss National Science Foundation(Swiss National Science Foundation (SNSF)); U.K. Natural Environment Research Council(UK Research &amp; Innovation (UKRI)Natural Environment Research Council (NERC))</t>
  </si>
  <si>
    <t>We thank Junichiro Ashi, Minoru Ikehara and captain and crew of R/V Hakuho-Maru KH06-03; and Angelika Brandt, Brigitte Hilbig, Ingo Schewe, Eberhard Fahrbach and captains and crew of R/V Polarstern for help in collecting foraminiferans; Jose Fahrni, Jackie Guiard, Estella Poloni and Frederic Sinniger for technical assistance and help with analyses. The work was supported by the Swiss National Science Foundation (3100A0-112645) and the U.K. Natural Environment Research Council (NER/B/S/2001/00336).</t>
  </si>
  <si>
    <t>10.11646/zootaxa.2096.1.4</t>
  </si>
  <si>
    <t>WOS:000266231900003</t>
  </si>
  <si>
    <t>Martínez, IS; Arbeloa, CS; Chavala, MA; Carmen, JMF</t>
  </si>
  <si>
    <t>Soteras Martinez, Inigo; Seron Arbeloa, Carlos; Avellanas Chavala, Manuel; Facil Carmen, Jose Maria</t>
  </si>
  <si>
    <t>Antarctic medicine in 2008; International Polar Year and 20th anniversary of the Spanish Antarctic Base</t>
  </si>
  <si>
    <t>MEDICINA CLINICA</t>
  </si>
  <si>
    <t>Spanish</t>
  </si>
  <si>
    <t>Editorial Material</t>
  </si>
  <si>
    <t>[Soteras Martinez, Inigo; Facil Carmen, Jose Maria] UME, Unidad Rescate Montana, Aragon, Huesca, Spain; [Seron Arbeloa, Carlos; Avellanas Chavala, Manuel] Hosp San Jorge, Unidad Cuidados Intensivos, Huesca, Spain</t>
  </si>
  <si>
    <t>Hospital Universidad San Jorge</t>
  </si>
  <si>
    <t>Martínez, IS (corresponding author), UME, Unidad Rescate Montana, Aragon, Huesca, Spain.</t>
  </si>
  <si>
    <t>inigosoteras@yahoo.es</t>
  </si>
  <si>
    <t>Soteras, Inigo/ABA-5415-2020</t>
  </si>
  <si>
    <t>Soteras, Inigo/0000-0002-5325-5213; Seron, Carlos/0000-0002-8068-5016</t>
  </si>
  <si>
    <t>ELSEVIER ESPANA SLU</t>
  </si>
  <si>
    <t>BARCELONA</t>
  </si>
  <si>
    <t>AV JOSEP TARRADELLAS, 20-30, 1ERA PLANTA, BARCELONA, CP-08029, SPAIN</t>
  </si>
  <si>
    <t>0025-7753</t>
  </si>
  <si>
    <t>1578-8989</t>
  </si>
  <si>
    <t>MED CLIN-BARCELONA</t>
  </si>
  <si>
    <t>Med. Clin.</t>
  </si>
  <si>
    <t>MAY 9</t>
  </si>
  <si>
    <t>10.1016/j.medcli.2008.10.045</t>
  </si>
  <si>
    <t>Medicine, General &amp; Internal</t>
  </si>
  <si>
    <t>General &amp; Internal Medicine</t>
  </si>
  <si>
    <t>451PO</t>
  </si>
  <si>
    <t>WOS:000266482300007</t>
  </si>
  <si>
    <t>Maggi, C; Berducci, MT; Bianchi, J; Giani, M; Campanella, L</t>
  </si>
  <si>
    <t>Maggi, Chiara; Berducci, Maria Teresa; Bianchi, Jessica; Giani, Michele; Campanella, Luigi</t>
  </si>
  <si>
    <t>Methylmercury determination in marine sediment and organisms by Direct Mercury Analyser</t>
  </si>
  <si>
    <t>ANALYTICA CHIMICA ACTA</t>
  </si>
  <si>
    <t>Methylmercury; Direct Mercury Analyser; Marine sediments; Biological tissues; Antarctica</t>
  </si>
  <si>
    <t>AQUATIC ENVIRONMENT; FISH CONSUMPTION; SPECIATION; EXPOSURE; ESTUARY; SAMPLES; RIVER; CONTAMINATION; ACCUMULATION; METHYLATION</t>
  </si>
  <si>
    <t>An analytical method for simple and rapid determination of methylmercury in sediment and organism samples is described. The proposed method employs the oxygen combustion-gold amalgamation using Direct Mercury Analyser (DMA-80) after complete removal of MeHg by organic extraction and back extraction to an aqueous medium. DMA-80 instrument is equally suitable for the analysis of solid and liquid materials and has a good detection limit. The analytical performance of this method was evaluated by analysis of certified reference materials (CRM-580, IAEA-405, DORM-2, DOLT-3, SRM-2976 and SRM-2977) assessing its quality in terms of accuracy, repeatability and quantification limit. Furthermore total mercury and methylmercury have been analysed in sediment and organism samples collected during the XXI Italian Antarctic Expedition in Terra Nova Bay (Ross Sea, Northern Victoria Land). The results obtained show the validity of the proposed method as ready-to-use analytical method to analyse real samples. (C) 2009 Elsevier B.V. All rights reserved.</t>
  </si>
  <si>
    <t>[Maggi, Chiara; Berducci, Maria Teresa; Bianchi, Jessica] Adv Inst Environm Protect &amp; Res ISPRA, Rome, Italy; [Giani, Michele] Natl Inst Oceanog &amp; Expt Geophys, Biol Oceanog Dept, I-34100 Trieste, Italy; [Campanella, Luigi] Univ Roma La Sapienza, Dept Chem, I-00185 Rome, Italy</t>
  </si>
  <si>
    <t>Italian Institute for Environmental Protection &amp; Research (ISPRA); Sapienza University Rome</t>
  </si>
  <si>
    <t>Bianchi, J (corresponding author), Adv Inst Environm Protect &amp; Res ISPRA, Via Casalotti 300, Rome, Italy.</t>
  </si>
  <si>
    <t>j.bianchi@icram.org</t>
  </si>
  <si>
    <t>Tomassetti, Mauro/KHY-5014-2024; Giani, Michele/HJI-5982-2023; Giani, Michele/ABI-6113-2020</t>
  </si>
  <si>
    <t>Giani, Michele/0000-0002-3306-7725; Giani, Michele/0000-0002-3306-7725; Giani, Michele/0000-0003-4784-0149</t>
  </si>
  <si>
    <t>0003-2670</t>
  </si>
  <si>
    <t>1873-4324</t>
  </si>
  <si>
    <t>ANAL CHIM ACTA</t>
  </si>
  <si>
    <t>Anal. Chim. Acta</t>
  </si>
  <si>
    <t>MAY 8</t>
  </si>
  <si>
    <t>1-2</t>
  </si>
  <si>
    <t>10.1016/j.aca.2009.03.033</t>
  </si>
  <si>
    <t>444AF</t>
  </si>
  <si>
    <t>WOS:000265951400004</t>
  </si>
  <si>
    <t>Bauch, D; Dmitrenko, IA; Wegner, C; Hölemann, J; Kirillov, SA; Timokhov, LA; Kassens, H</t>
  </si>
  <si>
    <t>Bauch, D.; Dmitrenko, I. A.; Wegner, C.; Hoelemann, J.; Kirillov, S. A.; Timokhov, L. A.; Kassens, H.</t>
  </si>
  <si>
    <t>Exchange of Laptev Sea and Arctic Ocean halocline waters in response to atmospheric forcing</t>
  </si>
  <si>
    <t>RIVER DISCHARGE; ICE; SHELF; VARIABILITY; TRANSPORT; SALINITY; ISOTOPES; RUNOFF; DEEP</t>
  </si>
  <si>
    <t>Combined delta O-18/salinity data reveal a distinctive water mass generated during winter sea ice formation which is found predominantly in the coastal polynya region of the southern Laptev Sea. Export of the brine-enriched bottom water shows interannual variability in correlation with atmospheric conditions. Summer anticyclonic circulation is favoring an offshore transport of river water at the surface as well as a pronounced signal of brine-enriched waters at about 50 m water depth at the shelf break. Summer cyclonic atmospheric circulation favors onshore or an eastward, alongshore water transport, and at the shelf break the river water fraction is reduced and the pronounced brine signal is missing, while on the middle Laptev Sea shelf, brine-enriched waters are found in high proportions. Residence times of bottom and subsurface waters on the shelf may thereby vary considerably: an export of shelf waters to the Arctic Ocean halocline might be shut down or strongly reduced during onshore'' cyclonic atmospheric circulation, while with offshore'' anticyclonic atmospheric circulation, brine waters are exported and residence times may be as short as 1 year only.</t>
  </si>
  <si>
    <t>[Bauch, D.; Dmitrenko, I. A.; Wegner, C.; Kassens, H.] Univ Kiel, Leibniz Inst Marine Sci, IFM, GEOMAR, D-24148 Kiel, Germany; [Hoelemann, J.] Alfred Wegener Inst Polar &amp; Marine Res, D-27568 Bremerhaven, Germany; [Kirillov, S. A.; Timokhov, L. A.] Arctic &amp; Antarctic Res Inst, St Petersburg 199397, Russia</t>
  </si>
  <si>
    <t>Helmholtz Association; GEOMAR Helmholtz Center for Ocean Research Kiel; University of Kiel; Helmholtz Association; Alfred Wegener Institute, Helmholtz Centre for Polar &amp; Marine Research; Arctic &amp; Antarctic Research Institute</t>
  </si>
  <si>
    <t>Bauch, D (corresponding author), Univ Kiel, Leibniz Inst Marine Sci, IFM, GEOMAR, Wischhofstr 1-3, D-24148 Kiel, Germany.</t>
  </si>
  <si>
    <t>dbauch@ifm-geomar.de</t>
  </si>
  <si>
    <t>Hoelemann, Jens/N-3608-2016</t>
  </si>
  <si>
    <t>Hoelemann, Jens/0000-0001-5102-4086; Bauch, Dorothea/0000-0002-1419-9714; Dmitrenko, Igor/0000-0001-8388-7839</t>
  </si>
  <si>
    <t>System Laptev Sea; DFG [SP 526/3, WE 4206/1-1]; BMBF [03G0639A]</t>
  </si>
  <si>
    <t>System Laptev Sea; DFG(German Research Foundation (DFG)); BMBF(Federal Ministry of Education &amp; Research (BMBF))</t>
  </si>
  <si>
    <t>We thank all members of the project System Laptev Sea.'' D. B. acknowledges funds through the DFG grant SP 526/3, and I. D. acknowledges funds through the BMBF 03G0639A project. C. W. acknowledges funds through the DFG grant WE 4206/1-1. S. K. acknowledges funding through the BMBF project Otto-SchmidtLaboratory for Polar and Marine Sciences'' (03PL038A). We also gratefully acknowledge the helpful remarks of two anonymous reviewers.</t>
  </si>
  <si>
    <t>C05008</t>
  </si>
  <si>
    <t>10.1029/2008JC005062</t>
  </si>
  <si>
    <t>443SW</t>
  </si>
  <si>
    <t>WOS:000265931900001</t>
  </si>
  <si>
    <t>Murphy, DJ; Aso, T; Fritts, DC; Hibbins, RE; McDonald, AJ; Riggin, DM; Tsutsumi, M; Vincent, RA</t>
  </si>
  <si>
    <t>Murphy, D. J.; Aso, T.; Fritts, D. C.; Hibbins, R. E.; McDonald, A. J.; Riggin, D. M.; Tsutsumi, M.; Vincent, R. A.</t>
  </si>
  <si>
    <t>Source regions for Antarctic MLT non-migrating semidiurnal tides</t>
  </si>
  <si>
    <t>UPPER-ATMOSPHERE; WAVE; OSCILLATION; S=1</t>
  </si>
  <si>
    <t>Source regions for the westward propagating zonal wavenumber one and three components of the semidiurnal tide observed in the summer mesosphere and lower thermosphere over Antarctica are identified by correlating local tidal variations with global planetary wave one activity in the stratosphere and lower mesosphere. The advantages of using zonal wavenumber resolved tidal amplitudes for such a study are described. The results support the prediction of a source region in the northern hemisphere. Citation: Murphy, D. J., T. Aso, D. C. Fritts, R. E. Hibbins, A. J. McDonald, D. M. Riggin, M. Tsutsumi, and R. A. Vincent (2009), Source regions for Antarctic MLT non-migrating semidiurnal tides, Geophys. Res. Lett., 36, L09805, doi: 10.1029/2008GL037064.</t>
  </si>
  <si>
    <t>[Murphy, D. J.] Australian Antarctic Div, Dept Environm Water Heritage &amp; Arts, Kingston, Tas 7050, Australia; [Aso, T.; Tsutsumi, M.] Natl Inst Polar Res, Itabashi Ku, Tokyo 1738515, Japan; [Fritts, D. C.; Riggin, D. M.] NWRA, Colorado Res Associates, Boulder, CO 80301 USA; [Hibbins, R. E.] British Antarctic Survey, Div Phys Sci, Cambridge CB3 0ET, England; [McDonald, A. J.] Univ Canterbury, Dept Phys &amp; Astron, Christchurch 8020, New Zealand; [Vincent, R. A.] Univ Adelaide, Dept Phys &amp; Math Phys, Adelaide, SA 5005, Australia</t>
  </si>
  <si>
    <t>Australian Antarctic Division; Research Organization of Information &amp; Systems (ROIS); National Institute of Polar Research (NIPR) - Japan; NorthWest Research Associates; UK Research &amp; Innovation (UKRI); Natural Environment Research Council (NERC); NERC British Antarctic Survey; University of Canterbury; University of Adelaide</t>
  </si>
  <si>
    <t>Murphy, DJ (corresponding author), Australian Antarctic Div, Dept Environm Water Heritage &amp; Arts, 203 Channel Highway, Kingston, Tas 7050, Australia.</t>
  </si>
  <si>
    <t>damian.murphy@aad.gov.au; t-aso@nipr.ac.jp; dave@cora.nwra.com; rehi@bas.ac.uk; adrian.mcdonald@canterbury.ac.nz; riggin@cora.nwra.com; tutumi@uap.nipr.ac.jp; robert.vincent@adelaide.edu.au</t>
  </si>
  <si>
    <t>Vincent, Robert A/E-5450-2013</t>
  </si>
  <si>
    <t>Vincent, Robert A/0000-0001-6559-6544; Hibbins, Robert/0000-0002-6867-2255; Murphy, Damian/0000-0003-1738-5560; McDonald, Adrian/0000-0002-1456-6254</t>
  </si>
  <si>
    <t>Australian Antarctic Science Advisory Committee [674]; Australian Research Council [DP0346394]; Japan Society for the Promotion of Science (JSPS) [14740287]; National Science Foundation [OPP-0438777]; UK Natural Environment Research Council; University of Canterbury and Antarctica New Zealand; Australian Research Council [DP0346394] Funding Source: Australian Research Council; Grants-in-Aid for Scientific Research [14740287] Funding Source: KAKEN; Natural Environment Research Council [bas0100023, bas010022] Funding Source: researchfish; NERC [bas0100023, bas010022] Funding Source: UKRI</t>
  </si>
  <si>
    <t>Australian Antarctic Science Advisory Committee; Australian Research Council(Australian Research Council); Japan Society for the Promotion of Science (JSPS)(Ministry of Education, Culture, Sports, Science and Technology, Japan (MEXT)Japan Society for the Promotion of Science); National Science Foundation(National Science Foundation (NSF)); UK Natural Environment Research Council(UK Research &amp; Innovation (UKRI)Natural Environment Research Council (NERC)); University of Canterbury and Antarctica New Zealand; Australian Research Council(Australian Research Council);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</si>
  <si>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The Davis MFradar is supported by Australian Antarctic Science Advisory Committee grant 674 and Australian Research Council grant DP0346394. This research has been supported by a Grant-in Aid for Scientific Research (14740287) from Japan Society for the Promotion of Science (JSPS). The Ministry of Education, Culture, Sports, Science and Technology supports the MF radar system. The 40th-45th Japanese Antarctic Research Expeditions (JAREs) have carried out the MF radar operation at Syowa. The Rothera MF radar was jointly supported by National Science Foundation grant OPP-0438777 and by the UK Natural Environment Research Council. The Scott Base radar is supported by the University of Canterbury and Antarctica New Zealand. Communications between DJM and Evgeny Merzlyakov were greatly appreciated.</t>
  </si>
  <si>
    <t>MAY 7</t>
  </si>
  <si>
    <t>L09805</t>
  </si>
  <si>
    <t>10.1029/2008GL037064</t>
  </si>
  <si>
    <t>443RT</t>
  </si>
  <si>
    <t>Green Accepted</t>
  </si>
  <si>
    <t>WOS:000265928800001</t>
  </si>
  <si>
    <t>Cathles, LM; Okal, EA; MacAyeal, DR</t>
  </si>
  <si>
    <t>Cathles, L. M.; Okal, Emile A.; MacAyeal, Douglas R.</t>
  </si>
  <si>
    <t>Seismic observations of sea swell on the floating Ross Ice Shelf, Antarctica</t>
  </si>
  <si>
    <t>JOURNAL OF GEOPHYSICAL RESEARCH-EARTH SURFACE</t>
  </si>
  <si>
    <t>FLEXURAL WAVES; OCEAN WAVES; ICEBERGS; STORMS</t>
  </si>
  <si>
    <t>A seismometer operating on the floating Ross Ice Shelf near its seaward ice front (Nascent Iceberg) for 340 days (out of 730 days) during the 2004, 2005, and 2006 Antarctic field seasons recorded the arrival of 93 distantly sourced ocean swell events displaying frequency dispersion characteristic of surface gravity waves propagating on deep water. Comparison of swell event dispersion with the NOAA Wave Watch III (NWW3) ocean wave model analysis reveals that 83 of these events were linked to specific storms located in the Pacific, Southern, and Indian oceans. Nearly all major storms in the NWW3 analysis of the Pacific Ocean were linked to signals observed at the Nascent site during the period of seismometer operation. Swell-induced motion of the Ross Ice Shelf is found to increase by several orders of magnitude over the time period that sea ice surrounding Antarctica decreases from its maximum extent (October) to its minimum extent (February). The amplitude of vertical vibration of the ice shelf in the frequency band between 0.025 and 0.14 Hz varies between tens of micrometers to millimeters as sea ice decays to its minimum seasonal extent. This suggests that climate influence on sea ice extent may indirectly modulate swell energy incident on the calving margins of the Antarctic Ice Sheet. The largest swell signals observed on the Ross Ice Shelf come from storms in the tropical Pacific and Gulf of Alaska. These remote events emphasize how the iceberg calving margin of Antarctica is connected to environmental conditions well beyond Antarctica.</t>
  </si>
  <si>
    <t>[Cathles, L. M.; MacAyeal, Douglas R.] Univ Chicago, Dept Geophys Sci, Chicago, IL 60637 USA; [Okal, Emile A.] Northwestern Univ, Dept Earth &amp; Planetary Sci, Chicago, IL USA</t>
  </si>
  <si>
    <t>University of Chicago; Northwestern University</t>
  </si>
  <si>
    <t>Cathles, LM (corresponding author), Univ Chicago, Dept Geophys Sci, 5734 S Ellis Ave, Chicago, IL 60637 USA.</t>
  </si>
  <si>
    <t>mcathles@uchicago.edu; emile@earth.northwestern.edu; drm7@midway.uchicago.edu</t>
  </si>
  <si>
    <t>MacAyeal, Douglas/0000-0003-0647-6176</t>
  </si>
  <si>
    <t>National Science Foundation [OPP0229546, OPP0229492]</t>
  </si>
  <si>
    <t>National Science Foundation(National Science Foundation (NSF))</t>
  </si>
  <si>
    <t>The authors appreciate insightful suggestions provided by Jeremy Bassis, Rick Aster, and Peter Bromirski. This manuscript was significantly improved by the comments of three reviewers, Rob Massom, Sridhar Anandakrishnan, and particularly helpful comments made by an anonymous referee. Assistance in the field was provided by Jonathan Thom, Kelly Bunt, Olga Sergienko, Katie Leonard, Thomas Wagner, and Marianne Okal. Equipment was provided by the PASSCAL instrument center. Logistical support was provided by the U.S. Antarctic Program of the National Science Foundation. This work was funded by NSF project numbers OPP0229546 and OPP0229492.</t>
  </si>
  <si>
    <t>2169-9003</t>
  </si>
  <si>
    <t>2169-9011</t>
  </si>
  <si>
    <t>J GEOPHYS RES-EARTH</t>
  </si>
  <si>
    <t>J. Geophys. Res.-Earth Surf.</t>
  </si>
  <si>
    <t>MAY 6</t>
  </si>
  <si>
    <t>F02015</t>
  </si>
  <si>
    <t>10.1029/2007JF000934</t>
  </si>
  <si>
    <t>443SO</t>
  </si>
  <si>
    <t>Green Submitted, Bronze</t>
  </si>
  <si>
    <t>WOS:000265931100001</t>
  </si>
  <si>
    <t>Grassi, B; Redaelli, G; Visconti, G</t>
  </si>
  <si>
    <t>Grassi, Barbara; Redaelli, Gianluca; Visconti, Guido</t>
  </si>
  <si>
    <t>Evidence for tropical SST influence on Antarctic polar atmospheric dynamics</t>
  </si>
  <si>
    <t>SEA-SURFACE TEMPERATURE; EL-NINO; EXTENDED RECONSTRUCTION; SOUTHERN OSCILLATION; NORTHERN-HEMISPHERE; ANOMALIES; WINTER; OCEAN; STRATOSPHERE; EXCITATION</t>
  </si>
  <si>
    <t>A Singular Value Decomposition analysis is applied to climatological data to determine the modes of variability of monthly mean Sea Surface Temperature (SST) in the tropics coupled with the southern hemisphere stratospheric polar vortex intensity for the 1958 to 2006 period and to identify the tropical region strongly influencing the high latitude stratospheric dynamics. Two subsets of data have been considered by explicitly taking into account the phase of the Pacific Decadal Oscillation (PDO). The study evidences a shift of the tropical region affecting the polar vortex from the Western Pacific to the Indo-Pacific Ocean, driven by the modulation of the SST pattern, due to the phase of the PDO. The analysis shows in both cases (years with positive/negative PDO phases) a high degree of correlation between an SST related index, calculated from NOAA/ERSST and HadISST datasets, and an index of the polar vortex intensity based on ECMWF data. Citation: Grassi, B., G. Redaelli, and G. Visconti (2009), Evidence for tropical SST influence on Antarctic polar atmospheric dynamics, Geophys. Res. Lett., 36, L09703, doi: 10.1029/2009GL038092.</t>
  </si>
  <si>
    <t>[Grassi, Barbara; Redaelli, Gianluca; Visconti, Guido] Univ Aquila, Dept Phys, CETEMPS, I-67010 Coppito, Italy</t>
  </si>
  <si>
    <t>University of L'Aquila</t>
  </si>
  <si>
    <t>Grassi, B (corresponding author), Univ Aquila, Dept Phys, CETEMPS, Via Vetoio, I-67010 Coppito, Italy.</t>
  </si>
  <si>
    <t>barbara.grassi@aquila.infn.it</t>
  </si>
  <si>
    <t>Redaelli, Gianluca/GZX-3219-2022</t>
  </si>
  <si>
    <t>Redaelli, Gianluca/0000-0002-4449-1513</t>
  </si>
  <si>
    <t>Italian Space Agency</t>
  </si>
  <si>
    <t>Italian Space Agency(Agenzia Spaziale Italiana (ASI))</t>
  </si>
  <si>
    <t>NOAA/ERSST. V3 data are provided by NOAA/OAR/ESRL PSD, Boulder, Colorado, USA, from their Web site at http://www.cdc.noaa.gov/.UK Meteorological Office, Hadley Centre HadISST 1.1 data are available from the British Atmospheric Data Centre Web site at http://badc.nerc.ac.uk/data/hadisst/. PDO index is provided by the Joint Institute for the Study of the Atmosphere and Ocean (JISAO) (http://jisao.washington.edu/). We also thank anonymous referees for their constructive suggestions and comments. This work has been partly supported by Italian Space Agency.</t>
  </si>
  <si>
    <t>MAY 2</t>
  </si>
  <si>
    <t>L09703</t>
  </si>
  <si>
    <t>10.1029/2009GL038092</t>
  </si>
  <si>
    <t>439YR</t>
  </si>
  <si>
    <t>WOS:000265664400002</t>
  </si>
  <si>
    <t>Luo, HB; Lin, YT; Hu, S; Liu, T; Feng, L; Miao, BK</t>
  </si>
  <si>
    <t>Luo HongBo; Lin YangTing; Hu Sen; Liu Tao; Feng Lu; Miao BingKui</t>
  </si>
  <si>
    <t>Magnetic susceptibility of meteorites collected in Grove Mountains, Antarctica.</t>
  </si>
  <si>
    <t>ACTA PETROLOGICA SINICA</t>
  </si>
  <si>
    <t>Chinese</t>
  </si>
  <si>
    <t>Antarctic meteorites; Chondrites; Classification; Magnetic susceptibility; Terrestrial weathering</t>
  </si>
  <si>
    <t>CLASSIFICATION</t>
  </si>
  <si>
    <t>Discovery of a large number of meteorites from the Grove Mountains (GRV) region, Antarctica, demands a non-destructive and efficient method of classifying meteorites. Magnetic susceptibility (chi) of meteorites was mainly contributed by metallic Fe-Ni, hence a potentially important criterion of classification of meteorites. In addition, magnetic susceptibility is a fundamental parameter of meteorites. In this paper we report the first measurements of magnetic susceptibility of Grove Mountains meteorites. Experiments on simulation samples demonstrated that deviation of magnetic susceptibility measurement due to various sizes and shapes of the samples is less than 1%, within the analytical precision. Magnetic susceptibility of the first classified 613 Grove Mountains meteorites was measured, including martian meteorites, eucrites, carbonaceous chondrites, ureilites, mesosiderites and pallasite. Most ordinary chondrites of H, L and LL groups can be classified according to magnetic susceptibility. Moreover, magnetic susceptibility is more reliable for classification of unequilibrated ordinary chondrites. The distribution pattern of magnetic susceptibility of H-group of Grove Mountains meteorites is nearly identical to that of other Antarctic meteorites, both with the mass normalized magnetic susceptibility (log chi, 10(-9) m(3)/kg) lower by 0.2 than that of meteorite falls, indicative of terrestrial weathering effects of Grove Mountains meteorites. Magnetic susceptibility of L-group of Grove Mountains meteorites also shifts to lower values by 0.2 as H-group. In contrast, L-group of other Antarctic and desert meteorites shows scattered distribution patterns, probably indicative of various weathering degrees.</t>
  </si>
  <si>
    <t>[Luo HongBo] Chinese Acad Sci, Inst Geochem, Guiyang 550002, Peoples R China; [Luo HongBo; Lin YangTing; Hu Sen; Liu Tao; Feng Lu; Miao BingKui] Chinese Acad Sci, Inst Geol &amp; Geophys, Key Lab Earths Deep Interior, Beijing 100029, Peoples R China; [Luo HongBo; Hu Sen; Liu Tao; Feng Lu] Chinese Acad Sci, Grad Univ, Beijing 100049, Peoples R China; [Miao BingKui] Guilin Univ Technol, Key Lab Geol Engn Ctr Guangxi Prov, Guilin 541004, Peoples R China</t>
  </si>
  <si>
    <t>Chinese Academy of Sciences; Institute of Geochemistry, CAS; Chinese Academy of Sciences; Institute of Geology &amp; Geophysics, CAS; Chinese Academy of Sciences; University of Chinese Academy of Sciences, CAS; Guilin University of Technology</t>
  </si>
  <si>
    <t>Luo, HB (corresponding author), Chinese Acad Sci, Inst Geochem, Guiyang 550002, Peoples R China.</t>
  </si>
  <si>
    <t>linyt@mail.igcas.ac.cn</t>
  </si>
  <si>
    <t>Lin, Yangting/A-8845-2015; lin, yt/IQT-6771-2023</t>
  </si>
  <si>
    <t>SCIENCE PRESS</t>
  </si>
  <si>
    <t>BEIJING</t>
  </si>
  <si>
    <t>16 DONGHUANGCHENGGEN NORTH ST, BEIJING 100717, PEOPLES R CHINA</t>
  </si>
  <si>
    <t>1000-0569</t>
  </si>
  <si>
    <t>2095-8927</t>
  </si>
  <si>
    <t>ACTA PETROL SIN</t>
  </si>
  <si>
    <t>Acta Petrol. Sin.</t>
  </si>
  <si>
    <t>MAY</t>
  </si>
  <si>
    <t>454MA</t>
  </si>
  <si>
    <t>WOS:000266684900018</t>
  </si>
  <si>
    <t>Aksnes, DW; Hessen, DO</t>
  </si>
  <si>
    <t>Aksnes, Dag W.; Hessen, Dag O.</t>
  </si>
  <si>
    <t>The Structure and Development of Polar Research (1981-2007): a Publication-Based Approach</t>
  </si>
  <si>
    <t>ARCTIC ANTARCTIC AND ALPINE RESEARCH</t>
  </si>
  <si>
    <t>COLLABORATION; INDICATORS; CITATION</t>
  </si>
  <si>
    <t>The present article explores the structure of and recent developments in research activities in the polar regions. Based oil a bibliographic Study of published papers indexed in the ISI Web of Science during the period 1981-2007, we have analyzed trends in publication, scientific disciplines and subdisciplines. coauthorship. and international collaboration within the field of polar research. We have uncovered several rather striking trends. Scientific Output ill terms of refereed publications has increased far more rapidly in polar research compared to science in general, quadrupling rather than doubling over the Surveyed period. There is a nearly 1:1 ratio between papers covering the Arctic relative to the Antarctic, with the vast majority within either the geosciences (40%) or biology (33%). There has been particularly a steep rise in the number of climate-related papers. The U.S.A. is by far the largest contributor to polar research oil both the Arctic and the Antarctic, followed by Canada, the U.K., Germany, Norway. and Russia. The number of coauthored papers has grown markedly. reflecting geopolitical shifts and changing national and international funding priorities during the period. We believe our publication-based survey reveals interesting developments in scientific activities and international cooperation in general, and in polar science strategies and priorities in particular.</t>
  </si>
  <si>
    <t>[Aksnes, Dag W.] Norwegian Inst Studies Innovat Res &amp; Educ NIFU ST, NO-0167 Oslo, Norway; [Hessen, Dag O.] Univ Oslo, Dept Biol, CEES, NO-0316 Oslo, Norway</t>
  </si>
  <si>
    <t>University of Oslo</t>
  </si>
  <si>
    <t>Aksnes, DW (corresponding author), Norwegian Inst Studies Innovat Res &amp; Educ NIFU ST, Wergelandsveien 7, NO-0167 Oslo, Norway.</t>
  </si>
  <si>
    <t>Dag.W.Aksnes@nifustep.no</t>
  </si>
  <si>
    <t>Hessen, Dag/F-4039-2011; Aksnes, Dag W./R-3607-2019; Hessen, Dag Olav/AFI-5448-2022</t>
  </si>
  <si>
    <t>Aksnes, Dag W./0000-0002-1519-195X; Hessen, Dag Olav/0000-0002-0154-7847</t>
  </si>
  <si>
    <t>Norwegian National Committee on Polar Research; Research Council of Norway</t>
  </si>
  <si>
    <t>Norwegian National Committee on Polar Research; Research Council of Norway(Research Council of Norway)</t>
  </si>
  <si>
    <t>This article is based on a project funded by the Norwegian National Committee on Polar Research, the Research Council of Norway. The authors would like to thank three referees for valuable comments oil in earlier version of this article.</t>
  </si>
  <si>
    <t>INST ARCTIC ALPINE RES</t>
  </si>
  <si>
    <t>BOULDER</t>
  </si>
  <si>
    <t>UNIV COLORADO, BOULDER, CO 80309 USA</t>
  </si>
  <si>
    <t>1523-0430</t>
  </si>
  <si>
    <t>ARCT ANTARCT ALP RES</t>
  </si>
  <si>
    <t>Arct. Antarct. Alp. Res.</t>
  </si>
  <si>
    <t>10.1657/1938-4246-41.2.155</t>
  </si>
  <si>
    <t>Environmental Sciences; Geography, Physical</t>
  </si>
  <si>
    <t>Science Citation Index Expanded (SCI-EXPANDED); Social Science Citation Index (SSCI)</t>
  </si>
  <si>
    <t>Environmental Sciences &amp; Ecology; Physical Geography</t>
  </si>
  <si>
    <t>448HE</t>
  </si>
  <si>
    <t>Green Submitted</t>
  </si>
  <si>
    <t>WOS:000266252900001</t>
  </si>
  <si>
    <t>Arndal, MF; Illeris, L; Michelsen, A; Albert, K; Tamstorf, M; Hansen, BU</t>
  </si>
  <si>
    <t>Arndal, M. F.; Illeris, L.; Michelsen, A.; Albert, K.; Tamstorf, M.; Hansen, B. U.</t>
  </si>
  <si>
    <t>Seasonal Variation in Gross Ecosystem Production, Plant Biomass, and Carbon and Nitrogen Pools in Five High Arctic Vegetation Types</t>
  </si>
  <si>
    <t>CO2 EXCHANGE; TUNDRA; PHOTOSYNTHESIS; CLIMATE; ALASKA; FLUX; ZACKENBERG; FIXATION; PATTERNS; PIGMENTS</t>
  </si>
  <si>
    <t>The Arctic is extremely Vulnerable to projected climate change. and global warming may result in major community reorganizations. The aim of this study was it thorough investigation of plant biomass production throughout a entire growing season in five different high arctic vegetation types: Cassiope, Dryas, and Salix heath, grassland. and fell. The main focus was on the gross ecosystem production (GEP), and the biotic and abiotic factors which may influence GEP. Photosynthesis, aboveground biomass, and carbon, nitrogen, and chlorophyll content were measured weekly during nine weeks. There were large differences in seasonal growth and production within and among vegetation types. Mosses contributed considerably to the total C and N pool in grassland, fen, and Salix heath. Fell, which had the highest pool of leaf N, leaf chlorophyll. and moss N, was the most productive vegetation type in terms of GEP, despite the lowest total biomass. Across vegetation types. leaf biomass, leaf N, and moss N pool size influenced GEP. Within most vegetation types GEP correlated with leaf N, in correspondence with the notion that N may limit plant production in many high arctic ecosystems. The timing of the peaks in C and N pools in leaves did not coincide with that in the mosses and in woody tissues. This emphasizes the importance of sampling throughout the growing season, when using Field data from the Arctic to estimate plant biomasses and modeling C and N fluxes and pool sizes.</t>
  </si>
  <si>
    <t>[Arndal, M. F.; Illeris, L.; Michelsen, A.; Albert, K.] Univ Copenhagen, Dept Biol, Physiol Ecol Grp, DK-1353 Copenhagen K, Denmark; [Tamstorf, M.] Univ Aarhus, Natl Environm Res Inst, DK-4000 Roskilde, Denmark; [Hansen, B. U.] Univ Copenhagen, Dept Geog &amp; Geol, DK-1350 Copenhagen K, Denmark</t>
  </si>
  <si>
    <t>University of Copenhagen; Aarhus University; University of Copenhagen</t>
  </si>
  <si>
    <t>Arndal, MF (corresponding author), Univ Copenhagen, Ctr Forest Landscape &amp; Planning, Hoersholm Kongevej 11, DK-2970 Horsholm, Denmark.</t>
  </si>
  <si>
    <t>mfa@life.ku.dk</t>
  </si>
  <si>
    <t>Arndal, Marie F/B-3765-2015; Tamstorf, Mikkel/ACU-7592-2022; Tamstorf, Mikkel/I-7101-2013; Albert, Kristian/A-5640-2009; Hansen, Birger/E-5192-2015; Michelsen, Anders/L-5279-2014</t>
  </si>
  <si>
    <t>Tamstorf, Mikkel/0000-0002-2811-331X; Albert, Kristian/0000-0002-4021-1190; Hansen, Birger/0000-0002-5440-6925; Illeris, Lotte/0000-0002-2313-4680; Michelsen, Anders/0000-0002-9541-8658; Arndal, Marie Frost/0000-0001-7980-8691</t>
  </si>
  <si>
    <t>Danish Ministry of Environment; Aage V. Jensen Foundation; Danish Research Council for Nature and Universe</t>
  </si>
  <si>
    <t>We wish to thank the Danish Ministry of Environment, the Aage V. Jensen Foundation, and the Danish Research Council for Nature and Universe for financial support to the SCHAPPE program. We are grateful to the Danish Polar Center for providing logistical support during the Field season and to the Zackenberg Ecological Research Operations (ZERO) programs for providing the climate data. Maria R. Pedersen and Jells Sondergaard kindly assisted with field work. and Karna Heinsen assisted with CN analyses while Christian Bay provided helpful discussions on the definitions of the vegetation types. We are also grateful for the valuable comments from two anonymous reviewers.</t>
  </si>
  <si>
    <t>1938-4246</t>
  </si>
  <si>
    <t>10.1657/1938-4246-41.2.164</t>
  </si>
  <si>
    <t>WOS:000266252900002</t>
  </si>
  <si>
    <t>Barcaza, G; Aniya, M; Matsumoto, T; Aoki, T</t>
  </si>
  <si>
    <t>Barcaza, Gonzalo; Aniya, Masamu; Matsumoto, Takane; Aoki, Tatsuto</t>
  </si>
  <si>
    <t>Satellite-Derived Equilibrium Lines in Northern Patagonia Icefield, Chile, and Their Implications to Glacier Variations</t>
  </si>
  <si>
    <t>SOUTHERN PATAGONIA; ICE-ELEVATION; AMERICA; SENSITIVITY; INVENTORY; SNOWLINE; CLIMATE; ASTER; SUR</t>
  </si>
  <si>
    <t>The Northern Patagonia Icefield (NPI), covering 3953 km(2), is the second largest temperate ice body in South America. Despite its importance as a climate change indicator because of its location and size, data oil ground-based mass balance and meteorological records for the analysis of glacier (Snout) variations are still lacking. The use of multitemporal satellite images to estimate equilibrium line altitude variations could be a Surrogate for such analyses. Since late-summer snowlines of temperate glaciers coincide with the equilibrium line, we analyzed Five Landsat images spanning 1979-2003 and an ASTER-derived digital elevation model to reveal oscillations in the equilibrium line altitude (Delta Z(ELA)). The average ELAs range between 870 in and 1529 (+/- 29 m), with lower altitudes on the west side. Winter snow cover accumulation indicates higher elevations (relative to the glacier snout) of the transient snowlines in the west. Thus, one of the reasons for the higher retreating rates observed on the west side is that the lower part of the ablation area is likely exposed to year-round ablation. Glacier sensitivity to Delta Z(ELA) oscillations Would depend upon the topographic condition of the accumulation area (gentle or steep). In Outlet glaciers with gentle accumulation areas such as San Rafael and San Quintin, Delta Z(ELA) of up to 65 and 70 in at the central flow part and bare ice area variations &gt; 5 km(2) and &gt; 13 (+/- 0.6 km(2)) were observed, respectively.</t>
  </si>
  <si>
    <t>[Barcaza, Gonzalo; Aniya, Masamu] Univ Tsukuba, Grad Sch Life &amp; Environm Sci, Ibaraki 3058572, Japan; [Matsumoto, Takane] Niigata Univ, Res Ctr Nat Hazards &amp; Disaster Recovery, Niigata 9502181, Japan; [Aoki, Tatsuto] Kanazawa Univ, Dept Geog, Kanazawa, Ishikawa 9201192, Japan</t>
  </si>
  <si>
    <t>University of Tsukuba; Niigata University; Kanazawa University</t>
  </si>
  <si>
    <t>Barcaza, G (corresponding author), Univ Tsukuba, Grad Sch Life &amp; Environm Sci, Ibaraki 3058572, Japan.</t>
  </si>
  <si>
    <t>gbarcaza@uc.cl</t>
  </si>
  <si>
    <t>Japanese Ministry of Education, Sport. Science and Culture [15253001]; Grants-in-Aid for Scientific Research [15253001] Funding Source: KAKEN</t>
  </si>
  <si>
    <t>Japanese Ministry of Education, Sport. Science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</si>
  <si>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This research wits supported by grants provided by the Japanese Ministry of Education, Sport. Science and Culture (Project Number 15253001). Comments by Dr. Tomonori Tanikawa, Snow and Ice Research Laboratory, Kitami Institute of Technology (Japan), arc appreciated. Pablo Iribarren (Direccion General de Aguas. Chile) prepared Figure 6. Detailed comments made by Professor Anne Jennings (INSTAAR) and two anonymous referees helped us improve the manuscript.</t>
  </si>
  <si>
    <t>10.1657/1938-4246-41.2.174</t>
  </si>
  <si>
    <t>Bronze, Green Submitted</t>
  </si>
  <si>
    <t>WOS:000266252900003</t>
  </si>
  <si>
    <t>Becklin, KM; Galen, C</t>
  </si>
  <si>
    <t>Becklin, Katie M.; Galen, Candace</t>
  </si>
  <si>
    <t>Intra- and Interspecific Variation in Mycorrhizal Associations across a Heterogeneous Habitat Gradient in Alpine Plant Communities</t>
  </si>
  <si>
    <t>CONGENER T-OFFICINALE; ECTOMYCORRHIZAL FUNGI; CHAMERION-ANGUSTIFOLIUM; TARAXACUM-CERATOPHORUM; COLONIZATION; GROWTH; POPULATIONS; DIVERSITY; DANDELION; FIREWEED</t>
  </si>
  <si>
    <t>Spatial and temporal variation ill mycorrhizal associations may significantly impact plant community dynamics. In this study we evaluated the distribution and abundance of mycorrhizal associations in alpine plant communities to gain a better Understanding of the potential effects of microhabitat and host identity oil plant-fungus mutualisms. We surveyed the abundance of ectomycorrhizae (ECM) associated with Salix sp. and the abundance of arbuscular mycorrhizae (AMF) associated with Taraxacum ceratophorum, T officinale, Polemonium viscosum, and P. delicatum in plots under willow canopies and in adjacent open meadows. AMF colonization of T ceratophorum, T officinale, and P. viscosum was greater in open meadow than ill understory habitats. Conversely, ECM abundance was greater ill the willow understory than in the surrounding open meadow. AMF abundance in three of the four host species was negatively correlated with ECM abundance in the soil microsite. Taraxacum ceratophorum showed consistently high colonization by AMF regardless of habitat or ECM abundance. Our results suggest that willow-mediated heterogeneity in light and nutrient availability influence the distribution of AMF associations across the willow-meadow ecotone. Furthermore, species-specific plant life history traits related to growth strategies, carbon allocation patterns, and stress tolerance likely affect mycorrhizal dependence and interspecific variation in mycorrhizal associations.</t>
  </si>
  <si>
    <t>[Becklin, Katie M.; Galen, Candace] Univ Missouri, Div Biol Sci, Columbia, MO 65211 USA</t>
  </si>
  <si>
    <t>University of Missouri System; University of Missouri Columbia</t>
  </si>
  <si>
    <t>Becklin, KM (corresponding author), Univ Missouri, Div Biol Sci, 105 Tucker Hall, Columbia, MO 65211 USA.</t>
  </si>
  <si>
    <t>kmb5p6@mizzou.edu</t>
  </si>
  <si>
    <t>University of Missouri; Colorado Native Plant Society; National Science Foundation [DEB0316110]</t>
  </si>
  <si>
    <t>University of Missouri; Colorado Native Plant Society; National Science Foundation(National Science Foundation (NSF))</t>
  </si>
  <si>
    <t>This study was conducted with permission from the United States Forest Service in Park County, Colorado. We thank E. Hilpman and D. Marske for assistance in the Field and laboratory. We also thank J. Mihail, L. Eggert, J. Geib, A. Michaels, and G. Pruett for comments oil this manuscript. The University of Missouri (Becklin), Colorado Native Plant Society (Becklin), and National Science Foundation (DEB0316110 Galen) funded this research.</t>
  </si>
  <si>
    <t>10.1657/1938-4246-41.2.183</t>
  </si>
  <si>
    <t>WOS:000266252900004</t>
  </si>
  <si>
    <t>Flanagan, CM; McKnight, DM; Liptzin, D; Williams, MW; Miller, MP</t>
  </si>
  <si>
    <t>Flanagan, Colleen M.; McKnight, Diane M.; Liptzin, Daniel; Williams, Mark W.; Miller, Matthew P.</t>
  </si>
  <si>
    <t>Response of the Phytoplankton Community in an Alpine Lake to Drought Conditions: Colorado Rocky Mountain Front Range, USA</t>
  </si>
  <si>
    <t>CLIMATE-CHANGE; NITROGEN DEPOSITION; GLACIER OUTFLOW; SIERRA-NEVADA; ECOSYSTEM; VARIABILITY; DYNAMICS; BIOMASS; TRENDS; COVER</t>
  </si>
  <si>
    <t>Lakes may serve as sentinels for the impacts of changing climate in alpine areas. In the Rocky Mountain region, 2002 was a year with extremely low snowpack. We examined the summer phytoplankton community in Green Lake 4 for a 6-year period that included the summer of 2002. The phytoplankton community variation was examined in the context of the changes in physical and chemical properties of Green Lake 4. The physical changes associated with the 2002 drought included warmer surface water temperatures and greater hydraulic residence times; whereas the chemical changes included higher concentrations of acid neutralizing capacity (ANC) and major ions. During the summer of 2002 the phytoplankton community was dominated by Synedra sp. and Ankyra sp.; two previously rare species. The growth of Synedra sp. was sufficient to cause a decrease in silica concentrations, which has not been observed in other summers in the water quality monitoring record. The results of a redundancy analysis (RDA) indicated that concentrations of major ions and ANC were aligned with Synedra sp. and Ankyra sp. during the 2002 drought year. Following the 2002 drought year, Chrysococcus sp. and Chlorococcum sp., which became abundant, were aligned with nitrate in the RDA. These results indicate that the response of the phytoplankton community to the extreme drought was most strongly correlated with water quality changes the occurred, rather than temperature and hydraulic residence time. The dominant species in the post-drought phytoplankton community were found to be associated with nitrate, which is brought to the watershed by atmospheric deposition and may represent an anthropogenic driver of phytoplankton community composition.</t>
  </si>
  <si>
    <t>[Flanagan, Colleen M.; McKnight, Diane M.; Liptzin, Daniel; Williams, Mark W.; Miller, Matthew P.] Univ Colorado, Inst Arctic &amp; Alpine Res, Boulder, CO 80309 USA; [Flanagan, Colleen M.; McKnight, Diane M.] Univ Colorado, Dept Environm Studies, Boulder, CO 80309 USA; [McKnight, Diane M.; Miller, Matthew P.] Univ Colorado, Dept Civil Environm &amp; Architectural Engn, Boulder, CO 80309 USA; [Liptzin, Daniel] Univ Colorado, Dept Ecol &amp; Evolutionary Biol, Boulder, CO 80309 USA; [Williams, Mark W.] Univ Colorado, Dept Geog, Boulder, CO 80309 USA</t>
  </si>
  <si>
    <t>University of Colorado System; University of Colorado Boulder; University of Colorado System; University of Colorado Boulder; University of Colorado System; University of Colorado Boulder; University of Colorado System; University of Colorado Boulder; University of Colorado System; University of Colorado Boulder</t>
  </si>
  <si>
    <t>Miller, MP (corresponding author), Univ Colorado, Inst Arctic &amp; Alpine Res, Boulder, CO 80309 USA.</t>
  </si>
  <si>
    <t>Matthew.P.Miller-1@colorado.edu</t>
  </si>
  <si>
    <t>; Miller, Matthew/A-4928-2016</t>
  </si>
  <si>
    <t>MCKNIGHT, DIANE/0000-0002-4171-1533; Miller, Matthew/0000-0002-2537-1823; LIPTZIN, DANIEL/0000-0002-8243-267X; Flanagan Pritz, Colleen/0000-0002-0466-2103</t>
  </si>
  <si>
    <t>NSF [DEB-0423662]; Boulder Creek Critical Zones Observatory [EAR-0724960]</t>
  </si>
  <si>
    <t>NSF(National Science Foundation (NSF)); Boulder Creek Critical Zones Observatory</t>
  </si>
  <si>
    <t>E. Gardner provided phytoplankton identifications from 2000-2002 that were the basis for future cell Counts. while A. Roche and S, McDougall also assisted with enumeration and field work. S. Spaulding and K. Vietti helped identify unknown algal species. N. Caine, T. Ackerman, and other NWT-LTER folks deserve appreciation for the surface water quality data and D-1 climate data. C. Wilson provided assistance with figure preparation. C. Seibold, director of the Kiowa Chemistry Laboratory. analyzed the water chemistry data. The Green Lake 4 investigation was supported by NSF's Long Term Ecological Research Program (DEB-0423662). with additional support from the Boulder Creek Critical Zones Observatory (EAR-0724960).</t>
  </si>
  <si>
    <t>TAYLOR &amp; FRANCIS LTD</t>
  </si>
  <si>
    <t>ABINGDON</t>
  </si>
  <si>
    <t>2-4 PARK SQUARE, MILTON PARK, ABINGDON OR14 4RN, OXON, ENGLAND</t>
  </si>
  <si>
    <t>10.1657/1938.4246-41.2.191</t>
  </si>
  <si>
    <t>WOS:000266252900005</t>
  </si>
  <si>
    <t>Fox, JL; Dorji, T</t>
  </si>
  <si>
    <t>Fox, Joseph L.; Dorji, Tsechoe</t>
  </si>
  <si>
    <t>Traditional Hunting of Tibetan Antelope, Its Relation to Antelope Migration, and Its Rapid Transformation in the Western Chang Tang Nature Reserve</t>
  </si>
  <si>
    <t>On the western Tibetan Plateau the endangered Tibetan antelope. Pantholops hodgsonii, has traditionally been hunted for subsistence. Although several hunting techniques are used, a common one that leaves evidence on the landscape is the use or earth or stone diversionary barriers, or drive-lines, with hiding depressions used for shooting. Within the western Chang Tang Nature Reserve oil the northwestern Tibetan Plateau we located 45 examples of these generally funnel-shaped trap systems near the northern limits of human habitation in Gertse and Rutok counties, Ngari Prefecture, Tibet Autonomous Region, China. The more recently maintained drive-lines were located farther to the north, and many of the Southern ones we observed had, according to locals, not been used in many years, as hunting activity apparently has moved northward. Increasing human population and settlement of northern areas, new pastoral land-tenure arrangements and associated fencing, as well as modern techniques for hunting antelope and increased markets for their fine wool are all changing the human-wildlife dynamic at the northern edge of human habitation in the Chang Tang. Such new developments are likely to result soon in a relegation of the nomadic pastoralists' old hunting practices to a tradition of the past.</t>
  </si>
  <si>
    <t>[Fox, Joseph L.; Dorji, Tsechoe] Univ Tromso, Fac Sci, Dept Biol, N-9037 Tromso, Norway; [Dorji, Tsechoe] Tibet Univ, Coll Agr &amp; Anim Husb, Dept Plant Sci &amp; Technol, Lhasa 860000, Tibet Autonomou, Peoples R China</t>
  </si>
  <si>
    <t>UiT The Arctic University of Tromso; Tibet University</t>
  </si>
  <si>
    <t>Fox, JL (corresponding author), Univ Tromso, Fac Sci, Dept Biol, N-9037 Tromso, Norway.</t>
  </si>
  <si>
    <t>joe.fox@uit.no</t>
  </si>
  <si>
    <t>Network for University Cooperation Tibet-Norway; World Wildlife Fund-U.S.A.; Trace Foundation</t>
  </si>
  <si>
    <t>We extend special thanks to the Network for University Cooperation Tibet-Norway for funding the research pro, under which these field studies were Carried Out, and for supporting several Tibetan students in our research program. Our work was Conducted Under all agreement with the Tibet Autonomous Region Forestry Bureau (TARFB) and in cooperation with both the College of Agriculture and Animal Husbandry, and the Faculty of Science. Tibet University (TU). In recent years. participation of the Tibet Academy of Agricultural and Animal Sciences (TAAAS) has greatly benefited the project's work. We thank both T. Tsering and M. Wangdwei of the Department of Biology. TU, for their participation and help in organizing and carrying Out the early excursions. We Would like to thank the World Wildlife Fund-U.S.A. and the Trace Foundation, Who also provided financial Support For Tibetan Student graduate studies in Norway, and especially to Dawa Tsering it the WWF Lhasa Office for consultation Oil and review of the Present Manuscript. Special thanks are extended to Ms. Drolma Yangzom at TARFB for her Support of this work ill the nature reserve. Finally. we Would like to thank Don Flouter ill the U.S. Geological Survey Technology Applications Team in Fort Collins, Colorado, and N. Thompson Hobbs and Julia Klein, Warner College of Natural Resources, Colorado State University. for hosting the first author during it sabbatical when this manuscript was prepared.</t>
  </si>
  <si>
    <t>10.1657/1938-4246-41.2.204</t>
  </si>
  <si>
    <t>WOS:000266252900006</t>
  </si>
  <si>
    <t>Green, K; Pickering, CM</t>
  </si>
  <si>
    <t>Green, Ken; Pickering, Catherine Marina</t>
  </si>
  <si>
    <t>The Decline of Snowpatches in the Snowy Mountains of Australia: Importance of Climate Warming, Variable Snow, and Wind</t>
  </si>
  <si>
    <t>ALPINE VEGETATION; CLASSIFICATION; COVER</t>
  </si>
  <si>
    <t>As with glaciers, long-lasting snowpatches have measurable features that are likely to be affected by a warming climate. Changes in these snowpatches arc important as they often affect the down-slope thermal regime, water supply, nutrients, soil development, and vegetation. Australia's longest-lasting snowpatches, occurring in the Snowy Mountains, are formed during northwesterly winds, being deposited on southeasterly slopes where they are protected from insolation. Longevity of snowpatches is determined by winter snow and Summer temperatures, with 155 days variation in the date of thaw among years. Snowpatches generally occurred in the same locations annually, but differences in direction of the winds during deposition affected snowpatch formation, accumulating aspect, and spatial melt patterns among years. Date of thaw of snowpatches was related to the general snowpack that has declined significantly over the past 54 years. Snowpatches previously multi-year in duration, melted in 2006 in the same year that they formed. Australian snowpatches have already declined with the resultant loss of specialized vegetation. Trends in reducing amount of snow and earlier thaw cast doubt oil the long-term future of these snowpatches and their specialized plant communities.</t>
  </si>
  <si>
    <t>[Green, Ken] Natl Pk &amp; Wildlife Serv, Jindabyne, NSW 2627, Australia; [Pickering, Catherine Marina] Griffith Univ, Sch Environm, Griffith, Qld 4222, Australia</t>
  </si>
  <si>
    <t>Griffith University</t>
  </si>
  <si>
    <t>Green, K (corresponding author), Natl Pk &amp; Wildlife Serv, POB 2228, Jindabyne, NSW 2627, Australia.</t>
  </si>
  <si>
    <t>kenneth.green@environment.nsw.gov.au</t>
  </si>
  <si>
    <t>Pickering, Catherine/0000-0002-3731-5407</t>
  </si>
  <si>
    <t>10.1657/1938-4246-41.2.212</t>
  </si>
  <si>
    <t>WOS:000266252900007</t>
  </si>
  <si>
    <t>Hågvar, S; Solhoy, T; Mong, CE</t>
  </si>
  <si>
    <t>Hagvar, Sigmund; Solhoy, Torstein; Mong, Christian E.</t>
  </si>
  <si>
    <t>Primary Succession of Soil Mites (Acari) in a Norwegian Glacier Foreland, with Emphasis on Oribatid Species</t>
  </si>
  <si>
    <t>VEGETATION SUCCESSION; COLONIZATION; ALPS; AUSTRIA; VALLEY; NORWAY</t>
  </si>
  <si>
    <t>The distribution of soil mites was studied ill the foreland of the Hardangerjokulen glacier in central south Norway, Close to a glacier snout, which has been receding since 1750. Twenty sampling plots were distributed along a gradient spanning from 30 to 230 years, and five additional plots were in 10,000-year-old soil nearby. To, 2 standardize the microhabitat, all 320 soil cores (each 10 cm(2) and 3 cm deep) were taken in Salix herbacea vegetation. The main focus Was Oil oribatids. and most juveniles were identified to species. Two small, parthenogenetic species were pioneers, with high abundance ill young, soil: Tectocepheus velatus and Liochthonius cf. sellnicki, although their dominance values decreased sharply with time. The youngest soils also contained unidentified Actinedida and Gamasidae, and pitfall traps revealed the rather large, predatory actinedid species Podothrombium strandi. The number of oribatid species increased gradually with Soil age. The oldest soil contained 19 oribatid species. but Only six of them. all in low densities. were unique to this soil. Parthenogenetic species were present in all age classes of soil. Although there exist few earlier studies oil mite Succession ill glacial foreland soil, mites are clearly among the earliest colonizers along receding glaciers.</t>
  </si>
  <si>
    <t>[Hagvar, Sigmund] Norwegian Univ Life Sci, Dept Ecol &amp; Nat Resource Management, N-1432 As, Norway; [Solhoy, Torstein; Mong, Christian E.] Univ Bergen, Dept Biol, N-5007 Bergen, Norway</t>
  </si>
  <si>
    <t>Norwegian University of Life Sciences; University of Bergen</t>
  </si>
  <si>
    <t>Hågvar, S (corresponding author), Norwegian Univ Life Sci, Dept Ecol &amp; Nat Resource Management, N-1432 As, Norway.</t>
  </si>
  <si>
    <t>Sigmund.Hagvar@umb.no</t>
  </si>
  <si>
    <t>10.1657/1938-4246-41.2.219</t>
  </si>
  <si>
    <t>WOS:000266252900008</t>
  </si>
  <si>
    <t>Kemper, JT; Macdonald, SE</t>
  </si>
  <si>
    <t>Kemper, J. Todd; Macdonald, S. Ellen</t>
  </si>
  <si>
    <t>Effects of Contemporary Winter Seismic Exploration on Low Arctic Plant Communities and Permafrost</t>
  </si>
  <si>
    <t>SURFACE DISTURBANCE; TUNDRA DISTURBANCE; ALASKAN TUNDRA; SEED BANK; VEGETATION; RECOVERY; RECOLONIZATION; RESILIENCE; RESISTANCE; PATTERNS</t>
  </si>
  <si>
    <t>We studied effects of oil and gas exploration, using the most recent seismic exploration technologies, on tundra plant communities and soils in four vegetation types in the Low Arctic of western Canada, two to three years post-disturbance. For all four vegetation types, seismic lines had less vascular plant cover and more bare ground than adjacent reference tundra. For the two upland tundra vegetation types, mosses and lichens were less abundant on seismic lines than in reference plots. There were no apparent differences in organic layer thickness between seismic lines and reference areas, but active layer depth (at the time of sampling) was significantly greater on seismic lines for the upland tundra and one of the wed and vegetation types. Diversity and richness were lower, and community composition was different, on seismic lines (as compared to reference plots) in upland tundra vegetation types but not in wetland types. The results suggest that (I) upland vegetation types are less resistant to seismic disturbance, (2) active layer depth increases following seismic disturbance, and (3) impacts from modern seismic techniques in upland tundra are similar to. or somewhat greater than, the initial impacts observed from the earliest phases of winter exploration similar to 30 years ago.</t>
  </si>
  <si>
    <t>[Kemper, J. Todd; Macdonald, S. Ellen] Univ Alberta, Dept Renewable Resources, Edmonton, AB T6G 2H1, Canada</t>
  </si>
  <si>
    <t>University of Alberta</t>
  </si>
  <si>
    <t>Kemper, JT (corresponding author), Alberta Nat Heritage Informat Ctr, 9820-106 St, Edmonton, AB T5K 2J6, Canada.</t>
  </si>
  <si>
    <t>Todd.Kemper@gov.ab.ca</t>
  </si>
  <si>
    <t>Environment Canada (Canadian Wildlife Service); Wildlife Habitat Canada; Anadarko Canada Corporation; Environmental Studies Research Fund; Polar Continental Shelf Project; Canadian Circumpolar Institute; Natural Sciences and Engineering Research Council of Canada; University of Alberta</t>
  </si>
  <si>
    <t>Environment Canada (Canadian Wildlife Service); Wildlife Habitat Canada; Anadarko Canada Corporation; Environmental Studies Research Fund; Polar Continental Shelf Project(Natural Resources Canada); Canadian Circumpolar Institute; Natural Sciences and Engineering Research Council of Canada(Natural Sciences and Engineering Research Council of Canada (NSERC)CGIAR); University of Alberta(University of Alberta)</t>
  </si>
  <si>
    <t>We gratefully acknowledge funding from Environment Canada (Canadian Wildlife Service), Wildlife Habitat Canada, Anadarko Canada Corporation, the Environmental Studies Research Fund, Polar Continental Shelf Project, the Canadian Circumpolar Institute, the Natural Sciences and Engineering Research Council of Canada, and the Facility of Graduate Studies and Research at the University of Alberta. Paul Latour (Canadian Wildlife Service) was instrumental in initiating, the project, facilitated funding, and Was Very helpful in many different ways during, file Course Of file Study. Les Kutny of file Aurora Research Institute provided Valuable logistical Support tor execution of the field research. while Monique Morin and Rebecca Reeves helped with field data collection and Tony Klengenberg and William Aleekuk served its our wildlife Monitors. Two anonymous reviewers provided helpful comments On an earlier draft of this manuscript.</t>
  </si>
  <si>
    <t>10.1657/1938-4246-41.2.228</t>
  </si>
  <si>
    <t>WOS:000266252900009</t>
  </si>
  <si>
    <t>Morgan, JW; Carnegie, V</t>
  </si>
  <si>
    <t>Morgan, John W.; Carnegie, Vanessa</t>
  </si>
  <si>
    <t>Backcountry Huts as Introduction Points for Invasion by Non-native Species into Subalpine Vegetation</t>
  </si>
  <si>
    <t>NATIONAL-PARK; PLANT INVASIONS; IMPACTS; DISTURBANCE; KOSCIUSZKO; AREA; COMPETITION; DISPERSAL; MOUNTAINS; DIVERSITY</t>
  </si>
  <si>
    <t>The role of backcountry huts as introduction points for the establishment and spread of non-native plants into remote natural areas hits received little attention. We Surveyed soil and vegetation around 25 backcountry huts in the subalpine landscape of the Australian Alps to examine the role that Such huts play in acting as foci for invasion by non-native species into remote mountain areas. We found that the hut Surroundings were characterized by greater soil compaction, lower vegetation height, and more bare ground relative to the native plant community located 100 m from huts. At the landscape-scale, a total of 32 non-native species were recorded with in 100 in of huts. Seven species were found at greater than 50% of huts (Hypochoeris radicata, Taraxacum officinale, Acetosella vulgaris, Trifolium repens, Cerastium glomeratum, Agrostis capillaris, Poa annua), and these tended to be the species that have (a) been long-established (&gt;50-100 yrs) and (b) are the most frequent in the broader landscape. Hence, huts act to promote these ruderals by providing opportunities for their establishment, but Such opportunities are not confined to hut Surroundings. Several other non-native species, however, were common around huts but largely absent from the wider landscape (e.g. Anthoxanthum odoratum, Plantago major, Polygonum aviculare, Stellaria media). This suggests that some species arc advantaged by the disturbance and dispersal opportunities provided by hut recreational activities in a way that is not catered for elsewhere in the Australian Alps. A weak negative relationship between non-native species richness and increasing altitude was found, but native species richness and distance of hut from access road were poor predictors of non-native species richness. Our study highlights that recreational activities may provide opportunities for the establishment of non-native plant species in remote high mountain areas, some of which are novel to the landscape, and that these may form the basis For further invasion into adjoining native vegetation.</t>
  </si>
  <si>
    <t>[Morgan, John W.; Carnegie, Vanessa] La Trobe Univ, Dept Bot, Res Ctr Appl Alpine Ecol, Bundoora, Vic 3086, Australia</t>
  </si>
  <si>
    <t>La Trobe University</t>
  </si>
  <si>
    <t>Morgan, JW (corresponding author), La Trobe Univ, Dept Bot, Res Ctr Appl Alpine Ecol, Bundoora, Vic 3086, Australia.</t>
  </si>
  <si>
    <t>J.Morgan@latrobe.edu.au</t>
  </si>
  <si>
    <t>CRC</t>
  </si>
  <si>
    <t>CRC(Australian GovernmentDepartment of Industry, Innovation and ScienceCooperative Research Centres (CRC) Programme)</t>
  </si>
  <si>
    <t>Susanna Venn, Seraphina Cutler, Saul Carnegie, Ivan Carnegic. Hamish Duckmanton, Daisy Williams, and Adam Ritzinger provided assistance in the field, and the Department of Bot any provided logistical Support. David Cameron identified difficult plant specimens with enthusiasm. Keith McDougall, Pete Green, Bob Parsons, and two anonymous reviewers helped clarify Our ideas and/or improved early versions of this manuscript. The CRC for Sustainable Tourism provided financial support.</t>
  </si>
  <si>
    <t>10.1657/1938-4246-41.2.238</t>
  </si>
  <si>
    <t>WOS:000266252900010</t>
  </si>
  <si>
    <t>Munro, DS; Marosz-Wantuch, M</t>
  </si>
  <si>
    <t>Munro, D. Scott; Marosz-Wantuch, Marzena</t>
  </si>
  <si>
    <t>Modeling Ablation on Place Glacier, British Columbia, from Glacier and Off-glacier Data Sets</t>
  </si>
  <si>
    <t>BULK HEAT-TRANSFER; ENERGY-BALANCE; MASS-BALANCE; SWITZERLAND; MORTERATSCHGLETSCHER; PARAMETERIZATION; RADIATION; SURFACE; ICE; ALBEDO</t>
  </si>
  <si>
    <t>The results of two simulations of hourly ablation, from late July to September 2002, at a site oil the Place Glacier are described. First, ablation is modeled from a data set collected at the glacier site; second, from a data set collected off-glacier at a site below the glacier tongue. The glacier data set simulations, based as they are oil global and reflected short-wave radiation measurements, a net long-wave radiation model and the bulk turbulent heat transfer approach. provides a reasonably good simulation of Cumulative ablation, amounting to almost 1.2 m during the experimental period, mostly due to melting out of the preceding winter snowpack. Average melt component flux densities due to net short-wave radiation, net long-wave radiation, sensible heat and latent heat due to moisture exchange are 93.1. -22.6, 14.4 and 3.91 W m(-2). respectively, during this time. The glacier site data are also used to fit a snow albedo model to albedo measurements for old and new snow cover. The albedo model is then used in the second simulation, which is based oil global radiation measurements. a similar net long-wave radiation model, and a heat transfer approach in which turbulent mixing due to katabatic and geostrophic now is parameterized from the off-glacier temperature data. The second simulation scheme performs best if the katabatic component of the parameterization scheme is Suppressed because the wind regime at the glacier site appears to be intermittent, but the scheme itself is based upon the idea of a continuously flowing glacier wind.</t>
  </si>
  <si>
    <t>[Munro, D. Scott; Marosz-Wantuch, Marzena] Univ Toronto, Dept Geog, Mississauga, ON L5L 1C6, Canada</t>
  </si>
  <si>
    <t>University of Toronto; University Toronto Mississauga</t>
  </si>
  <si>
    <t>Munro, DS (corresponding author), Univ Toronto, Dept Geog, Mississauga, ON L5L 1C6, Canada.</t>
  </si>
  <si>
    <t>scott.munro@utoronto.ca</t>
  </si>
  <si>
    <t>Environment Canada; Natural Sciences and Engineering Research Council of Canada; Canada Foundation for Climate and Atmospheric Science</t>
  </si>
  <si>
    <t>Environment Canada(CGIAR); Natural Sciences and Engineering Research Council of Canada(Natural Sciences and Engineering Research Council of Canada (NSERC)CGIAR); Canada Foundation for Climate and Atmospheric Science</t>
  </si>
  <si>
    <t>Support for this work has been provided by Environment Canada through its Cryospheric Systems program, the Natural Sciences and Engineering Research Council of Canada, and currently, the Canada Foundation for Climate and Atmospheric Science. Infrastructure support has been provided through the Canadian Glacier Variations Monitoring and Assessment Network, headed by M. N. Demuth, Natural Resources Canada. The authors have also benefited from collaboration with R. D. Moore, University of British Columbia, as well as from the constructive comments of F. Pellicciotti, ETH, Switzerland, and one other reviewer.</t>
  </si>
  <si>
    <t>10.1657/1938-4246-41.2.246</t>
  </si>
  <si>
    <t>WOS:000266252900011</t>
  </si>
  <si>
    <t>Ullrich, AD; Cowan, EA; Zellers, SD; Jaeger, JM; Powell, RD</t>
  </si>
  <si>
    <t>Ullrich, Alexander D.; Cowan, Ellen A.; Zellers, Sarah D.; Jaeger, John M.; Powell, Ross D.</t>
  </si>
  <si>
    <t>Intra-annual Variability in Benthic Foraminiferal Abundance in Sediments of Disenchantment Bay, an Alaskan Glacial Fjord</t>
  </si>
  <si>
    <t>SURFACE SEDIMENTS; HUBBARD GLACIER; RUSSELL FJORD; MELTWATER; OXYGEN; SHELF; SEA; RECOLONIZATION; PRODUCTIVITY; PATTERNS</t>
  </si>
  <si>
    <t>Sediment deposited from turbid meltwater from Hubbard Glacier dominates the benthic environment ill Disenchantment Bay, a glacial fjord ill Southern Alaska. Sedimentation rates during the meltwater season average 22 cm yr(-1) at a station 12 km from the glacier. Samples were collected Cor foraminiferal analyses from multicores and it piston core, Samples from multicores show annual trends ill abundance of Elphidium spp. and Textularia earlandi. Lithofacies consist of couplets of laminated mud deposited by meltwater discharge in summer and diamicton beds deposited as ice-rafted debris during winter. Within Mud layers. counts of Elphidium spp. and T. earlandi increase upcore until the winter diamicton layer, where they are absent to rare. Evidence for this variation in abundance call be seen at depth ill the piston core. High C:N ratios (30-90) indicate that carbon flux is from refractory. terrestrial Sources rather than labile organic matter. We hypothesize that the pattern of seasonal variation is related to vertical migration of foraminifera toward it preferred sediment depth, then death following reproductions ill late summer. Episodic events reduce total abundance. impacting the intra-annual pattern. The high resolution record from an Alaskan glacial fjord can be used to better Understand in situ foraminiferal ecology.</t>
  </si>
  <si>
    <t>[Ullrich, Alexander D.; Jaeger, John M.] Univ Florida, Dept Geol Sci, Gainesville, FL 32611 USA; [Ullrich, Alexander D.; Cowan, Ellen A.] Appalachian State Univ, Dept Geol, Boone, NC 28608 USA; [Zellers, Sarah D.] Cent Missouri State Univ, Dept Biol &amp; Earth Sci, Warrensburg, MO 64093 USA; [Powell, Ross D.] No Illinois Univ, Dept Geol &amp; Environm Geosci, De Kalb, IL 60115 USA</t>
  </si>
  <si>
    <t>State University System of Florida; University of Florida; University of North Carolina; Appalachian State University; University Central Missouri; Northern Illinois University</t>
  </si>
  <si>
    <t>Ullrich, AD (corresponding author), Univ Florida, Dept Geol Sci, 241 Williamson Hill,POB 112120, Gainesville, FL 32611 USA.</t>
  </si>
  <si>
    <t>ullrichad@ufl.edu</t>
  </si>
  <si>
    <t>Jaeger, John/0000-0003-0248-489X</t>
  </si>
  <si>
    <t>National Science Foundation [OPP-0327106, OPP-0326926, OPP-0327107, OCE-0351062, OCE-0351043, OCE-0351089]</t>
  </si>
  <si>
    <t>We Would like to thank the members of the R/V Alpha Helix and R/V Maurice Ewing cruises who collected the sediment cores from DB. This material is based upon work supported by the National Science Foundation, Arctic Natural Sciences under Grant no. OPP-0327106 (Ellen A. Cowan, Appalachian State University). OPP-0326926 (John M. Jaeger, University of Florida), and OPP-0327107 (Ross D. Powell, Northern Illinois University). as well its Ocean Sciences under Grant no. OCE-0351062 (Cowan), OCE-0351043 (Jaeger), and OCE-0351089 (Powell).; S. Zellers Would like to thank Dulce Cruz for sample preparation, ExxonMobil for access to Gulf of Alaska collections, and the University of Central Missouri Research Council. Finally, we appreciate the helpful instruction at the Smithsonian Institution foraminifera collection provided by, Dr. Mill-till Buzas, its Well its the assistance of Dr. Jason Curtis of the University of Florida in producing, carbon and nitrogen chemistry data for multicore 76MC.; The authors would also like to acknowledge the thoughtful reviews Mid insight provided by three anonymous reviewers.</t>
  </si>
  <si>
    <t>10.1657/1938-4246-41.2.257</t>
  </si>
  <si>
    <t>WOS:000266252900012</t>
  </si>
  <si>
    <t>Zubek, S; Blaszkowski, J; Delimat, A; Turnau, K</t>
  </si>
  <si>
    <t>Zubek, Szymon; Blaszkowski, Janusz; Delimat, Anna; Turnau, Katarzyna</t>
  </si>
  <si>
    <t>Arbuscular Mycorrhizal and Dark Septate Endophyte Colonization along Altitudinal Gradients in the Tatra Mountains</t>
  </si>
  <si>
    <t>SPECIES-DIVERSITY; FUNGI; PLANTS; IMPACT; ROOTS</t>
  </si>
  <si>
    <t>The evaluation of fungal root endophytes of two multizonal mountain plant species (Soldanella carpatica and Homogyne alpine) in relation to altitude was conducted. The comparison of root colonization by coarse arbuscular mycorrhizal fungi (AM F) and the fine AMF endophyte (Glomus tenue), as well as the presence of dark septate endophytes (DSE) were assessed along altitudinal gradients (1000-2050 m a.s.l.) oil calcareous and non-calcareous substrata in the Tatra Mts. (Western Carpathians). Additionally, AMF species composition in the rhizosphere of the investigated plants was determined. Coarse AMIF dominated over the fine endophyte in roots of S. carpatica and H. alpina, In the case of S. carpatica, there was a tendency for coarse AMF colonization decline with increasing altitude, while the reverse trend wits observed for the fine endophyte. In contrast, the altitudinal patterns of the two types were opposite in H. alpina. Fifteen AMF species associated with the rhizosphere of'S. carpatica were identified at the sites located in the Western Tatra Mountains, whereas spores of only our species were isolated from the rhizosphere of H. alpina in the High Tatra Mountains. None of the identified AMF species was observed to occur both in the High and Western Tatra Mts. DSE accompanied AMF in the roots of S. carpatica and H. alpina at each site: however, the root colonization by this group Of fungi was low. The DSE colonization did not have a consistent relationship with altitude in both plant species. The results suggest that at the investigated altitudes factors such as the type Of Substrata, host plants, and local plant species composition may play a more important role in determining root colonization as well as the establishment of a local AMF Community than the climatic changes with increasing elevation above sea level.</t>
  </si>
  <si>
    <t>[Zubek, Szymon; Turnau, Katarzyna] Jagiellonian Univ, Inst Environm Sci, PL-30387 Krakow, Poland; [Blaszkowski, Janusz] W Pomeranian Univ Technol, Dept Plant Protect, PL-71434 Szczecin, Poland; [Delimat, Anna] Polish Acad Sci, Inst Nat Conservat, PL-31120 Krakow, Poland</t>
  </si>
  <si>
    <t>Jagiellonian University; West Pomeranian University of Technology; Polish Academy of Sciences</t>
  </si>
  <si>
    <t>Zubek, S (corresponding author), Jagiellonian Univ, Coll Med, Fac Pharm, Dept Pharmaceut Bot, PL-30688 Krakow, Poland.</t>
  </si>
  <si>
    <t>zubek@cm-uj.krakow.pl</t>
  </si>
  <si>
    <t>Turnau, Katarzyna/ABG-6170-2020</t>
  </si>
  <si>
    <t>Blaszkowski, Janusz/0000-0003-3688-164X; Turnau, Katarzyna/0000-0002-8875-0978; Zubek, Szymon/0000-0003-1338-9572</t>
  </si>
  <si>
    <t>Polish Ministry of Science and Higher Education [2 P04G 00628]; Jagiellonian University [DS/758/UJ]</t>
  </si>
  <si>
    <t>Polish Ministry of Science and Higher Education(Ministry of Science and Higher Education, Poland); Jagiellonian University</t>
  </si>
  <si>
    <t>The present research was financially supported by the Polish Ministry of Science and Higher Education, project no. 2 P04G 00628 (2005-2006) and the Jagiellonian University funds DS/758/UJ. The authors are grateful to Professor H. Pickos-Mirkowa (Institute of Nature Conservation of the Polish Academy of Sciences, Krakow) for useful comments. M.Sc. engineer Barbara Szezepanowicz (Institute of Botany, Jagiellonian University,Krakow) is acknowledged for her assistance during the soil samples analysis. We also wish to thank the authorities of Tatra National Park (TPN) for permission for material collection.</t>
  </si>
  <si>
    <t>10.1657/1938-4246-41.2.272</t>
  </si>
  <si>
    <t>WOS:000266252900013</t>
  </si>
  <si>
    <t>Fügner, D; Fuhrmann, C; Strassmeier, KG</t>
  </si>
  <si>
    <t>Fuegner, D.; Fuhrmann, C.; Strassmeier, K. G.</t>
  </si>
  <si>
    <t>Field optimization and CCD data simulation for the antarctic International Concordia Explorer Telescope (ICE-T)</t>
  </si>
  <si>
    <t>ASTRONOMISCHE NACHRICHTEN</t>
  </si>
  <si>
    <t>instrumentation: miscellaneous; planetary systems; techniques: photometric; telescopes</t>
  </si>
  <si>
    <t>PLANETARY TRANSIT; SKY SURVEY; PHOTOMETRY; CATALOG; VARIABILITY; SCIENCE; GIANTS; NOISE; MODEL; CYCLE</t>
  </si>
  <si>
    <t>We performed extensive data simulations for the planned ultra-wide-field, high-precision photometric telescope ICE-T (International Concordia Explorer Telescope). ICE-T consists of two 60 cm-aperture Schmidt telescopes with a joint field of view simultaneously in two photometric bandpasses. Two CCD cameras, each with a single 10.3k x 10.3k thinned back-illuminated device, would image a sky field of 65 square degrees. Given a location of the telescope at Dome C on the East Antarctic Plateau, we searched for the star fields that best exploit the technical capabilities of the instrument and the site. We considered the effects of diurnal air mass and refraction variations, solar and lunar interference, interstellar absorption, overexposing of bright stars and ghosts, crowding by background stars, and the ratio of dwarf to giant stars in the field. Using NOMAD, SSA, Tycho-2 and 2MASS-based stellar positions and BVIJH magnitudes for these fields, we simulated the effects of the telescope's point-spread-function, the integration, and the co-addition times. Simulations of transit light curves are presented for the selected star fields and convolved with the expected instrumental characteristics. For the brightest stars, we showed that ICE-T should be capable of detecting a 2 R-Earth Super Earth around a G2 solar-type star, as well as an Earth around an MO-star - if these targets were as abundant as hot Jupiters. Simultaneously, the telescope would monitor the host star's surface activity in an astrophysically interpretable manner. (C) 2009 WILEY-VCH Verlag GmbH &amp;Co. KGaA, Weinheim</t>
  </si>
  <si>
    <t>[Fuegner, D.; Fuhrmann, C.; Strassmeier, K. G.] Astrophys Inst Potsdam, D-14482 Potsdam, Germany</t>
  </si>
  <si>
    <t>Strassmeier, KG (corresponding author), Astrophys Inst Potsdam, Sternwarte 16, D-14482 Potsdam, Germany.</t>
  </si>
  <si>
    <t>kstrassmeier@aip.de</t>
  </si>
  <si>
    <t>German Federal Ministry of Research; State of Brandenburg; European Community [RICA-026150]</t>
  </si>
  <si>
    <t>German Federal Ministry of Research; State of Brandenburg; European Community</t>
  </si>
  <si>
    <t>This work was supported through the Leibniz Society's Pakt fur Forschung funded by the German Federal Ministry of Research and the State of Brandenburg. We also acknowledge related travel support from the European Community's Sixth Framework Programme under contract number RICA-026150 (ARENA). Extensive use was made of the CDS-operated Simbad database.</t>
  </si>
  <si>
    <t>WILEY-V C H VERLAG GMBH</t>
  </si>
  <si>
    <t>WEINHEIM</t>
  </si>
  <si>
    <t>POSTFACH 101161, 69451 WEINHEIM, GERMANY</t>
  </si>
  <si>
    <t>0004-6337</t>
  </si>
  <si>
    <t>1521-3994</t>
  </si>
  <si>
    <t>ASTRON NACHR</t>
  </si>
  <si>
    <t>Astro. Nachr.</t>
  </si>
  <si>
    <t>10.1002/asna.200811189</t>
  </si>
  <si>
    <t>451ON</t>
  </si>
  <si>
    <t>WOS:000266479600003</t>
  </si>
  <si>
    <t>Zhu, RB; Liu, YS; Ma, ED; Sun, JJ; Xu, H; Sun, LG</t>
  </si>
  <si>
    <t>Zhu, Renbin; Liu, Yashu; Ma, Erdeng; Sun, Jianjun; Xu, Hua; Sun, Liguang</t>
  </si>
  <si>
    <t>Greenhouse gas emissions from penguin guanos and ornithogenic soils in coastal Antarctica: Effects of freezing-thawing cycles</t>
  </si>
  <si>
    <t>ATMOSPHERIC ENVIRONMENT</t>
  </si>
  <si>
    <t>Antarctica; Freezing-thawing cycles; N2O; CO2; CH4; Ornithogenic soil; Penguin guano</t>
  </si>
  <si>
    <t>NITROUS-OXIDE EMISSIONS; ISOTOPE NATURAL-ABUNDANCE; N2O EMISSIONS; METHANE EMISSIONS; TUNDRA SOILS; WATER; FOREST; CO2; DENITRIFICATION; GRASSLAND</t>
  </si>
  <si>
    <t>In coastal Antarctica, freezing and thawing influence many physical, chemical and biological processes for ice-free tundra ecosystems. including the production of greenhouse gases (GHGs). In this study, penguin guanos and ornithogenic soil cores were collected from four penguin colonies and one seal colony in coastal Antarctica, and experimentally subjected to three freezing-thawing cycles (FTCs) under ambient air and under N-2. We investigated the effects of FTCs on the emissions of three GHGs including nitrous oxide (N2O), carbon dioxide (CO2) and methane (CH4). The GHG emission rates were extremely low in frozen penguin guanos or ornithogenic soils. However, there was a fast increase in the emission rates of three GHGs following thawing. During FTCs, cumulative N2O emissions from ornithogenic soils were greatly higher than those from penguin guanos under ambient air or under N-2. The highest N2O Cumulative emission of 138.24 mu g N2O-N kg(-1) was observed from seal colony soils. Cumulative CO2 and CH4 emissions from penguin guanos were one to three orders of magnitude higher than those from ornithogenic soils. The highest Cumulative CO2 (433.0 MgCO2-C kg(-1)) and CH4 (2.9 mgCH(4)-C kg(-1)) emissions occurred in emperor penguin guanos. Penguin guano was a stronger emitter for CH4 and CO2 while ornithogenic soil was a stronger emitter for N2O during FTCs. CO2 and CH4 fluxes had a correlation with total organic carbon (TOC) and soil/guano moisture (M-c) in penguin guanos and ornithogenic soils. The specific CO2-C production rate (CO2-C/TOC) indicated that the bioavailability of TOC was markedly larger in penguin guanos than in ornithogenic soils during FTCs. This study showed that FTC-released organic C and N from sea animal excreta may play a significant role in FTC-related GHG emissions, which may account for a large proportion of annual fluxes from tundra ecosystems in coastal Antarctica. (C) 2009 Elsevier Ltd. All rights reserved.</t>
  </si>
  <si>
    <t>[Zhu, Renbin; Liu, Yashu; Sun, Jianjun; Sun, Liguang] Univ Sci &amp; Technol China, Inst Polar Environm, Hefei 230026, Anhui, Peoples R China; [Zhu, Renbin; Ma, Erdeng; Xu, Hua]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</si>
  <si>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</si>
  <si>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Inst Polar Environm, Hefei 230026, Anhui, Peoples R China.</t>
  </si>
  <si>
    <t>zhurb@ustc.edu.cn</t>
  </si>
  <si>
    <t>National Natural Science Foundation of China [40676005, 40730107]; 22nd Chinese Antarctic Research Expedition; Polar Office of National Ocean Bureau of China</t>
  </si>
  <si>
    <t>National Natural Science Foundation of China(National Natural Science Foundation of China (NSFC)); 22nd Chinese Antarctic Research Expedition; Polar Office of National Ocean Bureau of China</t>
  </si>
  <si>
    <t>This work was funded by the National Natural Science Foundation of China (grant nos. 40676005 and 40730107). We thank Polar Office of National Ocean Bureau of China and the members of the 22nd Chinese Antarctic Research Expedition for their support.</t>
  </si>
  <si>
    <t>1352-2310</t>
  </si>
  <si>
    <t>1873-2844</t>
  </si>
  <si>
    <t>ATMOS ENVIRON</t>
  </si>
  <si>
    <t>Atmos. Environ.</t>
  </si>
  <si>
    <t>10.1016/j.atmosenv.2009.01.027</t>
  </si>
  <si>
    <t>Environmental Sciences; Meteorology &amp; Atmospheric Sciences</t>
  </si>
  <si>
    <t>Environmental Sciences &amp; Ecology; Meteorology &amp; Atmospheric Sciences</t>
  </si>
  <si>
    <t>441ZN</t>
  </si>
  <si>
    <t>WOS:000265809300013</t>
  </si>
  <si>
    <t>Cockburn, A; Dalziell, AH; Blackmore, CJ; Double, MC; Kokko, H; Osmond, HL; Beck, NR; Head, ML; Wells, K</t>
  </si>
  <si>
    <t>Cockburn, Andrew; Dalziell, Anastasia H.; Blackmore, Caroline J.; Double, Michael C.; Kokko, Hanna; Osmond, Helen L.; Beck, Nadeena R.; Head, Megan L.; Wells, Konstans</t>
  </si>
  <si>
    <t>Superb fairy-wren males aggregate into hidden leks to solicit extragroup fertilizations before dawn</t>
  </si>
  <si>
    <t>BEHAVIORAL ECOLOGY</t>
  </si>
  <si>
    <t>cooperative breeding; dawn chorus; extrapair copulation; hidden lek; Malurus; polyandry; song dialect</t>
  </si>
  <si>
    <t>MALURUS-CYANEUS; SPERM COMPETITION; MATE RETENTION; SITE SELECTION; PAIR PATERNITY; FEMALE CHOICE; BARN SWALLOWS; SAGE GROUSE; SONG; EVOLUTION</t>
  </si>
  <si>
    <t>Female superb fairy-wrens Malurus cyaneus initiate extragroup fertilizations by forays to the territory of preferred males, just before sunrise, 2-4 days before egg laying. Over a prolonged breeding season, males advertise their availability to foraying females by singing during the dawn chorus. Here, we show that 1) males commence dawn advertisement at the same time of the year regardless of their quality or status; 2) subordinate males advertise by singing in close proximity to the dominant, or by using the dominant's song perch, despite inevitable punishment; 3) low-quality dominants and their helpers sing from the boundary of their own territory, which increases their proximity to attractive neighboring dominants; 4) each spatial cluster of males use a common dialect of a song that is implicated in extragroup choice, despite the ability of individual males to sing several dialects; and 5) there is leakage of paternity to lower-quality helpers and neighbors as a result of their satellite behavior. Collectively, these data suggest that Wagner's hidden lek hypothesis (Wagner RA, 1998. Hidden leks: sexual selection and the clustering of avian territories. In: Parker PG, Burley NT, editors. Avian reproductive tactics: female and male perspectives. Ornithological Monographs No. 49. Allen Press. p. 123-145) can be extended to birds that defend year-round all-purpose territories and that mating induced by parasitic behavior of low-quality satellites can be one explanation for polyandry in birds.</t>
  </si>
  <si>
    <t>[Cockburn, Andrew; Dalziell, Anastasia H.; Blackmore, Caroline J.; Double, Michael C.; Kokko, Hanna; Osmond, Helen L.; Beck, Nadeena R.; Head, Megan L.; Wells, Konstans] Australian Natl Univ, Sch Bot &amp; Zool, Evolutionary Ecol Grp, Canberra, ACT 0200, Australia; [Double, Michael C.] Univ Helsinki, Div Ecol &amp; Evolut, Dept Biol &amp; Environm Sci, FIN-00014 Helsinki, Finland; [Kokko, Hanna] Australian Antarctic Div, Kingston, Tas 7050, Australia; [Head, Megan L.] Univ London, Sch Biol &amp; Chem Sci, London E1 4NS, England; [Wells, Konstans] Univ Ulm, Inst Expt Ecol, D-89081 Ulm, Germany</t>
  </si>
  <si>
    <t>Australian National University; University of Helsinki; Australian Antarctic Division; University of London; Ulm University</t>
  </si>
  <si>
    <t>Cockburn, A (corresponding author), Australian Natl Univ, Sch Bot &amp; Zool, Evolutionary Ecol Grp, Canberra, ACT 0200, Australia.</t>
  </si>
  <si>
    <t>andrew.cockburn@anu.edu.au</t>
  </si>
  <si>
    <t>Wells, Konstans/A-7232-2010; Head, Megan/D-2551-2010; Kokko, Hanna/C-7861-2009</t>
  </si>
  <si>
    <t>Wells, Konstans/0000-0003-0377-2463; Head, Megan/0000-0002-8123-7661; Dalziell, Anastasia/0000-0003-3602-0495</t>
  </si>
  <si>
    <t>Australian Research Council; Academy of Finland; Ecological Society of Australia; Anjeli Nathan Memorial Scholarship; Special Topics undergraduate program in the School of Botany and Zoology</t>
  </si>
  <si>
    <t>Australian Research Council(Australian Research Council); Academy of Finland(Research Council of Finland); Ecological Society of Australia; Anjeli Nathan Memorial Scholarship; Special Topics undergraduate program in the School of Botany and Zoology</t>
  </si>
  <si>
    <t>Australian Research Council ( to A. C.), the Academy of Finland ( to H. K.), an Ecological Society of Australia student research award and an Anjeli Nathan Memorial Scholarship ( to A. H. D.), and the Special Topics undergraduate program in the School of Botany and Zoology ( to C. J. B., N. R. B., M. L. H., and K. W.).</t>
  </si>
  <si>
    <t>OXFORD UNIV PRESS INC</t>
  </si>
  <si>
    <t>CARY</t>
  </si>
  <si>
    <t>JOURNALS DEPT, 2001 EVANS RD, CARY, NC 27513 USA</t>
  </si>
  <si>
    <t>1045-2249</t>
  </si>
  <si>
    <t>1465-7279</t>
  </si>
  <si>
    <t>BEHAV ECOL</t>
  </si>
  <si>
    <t>Behav. Ecol.</t>
  </si>
  <si>
    <t>MAY-JUN</t>
  </si>
  <si>
    <t>10.1093/beheco/arp024</t>
  </si>
  <si>
    <t>Behavioral Sciences; Biology; Ecology; Zoology</t>
  </si>
  <si>
    <t>Behavioral Sciences; Life Sciences &amp; Biomedicine - Other Topics; Environmental Sciences &amp; Ecology; Zoology</t>
  </si>
  <si>
    <t>443ZV</t>
  </si>
  <si>
    <t>Green Published, Bronze</t>
  </si>
  <si>
    <t>WOS:000265950200006</t>
  </si>
  <si>
    <t>Echeverría, CA; Lavrado, HP; Campos, L; de Paiva, PC</t>
  </si>
  <si>
    <t>Echeverria, Carlos Alejandro; Lavrado, Helena Passeri; Campos, Lucia; de Paiva, Paulo Cesar</t>
  </si>
  <si>
    <t>A New Mini Box Corer for Sampling Muddy Bottoms in Antarctic Shallow Waters</t>
  </si>
  <si>
    <t>BRAZILIAN ARCHIVES OF BIOLOGY AND TECHNOLOGY</t>
  </si>
  <si>
    <t>Mini box-corer; Antarctica; Benthos; sampling</t>
  </si>
  <si>
    <t>SOUTH-SHETLAND-ISLANDS; KING-GEORGE-ISLAND; ABUNDANCE; MACROBENTHOS; BRAZIL; MACAE; FAUNA</t>
  </si>
  <si>
    <t>A new Mini Box Corer (MBC-GEAMB) was developed for bottom sampling in Antarctic shallow waters down to 100 m depth from a small vessel. It consists of a detachable stainless steel box with a total sampling area of 0.0625 m(2), and a closing arm with a detachable blade without an external frame. MBC allowed stratified bottom sampling and good quality samples comparable to those obtained through diving. A comparison between the MBC-GEAMB and a 0.056 m(2) van Veen grab (VV) was undertaken for the benthic macrofaunal composition in Admiralty Bay, King George Island (Antarctica). MBC and VV samples were taken from three depths (20, 30 and 60m) in two sites. Total densities sampled with the MBC were up to 10 times higher than those obtained with van Veen grab. VV samples might lead to faunistic abundance underestimation compared to the MBC samples. Besides, MBC showed a higher performance on discriminating different sites as regards total macrofaunal density. It is suggested that MBC could be employed as an efficient remote sampling device for shallow-waters where direct sampling by SCUBA was not advisable.</t>
  </si>
  <si>
    <t>[Echeverria, Carlos Alejandro] Univ Fed Rio de Janeiro, Lab Pesquisas Costeiras &amp; Estuarinas, Rio De Janeiro, Brazil; [Lavrado, Helena Passeri] Univ Fed Rio de Janeiro, Lab Benthos, Dept Biol Marinha, Rio De Janeiro, Brazil; [Campos, Lucia] Univ Fed Rio de Janeiro, Dept Zool, Lab Echinodermata, Rio De Janeiro, Brazil; [de Paiva, Paulo Cesar] Univ Fed Rio de Janeiro, Dept Zool, Lab Polychaeta, Rio De Janeiro, Brazil</t>
  </si>
  <si>
    <t>Universidade Federal do Rio de Janeiro; Universidade Federal do Rio de Janeiro; Universidade Federal do Rio de Janeiro; Universidade Federal do Rio de Janeiro</t>
  </si>
  <si>
    <t>Echeverría, CA (corresponding author), Univ Fed Rio de Janeiro, Lab Pesquisas Costeiras &amp; Estuarinas, Rio De Janeiro, Brazil.</t>
  </si>
  <si>
    <t>caecheve@acd.ufrj.br</t>
  </si>
  <si>
    <t>Echeverria, Carlos Alejandro/P-1206-2018; Echeverria, Carlos A/F-3184-2011; de Paiva, Paulo Cesar/N-1234-2019; Campos, Lucia/L-9539-2013; Lavrado, Helena/M-9737-2014</t>
  </si>
  <si>
    <t>de Paiva, Paulo Cesar/0000-0003-1061-6549; Echeverria, Carlos Alejandro/0000-0002-8479-6549; Campos, Lucia/0000-0002-3648-7450; Lavrado, Helena/0000-0002-7275-7075</t>
  </si>
  <si>
    <t>SeCIRM; CNPq</t>
  </si>
  <si>
    <t>SeCIRM; CNPq(Conselho Nacional de Desenvolvimento Cientifico e Tecnologico (CNPQ))</t>
  </si>
  <si>
    <t>The authors wish to thank to SeCIRM and CNPq which provided grant and logistic support in the scope of the Brazilian Antarctic Program (PROANTAR). Thanks to one anonymous referee for valuable comments and suggestions.</t>
  </si>
  <si>
    <t>INST TECNOLOGIA PARANA</t>
  </si>
  <si>
    <t>CURITIBA-PARANA</t>
  </si>
  <si>
    <t>RUA PROF ALGACYR MUNHOZ MADER 3775-CIC, 81350-010 CURITIBA-PARANA, BRAZIL</t>
  </si>
  <si>
    <t>1516-8913</t>
  </si>
  <si>
    <t>1678-4324</t>
  </si>
  <si>
    <t>BRAZ ARCH BIOL TECHN</t>
  </si>
  <si>
    <t>Braz. Arch. Biol. Technol.</t>
  </si>
  <si>
    <t>10.1590/S1516-89132009000300015</t>
  </si>
  <si>
    <t>Biology</t>
  </si>
  <si>
    <t>Life Sciences &amp; Biomedicine - Other Topics</t>
  </si>
  <si>
    <t>478IJ</t>
  </si>
  <si>
    <t>WOS:000268580700015</t>
  </si>
  <si>
    <t>Legg, S; Briegleb, B; Chang, Y; Chassignet, EP; Danabasoglu, G; Ezer, T; Gordon, AL; Griffies, S; Hallberg, R; Jackson, L; Large, W; Özgökmen, TM; Peters, H; Price, J; Riemenschneider, U; Wu, WL; Xu, XB; Yang, JY</t>
  </si>
  <si>
    <t>Legg, Sonya; Briegleb, Bruce; Chang, Yeon; Chassignet, Eric P.; Danabasoglu, Gokhan; Ezer, Tal; Gordon, Arnold L.; Griffies, Stephen; Hallberg, Robert; Jackson, Laura; Large, William; Oezgoekmen, Tamay M.; Peters, Hartmut; Price, Jim; Riemenschneider, Ulrike; Wu, Wanli; Xu, Xiaobiao; Yang, Jiayan</t>
  </si>
  <si>
    <t>IMPROVING OCEANIC OVERFLOW REPRESENTATION IN CLIMATE MODELS The Gravity Current Entrainment Climate Process Team</t>
  </si>
  <si>
    <t>BULLETIN OF THE AMERICAN METEOROLOGICAL SOCIETY</t>
  </si>
  <si>
    <t>BANK CHANNEL OVERFLOW; NORTH-ATLANTIC OCEAN; DENSITY CURRENTS; SEA OUTFLOW; MEDITERRANEAN OVERFLOW; TURBULENT ENTRAINMENT; Z-COORDINATE; BOTTOM; PARAMETERIZATION; CIRCULATION</t>
  </si>
  <si>
    <t>Oceanic overflows are bottom-trapped density currents originating in semienclosed basins, such as the Nordic seas, or on continental shelves, such as the Antarctic shelf. Overflows are the source of most of the abyssal waters, and therefore play an important role in the large-scale ocean circulation, forming a component of the sinking branch of the thermohaline circulation. As they descend the continental slope, overflows mix vigorously with the surrounding oceanic waters, changing their density and transport significantly. These mixing processes occur on spatial scales well below the resolution of ocean climate models, with the result that deep waters and deep western boundary currents are simulated poorly. The Gravity Current Entrainment Climate Process Team was established by the U. S. Climate Variability and Prediction (CLIVAR) Program to accelerate the development and implementation of improved representations of overflows within large-scale climate models, bringing together climate model developers with those conducting observational, numerical, and laboratory process studies of overflows. Here, the organization of the Climate Process Team is described, and a few of the successes and lessons learned during this collaboration are highlighted, with some emphasis on the well-observed Mediterranean overflow. The Climate Process Team has developed several different overflow parameterizations, which are examined in a hierarchy of ocean models, from comparatively well-resolved regional models to the largest-scale global climate models.</t>
  </si>
  <si>
    <t>[Legg, Sonya] Princeton Univ, NOAA, GFDL, Princeton, NJ 08540 USA; [Briegleb, Bruce; Danabasoglu, Gokhan; Large, William; Wu, Wanli] Natl Ctr Atmospher Res, Boulder, CO 80307 USA; [Chang, Yeon; Oezgoekmen, Tamay M.; Peters, Hartmut; Xu, Xiaobiao] Univ Miami, Miami, FL USA; [Chassignet, Eric P.] Florida State Univ, Tallahassee, FL 32306 USA; [Gordon, Arnold L.] Columbia Univ, Lamont Doherty Earth Observ, New York, NY USA; [Price, Jim; Riemenschneider, Ulrike; Yang, Jiayan] Woods Hole Oceanog Inst, Woods Hole, MA 02543 USA; [Ezer, Tal] Old Dominion Univ, Norfolk, VA USA</t>
  </si>
  <si>
    <t>National Oceanic Atmospheric Admin (NOAA) - USA; Princeton University; National Center Atmospheric Research (NCAR) - USA; University of Miami; State University System of Florida; Florida State University; Columbia University; Woods Hole Oceanographic Institution; Old Dominion University</t>
  </si>
  <si>
    <t>Legg, S (corresponding author), Princeton Univ, NOAA, GFDL, Forrestal Campus,201 Forrestal Dr, Princeton, NJ 08540 USA.</t>
  </si>
  <si>
    <t>sonya.legg@noaa.gov</t>
  </si>
  <si>
    <t>Griffies, Stephen Matthew/N-9144-2019; Jackson, Laura/J-6159-2013; Legg, Sonya/E-5995-2010; Gordon, Arnold L./H-1049-2011</t>
  </si>
  <si>
    <t>Griffies, Stephen Matthew/0000-0002-3711-236X; Xu, Xiaobiao/0000-0001-8902-7645; Ezer, Tal/0000-0002-2018-6071; Danabasoglu, Gokhan/0000-0003-4676-2732; Gordon, Arnold L./0000-0001-6480-6095; Chassignet, Eric/0000-0003-4710-7502</t>
  </si>
  <si>
    <t>NSF [OCE-0336850, OCE-0611572]; NOAA</t>
  </si>
  <si>
    <t>NSF(National Science Foundation (NSF)); NOAA(National Oceanic Atmospheric Admin (NOAA) - USA)</t>
  </si>
  <si>
    <t>The Gravity Current Entrainment Climate Process Team was funded by NSF grants OCE-0336850 and OCE-0611572 and NOAA as a contribution to U. S.CLIVAR.</t>
  </si>
  <si>
    <t>AMER METEOROLOGICAL SOC</t>
  </si>
  <si>
    <t>BOSTON</t>
  </si>
  <si>
    <t>45 BEACON ST, BOSTON, MA 02108-3693 USA</t>
  </si>
  <si>
    <t>0003-0007</t>
  </si>
  <si>
    <t>1520-0477</t>
  </si>
  <si>
    <t>B AM METEOROL SOC</t>
  </si>
  <si>
    <t>Bull. Amer. Meteorol. Soc.</t>
  </si>
  <si>
    <t>10.1175/2008BAMS2667.1</t>
  </si>
  <si>
    <t>462LR</t>
  </si>
  <si>
    <t>WOS:000267354800007</t>
  </si>
  <si>
    <t>Welch, DW; Melnychuk, MC; Rechisky, ER; Porter, AD; Jacobs, MC; Ladouceur, A; McKinley, RS; Jackson, GD</t>
  </si>
  <si>
    <t>Welch, David W.; Melnychuk, Michael C.; Rechisky, Erin R.; Porter, Aswea D.; Jacobs, Melinda C.; Ladouceur, Adrian; McKinley, R. Scott; Jackson, George D.</t>
  </si>
  <si>
    <t>Freshwater and marine migration and survival of endangered Cultus Lake sockeye salmon (Oncorhynchus nerka) smolts using POST, a large-scale acoustic telemetry array</t>
  </si>
  <si>
    <t>CANADIAN JOURNAL OF FISHERIES AND AQUATIC SCIENCES</t>
  </si>
  <si>
    <t>ATLANTIC SALMON; BRITISH-COLUMBIA; MYKISS; TRACKING; RIVER; POPULATIONS; MOVEMENTS; MORTALITY; PATTERNS; HATCHERY</t>
  </si>
  <si>
    <t>Freshwater and early marine migration and survival of endangered Cultus Lake sockeye (Oncorhynchus nerka) salmon were studied using the Pacific Ocean Shelf Tracking (POST) array. Smolts were acoustically tagged in 2004-2007, and their migration was recorded within the lower Fraser River and coastal southern British Columbia waters. Most smolts showed rapid directional movement (swimming speeds of similar to 15-30 km.day(-1)). Average exit time from the Fraser River was 4.0-5.6 days after release, and average residence time within the Strait of Georgia was 25.6-34.1 days. Most individuals migrated northward, generally close to the mainland coast. Survival rates, assessed using standard mark-recapture methods, were generally high during the downstream migration (50%-70%), except in 2005 when survival was &lt;20%, possibly because of a late release. Marine survival rates were stable among years, between 10%-30% at a subarray sited 500 km away from the release site. Movement rates were similar to those of previously published work, but the POST array provided direct measurements of movement and estimates of survival and demonstrated the feasibility of establishing continental-scale acoustic arrays for management and conservation of marine species.</t>
  </si>
  <si>
    <t>[Welch, David W.; Porter, Aswea D.; Jacobs, Melinda C.; Ladouceur, Adrian] Kintama Res Corp, Nanaimo, BC V9S 3B3, Canada; [Welch, David W.] Univ Victoria, Sch Earth &amp; Ocean Sci, Victoria, BC V8W 2Y2, Canada; [Melnychuk, Michael C.; Rechisky, Erin R.] Univ British Columbia, Fisheries Ctr, Vancouver, BC V6T 1Z4, Canada; [McKinley, R. Scott] Univ British Columbia, Dept Anim Sci, W Vancouver, BC V7V 1N6, Canada; [Jackson, George D.] Univ Tasmania, Inst Antarctic &amp; So Ocean Studies, Hobart, Tas 7001, Australia; [Jackson, George D.] Pacific Ocean Shelf Tracking Project POST, Vancouver Aquarium, Vancouver, BC V6B 3X8, Canada</t>
  </si>
  <si>
    <t>University of Victoria; University of British Columbia; University of British Columbia; University of Tasmania</t>
  </si>
  <si>
    <t>Welch, DW (corresponding author), Kintama Res Corp, 10-1850 Northfield Rd, Nanaimo, BC V9S 3B3, Canada.</t>
  </si>
  <si>
    <t>david.welch@kintama.com</t>
  </si>
  <si>
    <t>Jackson, George D/AAI-7315-2021; Melnychuk, Michael Colin/A-4680-2013</t>
  </si>
  <si>
    <t>Melnychuk, Michael Colin/0000-0002-6088-7657</t>
  </si>
  <si>
    <t>Census of Marine Life; Gordon and Betty Moore Foundation; Pacific Salmon Commission and Pacific Salmon Foundation</t>
  </si>
  <si>
    <t>Census of Marine Life; Gordon and Betty Moore Foundation(Gordon and Betty Moore Foundation); Pacific Salmon Commission and Pacific Salmon Foundation</t>
  </si>
  <si>
    <t>We are grateful to the Census of Marine Life, the Gordon and Betty Moore Foundation, and the Pacific Salmon Commission and Pacific Salmon Foundation for their support of this study and the POST project. We also thank Fred Goetz (USACE) for lending us the mobile tracking equipment used in this study, Christine Tovey (Fisheries and Oceans Canada) for sharing detection data from Cultus Lake, and Al Stobbart (Fisheries and Oceans Canada) for able assistance in organizing logistics at the hatcheries.</t>
  </si>
  <si>
    <t>CANADIAN SCIENCE PUBLISHING</t>
  </si>
  <si>
    <t>OTTAWA</t>
  </si>
  <si>
    <t>65 AURIGA DR, SUITE 203, OTTAWA, ON K2E 7W6, CANADA</t>
  </si>
  <si>
    <t>0706-652X</t>
  </si>
  <si>
    <t>1205-7533</t>
  </si>
  <si>
    <t>CAN J FISH AQUAT SCI</t>
  </si>
  <si>
    <t>Can. J. Fish. Aquat. Sci.</t>
  </si>
  <si>
    <t>10.1139/F09-032</t>
  </si>
  <si>
    <t>468IT</t>
  </si>
  <si>
    <t>WOS:000267811500003</t>
  </si>
  <si>
    <t>Arigony-Neto, J; Saurer, H; Simoes, JC; Rau, F; Jaña, R; Vogt, S; Gossmann, H</t>
  </si>
  <si>
    <t>Arigony-Neto, Jorge; Saurer, Helmut; Simoes, Jefferson C.; Rau, Frank; Jana, Ricardo; Vogt, Steffen; Gossmann, Hermann</t>
  </si>
  <si>
    <t>Spatial and temporal changes in dry-snow line altitude on the Antarctic Peninsula</t>
  </si>
  <si>
    <t>CLIMATIC CHANGE</t>
  </si>
  <si>
    <t>Article; Proceedings Paper</t>
  </si>
  <si>
    <t>2nd International Young Scientists Global Change Conference</t>
  </si>
  <si>
    <t>NOV 05-08, 2006</t>
  </si>
  <si>
    <t>Beijing, PEOPLES R CHINA</t>
  </si>
  <si>
    <t>ICE SHELF; SURFACE-PROPERTIES; GLACIER ZONES; MASS-BALANCE; RETREAT; SHEET; DISINTEGRATION; VARIABILITY</t>
  </si>
  <si>
    <t>Drastic changes were detected in glacial systems of the Antarctic Peninsula in the last decades. The observed phenomena comprise the disintegration of ice shelves, acceleration and thinning of glaciers, and retreat of glacier fronts. However, due to the lack of consistent systematic observations in particular of the higher parts of the glacial systems, it is difficult to predict further responses of the Antarctic Peninsula glaciers to climatic change. The present paper analyses spatial and temporal variations of changes in the dry-snow line altitude on the Antarctic Peninsula as extracted from a time series (1992-2005) of ERS-1/2 SAR and Envisat ASAR data. Upward changes in dry-snow line altitude were observed in general, and are attributed to extreme high-temperature events impacting the central plateaus of the Antarctic Peninsula and the increasing duration of warming periods. A mean decrease in dry-snow line altitude was detected on the west side of the peninsula and is identified as a response to recorded increase in precipitation and accumulation. These results validate the capability of SAR data for deriving superficial parameters of glaciers to be used as indicators of climatic changes in high-latitude regions where operational restrictions limit conventional meteorological observations.</t>
  </si>
  <si>
    <t>[Arigony-Neto, Jorge] Univ Fed Rio Grande FURG, Inst Ciencias Humanas &amp; Informacao, Lab Monitoramento Criosfera, BR-96201900 Rio Grande, RS, Brazil; [Saurer, Helmut; Rau, Frank; Vogt, Steffen; Gossmann, Hermann] Univ Freiburg, Inst Phys Geog, D-79085 Freiburg, Germany; [Jana, Ricardo] Inst Antartico Chileno, Punta Arenas, Chile; [Arigony-Neto, Jorge; Simoes, Jefferson C.] Univ Fed Rio Grande do Sul, Inst Geociencias, Dept Geog, Nucleo Pesquisas Antarticas &amp; Climat, BR-91501970 Porto Alegre, RS, Brazil</t>
  </si>
  <si>
    <t>Universidade Federal do Rio Grande; University of Freiburg; Universidade Federal do Rio Grande do Sul</t>
  </si>
  <si>
    <t>Arigony-Neto, J (corresponding author), Univ Fed Rio Grande FURG, Inst Ciencias Humanas &amp; Informacao, Lab Monitoramento Criosfera, Av Italia,Km 8, BR-96201900 Rio Grande, RS, Brazil.</t>
  </si>
  <si>
    <t>jorgearigony@furg.br</t>
  </si>
  <si>
    <t>Criosfera, Inct/J-8639-2013; Jaña, Ricardo/AAR-1225-2020; Simoes, Jefferson Cardia/D-7232-2013</t>
  </si>
  <si>
    <t>Jaña, Ricardo/0000-0003-3319-1168; Simoes, Jefferson Cardia/0000-0001-5555-3401; Arigony-Neto, Jorge/0000-0003-4848-2064</t>
  </si>
  <si>
    <t>0165-0009</t>
  </si>
  <si>
    <t>1573-1480</t>
  </si>
  <si>
    <t>Clim. Change</t>
  </si>
  <si>
    <t>10.1007/s10584-009-9550-1</t>
  </si>
  <si>
    <t>Science Citation Index Expanded (SCI-EXPANDED); Conference Proceedings Citation Index - Science (CPCI-S)</t>
  </si>
  <si>
    <t>442HF</t>
  </si>
  <si>
    <t>WOS:000265831600003</t>
  </si>
  <si>
    <t>Rellinger, AN; Kiene, RP; del Valle, DA; Kieber, DJ; Slezak, D; Harada, H; Bisgrove, J; Brinkley, J</t>
  </si>
  <si>
    <t>Rellinger, Alison N.; Kiene, Ronald P.; del Valle, Daniela A.; Kieber, David J.; Slezak, Doris; Harada, Hyakubun; Bisgrove, John; Brinkley, Jordan</t>
  </si>
  <si>
    <t>Occurrence and turnover of DMSP and DMS in deep waters of the Ross Sea, Antarctica</t>
  </si>
  <si>
    <t>DEEP-SEA RESEARCH PART I-OCEANOGRAPHIC RESEARCH PAPERS</t>
  </si>
  <si>
    <t>Phaeocystis; Mesopelagic; Polynya; Bacterial production; Export; DMSO; Modified circumpolar deep water</t>
  </si>
  <si>
    <t>DIMETHYL SULFIDE; DISSOLVED DMSP; DIMETHYLSULFONIOPROPIONATE DMSP; PHAEOCYSTIS-ANTARCTICA; BACTERIAL PRODUCTION; SOUTHERN-OCEAN; SURFACE-WATER; VERTICAL FLUX; PHYTOPLANKTON; SULFUR</t>
  </si>
  <si>
    <t>High concentrations of the phytoplankton metabolite dimethylsulfoniopropionate (DMSP) and its degradation product dimethylsulfide (DMS) are associated with blooms of Phaeocystis antarctica in the Ross Sea, Antarctica. Episodic and rapid vertical export of Phaeocystis biomass to deep water has been reported for the Ross Sea, therefore we examined the distribution and microbial consumption rates of DMSP and DMS throughout the sub-euphotic water column. Total DMSP (dissolved+particulate; DMSPt) was present at 0.5-22 nM at depths between 70 and 690 m during both the early bloom (November) and the late bloom (January). Sub-euphotic peaks of DMSP were sometimes associated with mid-water temperature maxima, and elevated DMSP below 70 m was found mainly in water masses characterized as Modified Circumpolar Deep Water or Antarctic Shelf Water. Overall, 50-94% of the integrated water-column DMSPt was found below the euphotic zone. At one station during the early bloom, local maxima of DMSPt (14 nM) and DMS (20 nM) were observed between 113 and 240 m and these maxima corresponded with high chlorophyll a concentrations, P antarctica cell numbers, and Fv/Fm (the quantum yield of photosystem 11). During the late bloom, a sub-euphotic maximum of DMSPt (15.8 nM) at 250 m cooccurred with peaks of chlorophyll a concentration, DMSP lyase activity, bacterial production and dissolved DMSP consumption rates. DMSP turnover contributed similar to 12% of the bacterial carbon demand between 200 and 400 m. DMS concentrations peaked at 286 m but the maximum concentration (0.42 nM) was far lower than observed during the early bloom, probably because of relatively rapid biological consumption of DMS (1-3 turnovers per day) which, in turn, contributed to elevated dissolved dimethylsulfoxide (DMSO) concentrations. Relatively stable DMSPt distributions at some sites suggest that rapid sinking of Phaeocystis biomass is probably not the major mechanism responsible for mesopelagic DMSP accumulations. Rather, subduction of near-surface water masses, lateral advective transport or trapping of slowly sinking P. antarctica biomass in intermediate water masses are more likely mechanisms. We found that a culture of P. antarctica maintained cellular integrity during 34 days of darkness, therefore the presence of intact cells (and DMSP) at depth can be explained even under a slow sinking/advection scenario. Whatever the mechanism, the large pools of DMSP and DIMS below the euphotic zone suggest that export exerts a control on potential DMS emission from the surface waters of the Ross Sea. (C) 2009 Elsevier Ltd. All rights reserved.</t>
  </si>
  <si>
    <t>[Rellinger, Alison N.; Kiene, Ronald P.; del Valle, Daniela A.; Slezak, Doris; Harada, Hyakubun] Univ S Alabama, Dept Marine Sci, Mobile, AL 36688 USA; [Rellinger, Alison N.; Kiene, Ronald P.; del Valle, Daniela A.; Slezak, Doris; Harada, Hyakubun] Dauphin Isl Sea Lab, Dauphin Isl, AL 36528 USA; [Kieber, David J.; Bisgrove, John; Brinkley, Jordan] SUNY Syracuse, Dept Chem, Coll Environm Sci &amp; Forestry, Syracuse, NY 13210 USA</t>
  </si>
  <si>
    <t>University of South Alabama; Dauphin Island Sea Lab; State University of New York (SUNY) System; State University of New York (SUNY) College of Environmental Science &amp; Forestry</t>
  </si>
  <si>
    <t>Kiene, RP (corresponding author), Univ S Alabama, Dept Marine Sci, LSCB 25, Mobile, AL 36688 USA.</t>
  </si>
  <si>
    <t>rkiene@disl.org</t>
  </si>
  <si>
    <t>del Valle, Daniela/0009-0005-4137-9285</t>
  </si>
  <si>
    <t>National Science Foundation [OPP-0230497, OPP-0230499]</t>
  </si>
  <si>
    <t>Funding for this research was provided by grants from the National Science Foundation Office of Polar Programs (OPP-0230497 to R.P. Kiene and OPP-0230499 to D.J. Kieber). Any opinions, findings, and conclusions or recommendations expressed in this paper are those of the authors and do not necessarily reflect the views of the NSF. The authors gratefully acknowledge the support of chief scientists for the October-December, 2005, Ross Sea cruise (NBP0508), Wade Jeffery and Patrick Neale. We thank Deneb Karentz for providing us with phytoplankton count data during the January 2005 cruise. Julie Rose provided guidance with cell counting and encouragement to ANR throughout the November 2005 cruise. We greatly appreciate the help of Brian Jones, George Westby, Casey Smith, and Jennifer Meeks with sampling and analysis. Kyeong Park aided with processing of the physical oceanography data. We could not have carried out the work without the help of Raytheon Polar Services support teams and the captain and crew of the RVIB Nathaniel B. Palmer. We are indebted to Michelle LaRue from the US Antarctic Geospatial Information Center for creating the map with Ross sea bathymetry. Finally, we thank three anonymous reviewers for providing constructive comments that improved the final manuscript.</t>
  </si>
  <si>
    <t>0967-0637</t>
  </si>
  <si>
    <t>1879-0119</t>
  </si>
  <si>
    <t>DEEP-SEA RES PT I</t>
  </si>
  <si>
    <t>Deep-Sea Res. Part I-Oceanogr. Res. Pap.</t>
  </si>
  <si>
    <t>10.1016/j.dsr.2008.12.010</t>
  </si>
  <si>
    <t>440ZA</t>
  </si>
  <si>
    <t>WOS:000265737100003</t>
  </si>
  <si>
    <t>Atkinson, A; Siegel, V; Pakhomov, EA; Jessopp, MJ; Loeb, V</t>
  </si>
  <si>
    <t>Atkinson, A.; Siegel, V.; Pakhomov, E. A.; Jessopp, M. J.; Loeb, V.</t>
  </si>
  <si>
    <t>A re-appraisal of the total biomass and annual production of Antarctic krill</t>
  </si>
  <si>
    <t>Antarctic krill; Euphausia superba; Southern Ocean; Biomass; Abundance; Range; Production; Habitat; Mortality; Growth</t>
  </si>
  <si>
    <t>NATURAL GROWTH-RATES; EUPHAUSIA-SUPERBA; SCOTIA SEA; SOUTH-GEORGIA; POLAR FRONT; ABUNDANCE; ECOSYSTEM; DYNAMICS; FOOD; PHYTOPLANKTON</t>
  </si>
  <si>
    <t>Despite much research on Euphausia superba, estimates of their total biomass and production are still very uncertain. Recently, circumpolar krill databases, combined with growth models and revisions in acoustics have made it possible to refine previous estimates. Net-based databases of density and length frequency (KRILLBASE) yield a summer distributional range of similar to 19 x 10(6) km(2) and a mean total abundance of 8 x 10(14) post-larvae with biomass of 379 million tonnes (Mt). These values are based on a standardised net sampling method but they average over the period 1926-2004, during which krill abundance has fluctuated. To estimate krill biomass at the end of last century we combined the KRILLBASE map of relative krill density around Antarctica with an acoustics-derived biomass estimate of 37.3 Mt derived for the Scotia Sea area in 2000 by the Commission for the Conservation of Antarctic Marine Living Resources (CCAMLR). Thus the CCAMLR 2000 survey area contains 28% of the total stock, with total biomass of similar to 133 Mt in January-February 2000. Gross postlarval production is estimated conservatively at 342-536 Mt yr(-1), based on three independent methods. These are high values, within the upper range of recent estimates, but consistent with the concept of high energy throughput for a species of this size. The similarity between the three production estimates reflects a broad agreement between the three growth models used, plus the fact that, for a given population size, production is relatively insensitive to the size distribution of krill at the start of the growth season. These production values lie within the envelope of what can be supported from the Southern Ocean primary production system and what is required to support an estimated predator consumption of 128-470 Mt yr(-1). Given the range of recent acoustics estimates, plus the need for precautionary management of the developing krill fishery, our net-based data provide an alternative estimate of total krill biomass. (C) 2008 Elsevier Ltd. All rights reserved.</t>
  </si>
  <si>
    <t>[Atkinson, A.; Jessopp, M. J.] British Antarctic Survey, Nat Environm Res Council, Cambridge CB3 0ET, England; [Siegel, V.] Sea Fisheries Res Inst, D-22767 Hamburg, Germany; [Pakhomov, E. A.] Univ British Columbia, Dept Earth &amp; Ocean Sci, Vancouver, BC V6T 1Z4, Canada; [Loeb, V.] Moss Landing Marine Labs, Moss Landing, CA 95039 USA</t>
  </si>
  <si>
    <t>UK Research &amp; Innovation (UKRI); Natural Environment Research Council (NERC); NERC British Antarctic Survey; University of British Columbia; Moss Landing Marine Laboratories</t>
  </si>
  <si>
    <t>Atkinson, A (corresponding author), British Antarctic Survey, Nat Environm Res Council, High Cross,Madingley Rd, Cambridge CB3 0ET, England.</t>
  </si>
  <si>
    <t>aat@bas.ac.uk</t>
  </si>
  <si>
    <t>Jessopp, Mark/AAI-4786-2020; Atkinson, Angus/HOH-3417-2023</t>
  </si>
  <si>
    <t>Jessopp, Mark/0000-0002-2692-3730;</t>
  </si>
  <si>
    <t>NERC [bas010017, bas0100025] Funding Source: UKRI; Natural Environment Research Council [bas010017, bas0100025] Funding Source: researchfish</t>
  </si>
  <si>
    <t>NERC(UK Research &amp; Innovation (UKRI)Natural Environment Research Council (NERC)); Natural Environment Research Council(UK Research &amp; Innovation (UKRI)Natural Environment Research Council (NERC))</t>
  </si>
  <si>
    <t>10.1016/j.dsr.2008.12.007</t>
  </si>
  <si>
    <t>WOS:000265737100006</t>
  </si>
  <si>
    <t>Laakmann, S; Kochzius, M; Auel, H</t>
  </si>
  <si>
    <t>Laakmann, Silke; Kochzius, Marc; Auel, Holger</t>
  </si>
  <si>
    <t>Ecological niches of Arctic deep-sea copepods: Vertical partitioning, dietary preferences and different trophic levels minimize inter-specific competition</t>
  </si>
  <si>
    <t>Euchaetidae; Aetideidae; Paraeuchaeta; Pareuchaeta; Euchaeta; Gaetanus; Aetideopsis; Chiridius; Fram Strait; Arctic Ocean; Vertical distribution; Dietary composition; Trophic biomarker; Fatty acid; Stable isotope; Biodiversity</t>
  </si>
  <si>
    <t>WATER PELAGIC COMMUNITY; DOMINANT ANTARCTIC COPEPODS; CARNIVOROUS MARINE COPEPOD; WAX ESTERS; EUCHAETA-NORVEGICA; FOOD-WEB; WESTERN NORWAY; CALANUS-HYPERBOREUS; GREENLAND-SEA; FRAM STRAIT</t>
  </si>
  <si>
    <t>The biodiversity of pelagic deep-sea ecosystems has received growing scientific interest in the last decade, especially in the framework of international marine biodiversity initiatives, such as Census of Marine Life (CoML). While a growing number of deep-sea zooplankton species has been identified and genetically characterized, little information is available on the mechanisms minimizing inter-specific competition and thus allowing closely related species to co-occur in the deep-sea pelagic realm. Focussing on the two dominant calanoid copepod families Euchaetidae and Aetideidae in Fram Strait, Arctic Ocean, the present study strives to characterize ecological niches of co-occurring species, with regard to vertical distribution, dietary composition as derived from lipid biomarkers, and trophic level on the basis of stable isotope signatures. Closely related species were usually restricted to different depth layers, resulting in a multi-layered vertical distribution pattern. Thus, vertical partitioning was an important mechanism to avoid inter-specific competition. Species occurring in the same depth strata usually belonged to different genera. They differed in fatty acid composition and trophic level, indicating different food preferences. Herbivorous Calanus represent major prey items for many omnivorous and carnivorous species throughout the water column. The seasonal and ontogenetic vertical migration of Calanus acts as a short-cut in food supply for pelagic deep-sea ecosystems in the Arctic. (C) 2009 Elsevier Ltd. All rights reserved.</t>
  </si>
  <si>
    <t>[Laakmann, Silke; Auel, Holger] Univ Bremen, Marine Zool FB 2, D-28334 Bremen, Germany; [Kochzius, Marc] Univ Bremen, UFT FB2, D-28359 Bremen, Germany</t>
  </si>
  <si>
    <t>University of Bremen; University of Bremen</t>
  </si>
  <si>
    <t>Laakmann, S (corresponding author), Univ Bremen, Marine Zool FB 2, POB 330 440, D-28334 Bremen, Germany.</t>
  </si>
  <si>
    <t>laakmann@uni-bremen.de</t>
  </si>
  <si>
    <t>Kochzius, Marc/AAN-3799-2021</t>
  </si>
  <si>
    <t>Kochzius, Marc/0000-0001-8953-4719; Laakmann, Silke/0000-0003-3273-7907</t>
  </si>
  <si>
    <t>Deutsche Forschungsgemeinschaft (DFG) [AU 175/3]</t>
  </si>
  <si>
    <t>Deutsche Forschungsgemeinschaft (DFG)(German Research Foundation (DFG))</t>
  </si>
  <si>
    <t>We would like to thank the captain and crew of RN. Maria S. Merian for their skilful support during the cruise. We are also grateful to Meike Stumpp and Anna Schukat for their help with the analyses and to Dr. Janna Peters for fruitful discussions on the topic. The study was supported by Deutsche Forschungsgemeinschaft (DFG Project grant AU 175/3).</t>
  </si>
  <si>
    <t>10.1016/j.dsr.2008.12.017</t>
  </si>
  <si>
    <t>WOS:000265737100007</t>
  </si>
  <si>
    <t>Stowasser, G; McAllen, R; Pierce, GJ; Collins, MA; Moffat, CF; Priede, IG; Pond, DW</t>
  </si>
  <si>
    <t>Stowasser, G.; McAllen, R.; Pierce, G. J.; Collins, M. A.; Moffat, C. F.; Priede, I. G.; Pond, D. W.</t>
  </si>
  <si>
    <t>Trophic position of deep-sea fish-Assessment through fatty acid and stable isotope analyses</t>
  </si>
  <si>
    <t>Fatty acids; Stable isotopes; Deep-sea; Porcupine Seabight; Macrouridae; Moridae</t>
  </si>
  <si>
    <t>EASTERN NORTH PACIFIC; BENTHIC COMMUNITY; MACROURID FISHES; ORGANIC-MATTER; ROCKALL TROUGH; TEMPORAL VARIATIONS; SCAVENGING FISHES; CARBON ISOTOPES; LEPIDION-EQUES; HARBOR SEALS</t>
  </si>
  <si>
    <t>To investigate the trophic ecology of two of the dominant families of deep-sea fish (Macrouridae and Moridae) fatty acid and stable isotope analyses were applied to liver and muscle samples of five abundant species from the NE Atlantic. In conjunction with stomach content data these methods made it possible to identify differences in feeding strategies between the five study species as well as variation in feeding in relation to increasing depth and body size. Biomarkers identified strong similarities between Coryphaenoides armatus and Antimora rostrata though differences were found associating C armatus more with the benthic food web whereas A. rostrata showed stronger links to the pelagic food web. While Lepidion eques was classified as a species linking benthic and benthopelagic food webs, both fatty acid and stable isotope data suggested that Coryphaenoides guentheri fed on an exclusively benthic diet. Coryphaenoides rupestris on the other hand were largely dependent on a copepod-based food web. Ontogenetic changes in feeding were found for both A. rostrato and C armatus with the indication of a switch from active predation to scavenging occurring with increasing body size. Biomarkers also reflected the seasonal influx from the photic zone though changes were species-specific and probably reflected the variation in prey availability and abundance in response to these inputs. Our findings have thus demonstrated that the combined use of these biomarkers can elucidate trophic specialisations in situations where conventional methods alone previously provided insufficient data. Crown Copyright (C) 2009 Published by Elsevier Ltd. All rights reserved.</t>
  </si>
  <si>
    <t>[Stowasser, G.; Collins, M. A.; Pond, D. W.] British Antarctic Survey, Div Biol Sci, NERC, Cambridge CB3 0ET, England; [Stowasser, G.; McAllen, R.; Pierce, G. J.; Priede, I. G.] Univ Aberdeen, Sch Biol Sci Zool, Aberdeen AB24 2TZ, Scotland; [McAllen, R.] Univ Coll Cork, Dept Zool Ecol &amp; Plant Sci, Enterprise Ctr, Cork, Ireland; [Moffat, C. F.] Fisheries Res Serv Marine Lab, Aberdeen AB11 9DB, Scotland</t>
  </si>
  <si>
    <t>UK Research &amp; Innovation (UKRI); Natural Environment Research Council (NERC); NERC British Antarctic Survey; University of Aberdeen; University College Cork</t>
  </si>
  <si>
    <t>Stowasser, G (corresponding author), British Antarctic Survey, Div Biol Sci, NERC, High Cross,Madingley Rd, Cambridge CB3 0ET, England.</t>
  </si>
  <si>
    <t>gsto@bas.ac.uk</t>
  </si>
  <si>
    <t>, Martin/ABE-6728-2020; Collins, Martin A/J-8560-2017; Pierce, Graham/A-5404-2018</t>
  </si>
  <si>
    <t>, Martin/0000-0001-7132-8650; Pierce, Graham/0000-0002-4744-4501; Priede, Imants/0000-0002-5064-9751; Stowasser, Gabriele/0000-0002-0595-0772</t>
  </si>
  <si>
    <t>NERC [GR3/12789]; Natural Environment Research Council New Investigator [NER/M/S/2002/00077]; NERC [bas010017] Funding Source: UKRI; Natural Environment Research Council [bas010017] Funding Source: researchfish</t>
  </si>
  <si>
    <t>NERC(UK Research &amp; Innovation (UKRI)Natural Environment Research Council (NERC)); Natural Environment Research Council New Investigator(UK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</si>
  <si>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P. Walsham and E. Dalgarno for laboratory assistance at FRS Marine Laboratory and P. Thompson and P. Redman for laboratory assistance at the Department of Zoology, University of Aberdeen. We are grateful to the officers and crew of the R.R.S. Discovery for their assistance on cruises D250, D255 and D266, which were supported by a NERC Grant (GR3/12789) to IGP and MAC. We would also like to thank the scientific crew on all three cruises for their help with sample collection. This project was supported by a Natural Environment Research Council New Investigator Grant (NER/M/S/2002/00077) to RM.</t>
  </si>
  <si>
    <t>10.1016/j.dsr.2008.12.016</t>
  </si>
  <si>
    <t>WOS:000265737100012</t>
  </si>
  <si>
    <t>Fernandes, LF; Sar, EA</t>
  </si>
  <si>
    <t>Fernandes, Luciano F.; Sar, Eugenia A.</t>
  </si>
  <si>
    <t>FINE MORPHOLOGY OF GOMPHONEMA MARGARITAE FRENGUELLI &amp; ORLANDO AND ITS VALIDATION AND TRANSFER TO TRIPTERION HOLMES, NAGASAWA &amp; TAKANO</t>
  </si>
  <si>
    <t>DIATOM RESEARCH</t>
  </si>
  <si>
    <t>Tripterion margaritae; benthic marine diatoms; Antarctic</t>
  </si>
  <si>
    <t>SOUTH-AFRICA; DIATOMS; BACILLARIOPHYCEAE; SYSTEMATICS; MARINE; RIVERS; NOV</t>
  </si>
  <si>
    <t>The marine gomphonemoid diatom originally described as Gomphonema margaritae Frenguelli &amp; Orlando 1958, was studied with the light and scanning electron microscopes based on original material and recent samples collected in rocky substrates of the Elephant Island, Antarctica during the Brazilian Antarctic Expedition (PROANTAR XIII, November 1994). This species was invalidly published as Gomphonema margaritae Frenguelli &amp; Orlando by lacking Latin description and type designation. Original material of Gomphonema margaritae Frenguelli &amp; Orlando collected from Esperanza Bay in January 1952 was analyzed and compared in the light microscope with material from Elephant Island. The comparison allowed us to determine that both materials contained the same species. We therefore validate Frenguelli &amp; Orlando's taxon by providing a Latin description and designating the holotype and we transfer it to the genus Tripterion Holmes, Nagasawa &amp; Takano as Tripterion margaritae (Frenguelli &amp; Orlando ex Fernandes &amp; Sar) Fernandes &amp; Sar. Since there was 110 unmounted sample in Frenguelli &amp; Orlando's original material, only the recent collection was examined in the electron microscope. Cells are attached to the substrate by means of mucilage threads secreted at the foot pole. Valves are heteropolar, with raphe system bearing angular bent terminal fissures, and with several closer striae at the foot pole similar in appearance to an apical pore field. Cingulum has four open hands, two bearing well developed septum opposite each other. The species was Further compared with the two extant Tripterion species, and the inclusion of Tripterion in the family Rhoicospheniaceae was proposed.</t>
  </si>
  <si>
    <t>[Fernandes, Luciano F.] Univ Fed Parana, Dept Bot, Ctr Politecn, BR-81531990 Curitiba, Parana, Brazil; [Sar, Eugenia A.] Natl Univ La Plata, Dept Cient Ficol, Fac Ciencias Nat &amp; Museo, RA-1900 La Plata, Argentina</t>
  </si>
  <si>
    <t>Universidade Federal do Parana; National University of La Plata; Museo La Plata</t>
  </si>
  <si>
    <t>Fernandes, LF (corresponding author), Univ Fed Parana, Dept Bot, Ctr Politecn, Setor Ciencias Biol,Caixa Postal 19031, BR-81531990 Curitiba, Parana, Brazil.</t>
  </si>
  <si>
    <t>lff@ufpr.br</t>
  </si>
  <si>
    <t>Sar, Eugenia/AAU-7428-2020; Fernandes, Luciano F/J-9907-2013</t>
  </si>
  <si>
    <t>Sar, Eugenia/0000-0003-2912-4528</t>
  </si>
  <si>
    <t>CNPq/PROANTAR [670001/93-7]; ALARME CVI [008/2002]</t>
  </si>
  <si>
    <t>CNPq/PROANTAR(Conselho Nacional de Desenvolvimento Cientifico e Tecnologico (CNPQ)); ALARME CVI</t>
  </si>
  <si>
    <t>We would like to thank Dr lnes Sunesen for critically reading the manuscript and Dr Daniel Giulliano for improving the Latin description. The Electron Microscope Center at the Federal University of Parana made available all the microscope facilities. Project funded by CNPq/PROANTAR Contract n. 670001/93-7, under the coordination of Dr Frederico Brandini and by Project ALARME CVI 008/2002. The crew of the NApOc Ary Rongel, Brazilian Navy, was always ready to help in samplings and diving operations. Some references were consulted due to the open access ill the Internet site http://www.doaj.org/doaj?func=home.</t>
  </si>
  <si>
    <t>0269-249X</t>
  </si>
  <si>
    <t>2159-8347</t>
  </si>
  <si>
    <t>DIATOM RES</t>
  </si>
  <si>
    <t>Diatom Res.</t>
  </si>
  <si>
    <t>437EU</t>
  </si>
  <si>
    <t>WOS:000265470000004</t>
  </si>
  <si>
    <t>Ferrari, F; Wetzel, CE; Ector, L; Blanco, S; Viana, JCC; da Silva, EM; Bicudo, DD</t>
  </si>
  <si>
    <t>Ferrari, Fernanda; Wetzel, Carlos Eduardo; Ector, Luc; Blanco, Saul; Cerqueira Viana, Joao Claudio; da Silva, Eduardo Mendes; Bicudo, Denise de Campos</t>
  </si>
  <si>
    <t>PERINOTIA DIAMANTINA SP NOV., A NEW DIATOM SPECIES FROM THE CHAPADA DIAMANTINA, NORTHEASTERN BRAZIL</t>
  </si>
  <si>
    <t>NEW-ZEALAND; BACILLARIOPHYTA; BIOGEOGRAPHY; ENDEMISM; EUNOTIA</t>
  </si>
  <si>
    <t>The diatom flora of tropical freshwater environments of South America is unique when compared to temperate areas of the continent such as Austral and Antarctic zones, where the species composition tends to present many cosmopolitan elements. The present work describes a new diatom species from the Chapada Diamantina (BA, Brazil), a semi-arid region of Northeastern Brazil, belonging to the recently described monospecific genus Perinotia Metzeltin &amp; Lange-Bertalot. This work also provides additional information oil valve structure observed under electron and light microscopy for the generitype. Perinotia diamantina differs from the type species, P. jankae Metzeltin &amp; Lange-Bertalot, by presenting greater valve width and smaller length/width ratio. Irregularly distributed puncta around the terminal raphe endings also differ between P. diamantina from P. jankae. Ecological information for both species is given.</t>
  </si>
  <si>
    <t>[Ferrari, Fernanda; Wetzel, Carlos Eduardo; Bicudo, Denise de Campos] Inst Bot, Secao Ecol, BR-04301012 Sao Paulo, Brazil; [Ector, Luc] Publ Res Ctr Gabriel Lippmann, Dept Environm &amp; Agrobiotechnol EVA, L-4422 Belvaux, Grand Duchy, Luxembourg; [Blanco, Saul] Univ Leon, Dept Biodivers &amp; Environm Management, E-24071 Leon, Spain; [Cerqueira Viana, Joao Claudio; da Silva, Eduardo Mendes] Univ Fed Bahia, Inst Biol, BR-40170115 Salvador, BA, Brazil</t>
  </si>
  <si>
    <t>Instituto de Botanica - Sao Paulo; Luxembourg Institute of Science &amp; Technology; Universidad de Leon; Universidade Federal da Bahia</t>
  </si>
  <si>
    <t>Ferrari, F (corresponding author), Inst Bot, Secao Ecol, Av Miguel Stefano 3687, BR-04301012 Sao Paulo, Brazil.</t>
  </si>
  <si>
    <t>fferrarii@hotmail.com; catiwetzel@yahoo.com.br</t>
  </si>
  <si>
    <t>Ferrari, Fernanda/AAJ-4694-2020; da Silva, Eduardo M/B-5382-2012; Bicudo, Denise/K-5562-2012; Blanco, Saúl/C-5529-2009; Wetzel, Carlos Eduardo/A-2839-2015</t>
  </si>
  <si>
    <t>Bicudo, Denise/0000-0002-4248-3261; Blanco, Saúl/0000-0002-9015-2512; Ferrari, Fernanda/0000-0001-8984-7248; Wetzel, Carlos Eduardo/0000-0001-5330-0494; Ector, Luc/0000-0002-4573-9445</t>
  </si>
  <si>
    <t>Conselho Nacional de Desenvolvimento Cientifico e Tecnologico [142997/2006-4, 520745/96-5, 620151/2004-8]; Fundacao de Amparo a Pesquisa do Estado de Sao Paulo [07/51360-6]; FAPESB</t>
  </si>
  <si>
    <t>Conselho Nacional de Desenvolvimento Cientifico e Tecnologico(Conselho Nacional de Desenvolvimento Cientifico e Tecnologico (CNPQ)); Fundacao de Amparo a Pesquisa do Estado de Sao Paulo(Fundacao de Amparo a Pesquisa do Estado de Sao Paulo (FAPESP)); FAPESB(Fundacao de Amparo a Pesquisa do Estado da Bahia (FAPESB))</t>
  </si>
  <si>
    <t>We would like to express our gratitude to Pierre Compere (National Botanical Garden of Belgium, Meise) for the Latin diagnosis and to Carlos Eduardo de Mattos Bicudo (Instituto de Botanica, Sao Paulo) for valuable suggestions particularly regarding nomenclatural issues. Also, thanks to Christophe Bouillon (Public Research Center - Gabriel Lippmann, EVA, Belvaux, Luxembourg) for SEM technical assistance. We are also indebted to CNPq, Conselho Nacional de Desenvolvimento Cientifico e Tecnologico (Doctoral Fellowship 142997/2006-4 to FF and grants 520745/96-5, 620151/2004-8), FAPESP, Fundacao de Amparo a Pesquisa do Estado de Sao Paulo (Doctoral Fellowship 07/51360-6 to CEW), and FAPESB. The Mucuge Municipal City Hall kindly provided the infrastructure.</t>
  </si>
  <si>
    <t>WOS:000265470000005</t>
  </si>
  <si>
    <t>Kopalová, K; Elster, J; Nedbalová, L; Van de Vijver, B</t>
  </si>
  <si>
    <t>Kopalova, Katerina; Elster, Josef; Nedbalova, Linda; Van de Vijver, Bart</t>
  </si>
  <si>
    <t>THREE NEW TERRESTRIAL DIATOM SPECIES FROM SEEPAGE AREAS ON JAMES ROSS ISLAND (ANTARCTIC PENINSULA REGION)</t>
  </si>
  <si>
    <t>DECEPTION ISLAND</t>
  </si>
  <si>
    <t>A recent survey of the non-marine diatoms from seepage areas on James Ross Island (Antarctic Peninsula Region) resulted in the discovery of three new diatom species belonging to the genera Diadesmis, Eolimna and Luticola. Based on both light and scanning electron microscopical observations, these species were described as new to science: Diadesmis inconspicua sp. nov., Eolimna jamesrossensis sp. nov. and Luticola truncata sp. nov. The morphology of each species was compared to similar species worldwide with a special focus on those present in the Antarctic Region. Notes on the ecology of the species were added.</t>
  </si>
  <si>
    <t>[Kopalova, Katerina; Nedbalova, Linda] Charles Univ Prague, Fac Sci, Dept Ecol, Vinicna 7, CR-12844 Prague 2, Czech Republic; [Elster, Josef; Nedbalova, Linda] Acad Sci Czech Republ, Inst Bot, Sect Plant Ecol, CS-37982 Trebon, Czech Republic; [Elster, Josef] Univ S Bohemia, Fac Sci, Ceske Budejovice 37005, Czech Republic; [Van de Vijver, Bart] Natl Bot Garden Belgium, Dept Bryophyta &amp; Thallophyta, B-1860 Domein Van Bouchout, Belgium</t>
  </si>
  <si>
    <t>Charles University Prague; Czech Academy of Sciences; Institute of Botany of the Czech Academy of Sciences; University of South Bohemia Ceske Budejovice</t>
  </si>
  <si>
    <t>Kopalová, K (corresponding author), Charles Univ Prague, Fac Sci, Dept Ecol, Vinicna 7, CR-12844 Prague 2, Czech Republic.</t>
  </si>
  <si>
    <t>vandevijver@br.fgov.be</t>
  </si>
  <si>
    <t>Nedbalová, Linda/AAF-1001-2022; Elster, Josef/B-1031-2008; Kopalová, Kateřina/H-1598-2014; Nedbalová, Linda/AFF-8321-2022; Kopalova, Katerina/M-6207-2017</t>
  </si>
  <si>
    <t>Nedbalová, Linda/0000-0003-1800-714X; Nedbalová, Linda/0000-0003-1800-714X; Elster, Josef/0000-0002-4535-5636; Kopalova, Katerina/0000-0002-7905-4268</t>
  </si>
  <si>
    <t>MSMT Kontakt [ME934, ME 945, MSMT 0021620828, AV0Z60050516]; [GA CR 206/050253]</t>
  </si>
  <si>
    <t>MSMT Kontakt(Ministry of Education, Youth &amp; Sports - Czech Republic);</t>
  </si>
  <si>
    <t>The authors wish to thank Ir. Marcel Verhaegen and Mr. Frank Van Caekenberghe for their help with the Scanning Electron Microscope. The work was partly financed by the following grants: GA CR 206/050253, MSMT Kontakt ME934, ME 945, MSMT 0021620828 and AV0Z60050516.</t>
  </si>
  <si>
    <t>WOS:000265470000007</t>
  </si>
  <si>
    <t>Smellie, JL; Haywood, AM; Hillenbrand, CD; Lunt, DJ; Valdes, PJ</t>
  </si>
  <si>
    <t>Smellie, John L.; Haywood, Alan M.; Hillenbrand, Claus-Dieter; Lunt, Daniel J.; Valdes, Paul J.</t>
  </si>
  <si>
    <t>Nature of the Antarctic Peninsula Ice Sheet during the Pliocene: Geological evidence and modelling results compared</t>
  </si>
  <si>
    <t>EARTH-SCIENCE REVIEWS</t>
  </si>
  <si>
    <t>Pliocene; GCM; Antarctic Peninsula Ice Sheet; terrestrial; marine; glaciovolcanic</t>
  </si>
  <si>
    <t>JAMES-ROSS-ISLAND; QUATERNARY GLACIAL HISTORY; MIDDLE PLIOCENE; SEA-LEVEL; LATE PLEISTOCENE; CLIMATE-CHANGE; MASS-BALANCE; LATE NEOGENE; BIOME RECONSTRUCTION; INTERGLACIAL EVENTS</t>
  </si>
  <si>
    <t>In this paper, we examine the nature of the Pliocene Antarctic Peninsula Ice Sheet by comparing the terrestrial and marine geological records of the Antarctic Peninsula and surrounding sea floor with estimated net snow accumulation in the region derived from numerical palaeoclimate model experiments. Pliocene geological data and our new modelling results are consistent and mutually supportive in suggesting that an ice sheet was present even during the warmest episodes of the Pliocene. The combined results suggest that the ice sheet in the Antarctic Peninsula is more robust to globally warmer conditions than is generally assumed, at least up to the climatic limits examined in our study. Crown Copyright (C) 2009 Published by Elsevier B.V. All rights reserved.</t>
  </si>
  <si>
    <t>[Smellie, John L.; Haywood, Alan M.; Hillenbrand, Claus-Dieter; Lunt, Daniel J.] British Antarctic Survey, Geol Sci Div, Cambridge CB3 0ET, England; [Lunt, Daniel J.; Valdes, Paul J.] Univ Bristol, Sch Geog Sci, Bristol BS8 1SS, Avon, England; [Haywood, Alan M.] Univ Leeds, Sch Earth &amp; Environm, Leeds LS2 9JT, W Yorkshire, England</t>
  </si>
  <si>
    <t>UK Research &amp; Innovation (UKRI); Natural Environment Research Council (NERC); NERC British Antarctic Survey; University of Bristol; University of Leeds</t>
  </si>
  <si>
    <t>Smellie, JL (corresponding author), British Antarctic Survey, Geol Sci Div, High Cross,Madingley Rd, Cambridge CB3 0ET, England.</t>
  </si>
  <si>
    <t>jlsm@bas.ac.uk</t>
  </si>
  <si>
    <t>Valdes, Paul/T-2004-2019; Valdes, Paul J/C-4129-2013; Lunt, Daniel/G-9451-2011</t>
  </si>
  <si>
    <t>Valdes, Paul/0000-0002-1902-3283; Lunt, Daniel/0000-0003-3585-6928</t>
  </si>
  <si>
    <t>Natural Environment Research Council [bas010019] Funding Source: researchfish; NERC [bas010019] Funding Source: UKRI</t>
  </si>
  <si>
    <t>Natural Environment Research Council(UK Research &amp; Innovation (UKRI)Natural Environment Research Council (NERC)); NERC(UK Research &amp; Innovation (UKRI)Natural Environment Research Council (NERC))</t>
  </si>
  <si>
    <t>0012-8252</t>
  </si>
  <si>
    <t>1872-6828</t>
  </si>
  <si>
    <t>EARTH-SCI REV</t>
  </si>
  <si>
    <t>Earth-Sci. Rev.</t>
  </si>
  <si>
    <t>10.1016/j.earscirev.2009.03.005</t>
  </si>
  <si>
    <t>457CR</t>
  </si>
  <si>
    <t>WOS:000266903700004</t>
  </si>
  <si>
    <t>Yang, YJ; Goodrich, JA</t>
  </si>
  <si>
    <t>Yang, Y. Jeffrey; Goodrich, James A.</t>
  </si>
  <si>
    <t>Timing and prediction of climate change and hydrological impacts: periodicity in natural variations</t>
  </si>
  <si>
    <t>ENVIRONMENTAL GEOLOGY</t>
  </si>
  <si>
    <t>Climate change; Hydrologic periodicity; Precipitation variations; Wavelet analysis; Water resource management</t>
  </si>
  <si>
    <t>ATMOSPHERIC CO2; GLACIAL CYCLES; ANTARCTIC ICE; CARBON-CYCLE; VARIABILITY; EVOLUTION; PRECIPITATION; HISTORY; EVENTS; TRENDS</t>
  </si>
  <si>
    <t>Hydrological impacts from climate change are of principal interest to water resource policy-makers and practicing engineers. Predictive climatic models have been extensively investigated to quantify the impacts. Palaeoclmatic investigations, on the other hand, show unequivocal and strong periodicity of climate variations in proxy evidence. Yet how to use the periodicity in future hydroclimatic timing and forecasting has received less attention. This paper examines the periodicity in Pleistocene-Holocene glacial-interglacial events and in modern precipitation records, and discusses a way in which the periodicity is used for hydroclimatic predictions. The analysis, based on published CO2, Delta T (delta H-2) and delta O-18 proxy data of polar ice cores and deep oceanic benthic fossils, shows a periodicity in a similar to similar to 100, similar to 40 or 25 kyear duration consistent with Milankovitch orbital regulations during the glacial-interglacial periods. On a fine time scale, millennium and multi-decadal periodicity is observed in high-resolution proxy variations of Greenland ice cores and in instrumental precipitation records of the contiguous USA. A basic periodicity of decadal and multi-decadal changes in similar to 20 and similar to 10-15 year duration is apparent in wavelet frequency analysis of both ice core proxy and precipitation data. While the kyear-scale periodicity is found of global prevalence, the millennium and decadal variations vary in space and are region-specific. Based on these findings, a generalized time-downscaling hierarchy of periodicity is proposed as a potential approach for timing and forecasting future hydroclimatic conditions at a resolution relevant to the water resources engineering and management.</t>
  </si>
  <si>
    <t>[Yang, Y. Jeffrey; Goodrich, James A.] US EPA, Water Supply &amp; Water Resources Div, Natl Risk Management Res Lab, Cincinnati, OH 45268 USA</t>
  </si>
  <si>
    <t>United States Environmental Protection Agency</t>
  </si>
  <si>
    <t>Yang, YJ (corresponding author), US EPA, Water Supply &amp; Water Resources Div, Natl Risk Management Res Lab, 26 W Martin Luther King Dr, Cincinnati, OH 45268 USA.</t>
  </si>
  <si>
    <t>yang.jeff@epa.gov</t>
  </si>
  <si>
    <t>0943-0105</t>
  </si>
  <si>
    <t>ENVIRON GEOL</t>
  </si>
  <si>
    <t>Environ. Geol.</t>
  </si>
  <si>
    <t>10.1007/s00254-008-1392-z</t>
  </si>
  <si>
    <t>Environmental Sciences; Geosciences, Multidisciplinary; Water Resources</t>
  </si>
  <si>
    <t>Environmental Sciences &amp; Ecology; Geology; Water Resources</t>
  </si>
  <si>
    <t>436UC</t>
  </si>
  <si>
    <t>WOS:000265440600011</t>
  </si>
  <si>
    <t>Abele, D; Brey, T; Philipp, E</t>
  </si>
  <si>
    <t>Abele, Doris; Brey, Thomas; Philipp, Eva</t>
  </si>
  <si>
    <t>Bivalve models of aging and the determination of molluscan lifespans</t>
  </si>
  <si>
    <t>EXPERIMENTAL GERONTOLOGY</t>
  </si>
  <si>
    <t>Bivalve; Longevity; Aging; Stress tolerance; Heterozygosity; Antarctic; Genes; Metabolic rate depression</t>
  </si>
  <si>
    <t>ARGOPECTEN-IRRADIANS-IRRADIANS; MYTILUS-EDULIS L.; ARCTICA-ISLANDICA; OCEAN QUAHOG; BAY SCALLOP; LATERNULA-ELLIPTICA; POPULATION-DYNAMICS; LIPID-PEROXIDATION; BLUE MUSSEL; AGE</t>
  </si>
  <si>
    <t>Bivalves are newly discovered models of natural aging. This invertebrate group includes species with the longest metazoan lifespan approaching 400 y, as well as species of swimming and sessile lifestyles that live just for 1 y. Bivalves from natural populations can be aged by shell growth bands formed at regular intervals of time. This enables the study of abiotic and biotic environment factors (temperature, salinity, predator and physical disturbance) on senescence and fitness in natural populations, and distinguishes the impact of extrinsic effectors from intrinsic (genetic) determinants of animal aging. Extreme longevity of some bivalve models may help to analyze general metabolic strategies thought to be life prolonging, like the transient depression of metabolism, which forms part of natural behaviour in these species. Thus, seasonal food shortage experienced by benthic filter feeding bivalves in polar and temperate seas may mimic caloric restriction in vertebrates. Incidence of malignant neoplasms in bivalves needs to be investigated, to determine the implication of late acting mutations for bivalve longevity. Finally, bivalves are applicable models for testing the implication of heterozygosity of multiple genes for physiological tolerance, adaptability (heterozygote superiority), and life expectancy. (C) 2009 Elsevier Inc. All rights reserved.</t>
  </si>
  <si>
    <t>[Abele, Doris; Brey, Thomas] Alfred Wegener Inst Polar &amp; Marine Res, D-27570 Bremerhaven, Germany; [Philipp, Eva] Inst Clin Mol Biol, D-24105 Kiel, Germany</t>
  </si>
  <si>
    <t>Helmholtz Association; Alfred Wegener Institute, Helmholtz Centre for Polar &amp; Marine Research</t>
  </si>
  <si>
    <t>Abele, D (corresponding author), Alfred Wegener Inst Polar &amp; Marine Res, Handelshafen 12, D-27570 Bremerhaven, Germany.</t>
  </si>
  <si>
    <t>Doris.abele@awi.de</t>
  </si>
  <si>
    <t>Brey, Thomas/0000-0002-6345-2851; Abele, Doris/0000-0002-5766-5017</t>
  </si>
  <si>
    <t>0531-5565</t>
  </si>
  <si>
    <t>1873-6815</t>
  </si>
  <si>
    <t>EXP GERONTOL</t>
  </si>
  <si>
    <t>Exp. Gerontol.</t>
  </si>
  <si>
    <t>10.1016/j.exger.2009.02.012</t>
  </si>
  <si>
    <t>Geriatrics &amp; Gerontology</t>
  </si>
  <si>
    <t>447KZ</t>
  </si>
  <si>
    <t>Green Published, Green Submitted</t>
  </si>
  <si>
    <t>WOS:000266191300001</t>
  </si>
  <si>
    <t>Thatje, S; Aronson, RB</t>
  </si>
  <si>
    <t>Thatje, Sven; Aronson, Richard B.</t>
  </si>
  <si>
    <t>No future for the Antarctic Treaty?</t>
  </si>
  <si>
    <t>FRONTIERS IN ECOLOGY AND THE ENVIRONMENT</t>
  </si>
  <si>
    <t>[Thatje, Sven] Univ Southampton, Natl Oceanog Ctr, Sch Ocean &amp; Earth Sci, Southampton, Hants, England; [Aronson, Richard B.] Florida Inst Technol, Dept Biol Sci, Melbourne, FL 32901 USA</t>
  </si>
  <si>
    <t>University of Southampton; NERC National Oceanography Centre; Florida Institute of Technology</t>
  </si>
  <si>
    <t>Thatje, S (corresponding author), Univ Southampton, Natl Oceanog Ctr, Sch Ocean &amp; Earth Sci, Southampton, Hants, England.</t>
  </si>
  <si>
    <t>Aronson, Richard/0000-0003-0383-3844</t>
  </si>
  <si>
    <t>ECOLOGICAL SOC AMER</t>
  </si>
  <si>
    <t>1990 M STREET NW, STE 700, WASHINGTON, DC 20036 USA</t>
  </si>
  <si>
    <t>1540-9295</t>
  </si>
  <si>
    <t>FRONT ECOL ENVIRON</t>
  </si>
  <si>
    <t>Front. Ecol. Environ.</t>
  </si>
  <si>
    <t>Ecology; Environmental Sciences</t>
  </si>
  <si>
    <t>444HK</t>
  </si>
  <si>
    <t>WOS:000265971200001</t>
  </si>
  <si>
    <t>Bridge, PD; Newsham, KK</t>
  </si>
  <si>
    <t>Bridge, Paul D.; Newsham, Kevin K.</t>
  </si>
  <si>
    <t>Soil fungal community composition at Mars Oasis, a southern maritime Antarctic site, assessed by PCR amplification and cloning</t>
  </si>
  <si>
    <t>FUNGAL ECOLOGY</t>
  </si>
  <si>
    <t>Antarctica; Black yeasts; Chytrids; Helotiales; Soil moisture; Water availability</t>
  </si>
  <si>
    <t>ALEXANDER ISLAND; DIVERSITY; BIODIVERSITY; HABITATS; HISTORY; CRUSTS; YEASTS; GENUS; WATER</t>
  </si>
  <si>
    <t>PCR amplification of ITS1-5.8S-ITS2 regions of rDNA followed by cloning was used to determine the fungi present in soil from three sites at Mars Oasis in the southern maritime Antarctic. The soils sampled were adjacent to, or distant from, a meltwater pond, and had moisture contents of 8 %, 3.6 % and 2.5 %. Sequences bearing close similarity to Chytridiales were commonly recorded in clone libraries from the wettest soil. In contrast, sequences from the driest soil matched closely with ectomycorrhizal members of the Helotiales and less closely with Serendipita-like Sebacinales, Tetracladium and ascomycetous black yeasts, such as Rhinociadiella- and Cladophialophora-like fungi and members of the Verrucariales. Sequences loosely similar to Tetracladium, Arrhenia and Omphalina were frequently recovered from the soil of moderate moisture content. our study corroborates research from the Dry Valleys indicating that soil moisture has an important influence on the composition of Antarctic soil fungal communities. (C) 2008 Elsevier Ltd and The British Mycological Society. All rights reserved.</t>
  </si>
  <si>
    <t>[Bridge, Paul D.; Newsham, Kevin K.] British Antarctic Survey, Div Biol Sci, Nat Environm Res Council, Cambridge CB3 0ET, England</t>
  </si>
  <si>
    <t>Bridge, PD (corresponding author), British Antarctic Survey, Div Biol Sci, Nat Environm Res Council, High Cross,Madingley Rd, Cambridge CB3 0ET, England.</t>
  </si>
  <si>
    <t>pdbr@bas.ac.uk</t>
  </si>
  <si>
    <t>Newsham, Kevin K/C-4192-2011</t>
  </si>
  <si>
    <t>Natural Environment Research Council through the British Antarctic Survey's Long Term Monitoring and Survey programme</t>
  </si>
  <si>
    <t>Natural Environment Research Council through the British Antarctic Survey's Long Term Monitoring and Survey programme(UK Research &amp; Innovation (UKRI)Natural Environment Research Council (NERC))</t>
  </si>
  <si>
    <t>The BAS Operations Group and Air unit organised and provided transport to and from the sampling site. Soil chemistry analyses were undertaken by the Environmental Chemistry Section at CEH Lancaster, This research was supported by the Natural Environment Research Council through the British Antarctic Survey's Long Term Monitoring and Survey programme. Two anonymous referees supplied useful comments. All are gratefully acknowledged.</t>
  </si>
  <si>
    <t>ELSEVIER SCI LTD</t>
  </si>
  <si>
    <t>THE BOULEVARD, LANGFORD LANE, KIDLINGTON, OXFORD OX5 1GB, OXON, ENGLAND</t>
  </si>
  <si>
    <t>1754-5048</t>
  </si>
  <si>
    <t>1878-0083</t>
  </si>
  <si>
    <t>FUNGAL ECOL</t>
  </si>
  <si>
    <t>Fungal Ecol.</t>
  </si>
  <si>
    <t>10.1016/j.funeco.2008.10.008</t>
  </si>
  <si>
    <t>Ecology; Mycology</t>
  </si>
  <si>
    <t>Environmental Sciences &amp; Ecology; Mycology</t>
  </si>
  <si>
    <t>443YN</t>
  </si>
  <si>
    <t>WOS:000265946800003</t>
  </si>
  <si>
    <t>Rocchi, S; Di Vincenzo, G; Ghezzo, C; Nardini, I</t>
  </si>
  <si>
    <t>Rocchi, Sergio; Di Vincenzo, Gianfranco; Ghezzo, Claudio; Nardini, Isabella</t>
  </si>
  <si>
    <t>Granite-lamprophyre connection in the latest stages of the early Paleozoic Ross Orogeny (Victoria Land, Antarctica)</t>
  </si>
  <si>
    <t>GEOLOGICAL SOCIETY OF AMERICA BULLETIN</t>
  </si>
  <si>
    <t>postcollisional magmatism; felsic dike; lamprophyre dike; Ross Orogeny; Antarctica</t>
  </si>
  <si>
    <t>A-TYPE GRANITES; NOVA INTRUSIVE COMPLEX; DRY VALLEYS AREA; CALC-ALKALINE; PACIFIC MARGIN; GEOCHEMICAL CHARACTERISTICS; TRANSANTARCTIC MOUNTAINS; ISOTOPIC COMPOSITIONS; TECTONIC IMPLICATIONS; DELAMERIAN OROGENY</t>
  </si>
  <si>
    <t>The Ross Orogen of the Transantarctic Mountains developed in response to the early Paleozoic convergence between the paleo-Pacific plate and the Antarctic margin of Gondwana. The central Victoria Land sector of the orogen is characterized by the widespread occurrence of pink Irizar granite plutons and dikes and Vegetation lamprophyric dikes and sills, which were emplaced in a tensional regime during a restricted time interval of the latest Ross Orogeny, ca. 490 Ma, as documented by new geochronological zircon U-Pb and mineral 40Ar-39Ar data. The syenomonzogranitic Irizar granites-dikes and the Vegetation lamprophyres are all potassic and, despite the chemical gap between them, have overlapping Sr-87/Sr-86((490 Ma)) and epsilon(Nd) ((490 Ma)) values, within 0.7074-0.7092 and -4.4 to -7.5, respectively. The genesis of Vegetation lamprophyres can be ascribed to the melting of previously enriched subcontinental lithospheric mantle further metasomatized by a subduction component during the Ross convergence. Melting was probably linked to asthenospheric upwelling during postcollisional slab rollback and convective thinning and/or delamination of overthickened lithosphere. On the other hand, the overlap of age, geochemical, and Sr-Nd isotope data between Vegetation and Irizar products, supported by geochemical modeling, suggests that the Irizar felsic magmas were derived by partial remelting of underplated material similar in composition to the Vegetation lamprophyres. This scenario provides new insights into the genesis of widespread postcollisional granites in orogens worldwide, implying significant net crustal growth by magma underplating in the very latest orogenic stages. In the regional geodynamic framework, the NE strike shared by both mafic and felsic dikes along 300 km of the convergent margin points to NW-SE extension, which in turn suggests oblique convergence of paleo-Pacific and Antarctic plates during the latest orogenic stages. A comparison of latest igneous activity in the Ross Orogen with contemporary magmatism in southeastern Australia-Tasmania implies that different mechanisms triggered the magmatic activity: slab rollback in the Antarctic sector of the margin versus slab tear in the Australia-Tasmania sector. The Ross Orogen of the Transantarctic Mountains developed in response to the early Paleozoic convergence between the paleo-Pacific plate and the Antarctic margin of Gondwana. The central Victoria Land sector of the orogen is characterized by the widespread occurrence of pink Irizar granite plutons and dikes and Vegetation lamprophyric dikes and sills, which were emplaced in a tensional regime during a restricted time interval of the latest Ross Orogeny, ca. 490 Ma, as documented by new geochronological zircon U-Pb and mineral 40Ar-39Ar data. The syenomonzogranitic Irizar granites-dikes and the Vegetation lamprophyres are all potassic and, despite the chemical gap between them, have overlapping Sr-87/Sr-86((490 Ma)) and epsilon(Nd) ((490 Ma)) values, within 0.7074-0.7092 and -4.4 to -7.5, respectively. The genesis of Vegetation lamprophyres can be ascribed to the melting of previously enriched subcontinental lithospheric mantle further metasomatized by a subduction component during the Ross convergence. Melting was probably linked to asthenospheric upwelling during postcollisional slab rollback and convective thinning and/or delamination of overthickened lithosphere. On the other hand, the overlap of age, geochemical, and Sr-Nd isotope data between Vegetation and Irizar products, supported by geochemical modeling, suggests that the Irizar felsic magmas were derived by partial remelting of underplated material similar in composition to the Vegetation lamprophyres. This scenario provides new insights into the genesis of widespread postcollisional granites in orogens worldwide, implying significant net crustal growth by magma underplating in the very latest orogenic stages. In the regional geodynamic framework, the NE strike shared by both mafic and felsic dikes along 300 km of the convergent margin points to NW-SE extension, which in turn suggests oblique convergence of paleo-Pacific and Antarctic plates during the latest orogenic stages. A comparison of latest igneous activity in the Ross Orogen with contemporary magmatism in southeastern Australia-Tasmania implies that different mechanisms triggered the magmatic activity: slab rollback in the Antarctic sector of the margin versus slab tear in the Australia-Tasmania sector. The Ross Orogen of the Transantarctic Mountains developed in response to the early Paleozoic convergence between the paleo-Pacific plate and the Antarctic margin of Gondwana. The central Victoria Land sector of the orogen is characterized by the widespread occurrence of pink Irizar granite plutons and dikes and Vegetation lamprophyric dikes and sills, which were emplaced in a tensional regime during a restricted time interval of the latest Ross Orogeny, ca. 490 Ma, as documented by new geochronological zircon U-Pb and mineral 40Ar-39Ar data. The syenomonzogranitic Irizar granites-dikes and the Vegetation lamprophyres are all potassic and, despite the chemical gap between them, have overlapping Sr-87/Sr-86((490 Ma)) and epsilon(Nd) ((490 Ma)) values, within 0.7074-0.7092 and -4.4 to -7.5, respectively. The genesis of Vegetation lamprophyres can be ascribed to the melting of previously enriched subcontinental lithospheric mantle further metasomatized by a subduction component during the Ross convergence. Melting was probably linked to asthenospheric upwelling during postcollisional slab rollback and convective thinning and/or delamination of overthickened lithosphere. On the other hand, the overlap of age, geochemical, and Sr-Nd isotope data between Vegetation and Irizar products, supported by geochemical modeling, suggests that the Irizar felsic magmas were derived by partial remelting of underplated material similar in composition to the Vegetation lamprophyres. This scenario provides new insights into the genesis of widespread postcollisional granites in orogens worldwide, implying significant net crustal growth by magma underplating in the very latest orogenic stages. In the regional geodynamic framework, the NE strike shared by both mafic and felsic dikes along 300 km of the convergent margin points to NW-SE extension, which in turn suggests oblique convergence of paleo-Pacific and Antarctic plates during the latest orogenic stages. A comparison of latest igneous activity in the Ross Orogen with contemporary magmatism in southeastern Australia-Tasmania implies that different mechanisms triggered the magmatic activity: slab rollback in the Antarctic sector of the margin versus slab tear in the Australia-Tasmania sector.</t>
  </si>
  <si>
    <t>[Rocchi, Sergio; Ghezzo, Claudio; Nardini, Isabella] Univ Pisa, Dipartimento Sci Terra, I-56126 Pisa, Italy; [Di Vincenzo, Gianfranco] CNR, IGG, I-56124 Pisa, Italy</t>
  </si>
  <si>
    <t>University of Pisa; Consiglio Nazionale delle Ricerche (CNR); Istituto di Geoscienze e Georisorse (IGG-CNR)</t>
  </si>
  <si>
    <t>Rocchi, S (corresponding author), Univ Pisa, Dipartimento Sci Terra, Via S Maria 53, I-56126 Pisa, Italy.</t>
  </si>
  <si>
    <t>Nardini, Isabella/GPP-3820-2022; Ghezzo, Claudio/JCF-1491-2023; Rocchi, Sergio/A-7752-2018</t>
  </si>
  <si>
    <t>Nardini, Isabella/0000-0002-0594-6132; DI VINCENZO, GIANFRANCO/0000-0002-9669-9789; Rocchi, Sergio/0000-0001-6868-1939</t>
  </si>
  <si>
    <t>PNRA; National Group for Volcanology</t>
  </si>
  <si>
    <t>This work was carried out as part of the National Antarctic Research Program of Italy (PNRA). Instruments at Dipartimento di Scienze della Terra, Universita di Pisa were funded by PNRA (X-ray fluorescence [XRF] and clean-laboratory) and National Group for Volcanology (inductively-coupled- plasma mass spectrometry [ICP-MS]). The argon laserprobe at Istituto di Geoscienze e Georisorse, Consiglio Nazionale delle Ricerche (IGG-CNR) was funded by PNRA. M. Tamponi and M. Bertoli are thanked for XRF analytical work. M. D'Orazio is thanked for skillful assistance and guidance in ICP-MS analytical work. S. Tonarini performed the isotope-dilution thermal ionization mass spectrometry (ID-TIMS) Rb-Sr and Sm-Nd determinations. We thank A. M. Fioretti and A. Giannetti for electron microprobe with wavelength dispersive system (EPMA-WDS) analyses. We are grateful to Bernard Bonin and an anonymous reviewer for their constructive criticisms on the original paper.</t>
  </si>
  <si>
    <t>GEOLOGICAL SOC AMER, INC</t>
  </si>
  <si>
    <t>PO BOX 9140, BOULDER, CO 80301-9140 USA</t>
  </si>
  <si>
    <t>0016-7606</t>
  </si>
  <si>
    <t>1943-2674</t>
  </si>
  <si>
    <t>GEOL SOC AM BULL</t>
  </si>
  <si>
    <t>Geol. Soc. Am. Bull.</t>
  </si>
  <si>
    <t>5-6</t>
  </si>
  <si>
    <t>10.1130/B26342.1</t>
  </si>
  <si>
    <t>438YH</t>
  </si>
  <si>
    <t>WOS:000265592200009</t>
  </si>
  <si>
    <t>Larter, RD; Graham, AGC; Gohl, K; Kuhn, G; Hillenbrand, CD; Smith, JA; Deen, TJ; Livermore, RA; Schenke, HW</t>
  </si>
  <si>
    <t>Larter, Robert D.; Graham, Alastair G. C.; Gohl, Karsten; Kuhn, Gerhard; Hillenbrand, Claus-Dieter; Smith, James A.; Deen, Tara J.; Livermore, Roy A.; Schenke, Hans-Werner</t>
  </si>
  <si>
    <t>Subglacial bedforms reveal complex basal regime in a zone of paleo-ice stream convergence, Amundsen Sea embayment, West Antarctica</t>
  </si>
  <si>
    <t>GEOLOGY</t>
  </si>
  <si>
    <t>PINE ISLAND BAY; GLACIAL GEOMORPHIC FEATURES; CONTINENTAL-SHELF; BENEATH; SHEET; RETREAT; SYSTEM; EXTENT</t>
  </si>
  <si>
    <t>The flow of ice streams, which account for most discharge from large ice sheets, is controlled by processes operating at the ice stream bed. Data from modern ice stream beds are difficult to obtain, but where ice advanced onto continental shelves during glacial periods, extensive areas of the former bed can be imaged using modern swath sonar tools. We present new multibeam swath bathymetry data analyzed alongside sparse preexisting data from the Amundsen Sea embayment. The compilation is the most extensive, continuous area of multibeam data coverage yet obtained on the inner continental shelf of Antarctica. The data reveal streamlined subglacial bedforms that define a zone of paleo-ice stream convergence, but, in contrast to previous models, do not show a simple downflow progression of bedform types along paleo-ice stream troughs. We interpret high spatial variability of bedforms as indicating a complex mechanical and hydrodynamic regime at the former ice stream beds, consistent with observations from some modern ice streams. We conclude that care must be taken when using bedforms to infer paleo-ice stream velocities.</t>
  </si>
  <si>
    <t>[Larter, Robert D.; Graham, Alastair G. C.; Hillenbrand, Claus-Dieter; Smith, James A.; Deen, Tara J.; Livermore, Roy A.] British Antarctic Survey, Cambridge CB3 0ET, England; [Gohl, Karsten; Kuhn, Gerhard; Schenke, Hans-Werner]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</si>
  <si>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</si>
  <si>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Larter, RD (corresponding author), British Antarctic Survey, Madingley Rd, Cambridge CB3 0ET, England.</t>
  </si>
  <si>
    <t>Smith, James A/N-1836-2013; Livermore, Roy/M-1566-2019; Martin, Tara J/F-2570-2017; Martin, Tara/K-9174-2016</t>
  </si>
  <si>
    <t>Graham, Alastair/0000-0002-2880-2908; Larter, Robert/0000-0002-8414-7389; Kuhn, Gerhard/0000-0001-6069-7485; Martin, Tara/0000-0002-3620-1141; Gohl, Karsten/0000-0002-9558-2116</t>
  </si>
  <si>
    <t>Alfred Wegener Institute; British Antarctic Survey Glacial Retreat; NERC [bas010018] Funding Source: UKRI; Natural Environment Research Council [bas010018] Funding Source: researchfish</t>
  </si>
  <si>
    <t>Alfred Wegener Institute; British Antarctic Survey Glacial Retreat; NERC(UK Research &amp; Innovation (UKRI)Natural Environment Research Council (NERC)); Natural Environment Research Council(UK Research &amp; Innovation (UKRI)Natural Environment Research Council (NERC))</t>
  </si>
  <si>
    <t>This work was supported by the Alfred Wegener Institute for Polar and Marine Research (AWI) Marine, Coastal and Polar Systems (MARCOPOLI) programs MAR2 and POL6, and the British Antarctic Survey Glacial Retreat in Antarctica and Deglaciation of the Earth System program. We thank the captains, officers, crew, technical support staff, and other scientists who participated in the two research cruises. We particularly thank Steffen Gauger for processing the Hydrosweep data collected on RV Polarstern. RVIB Nathaniel B. Palmer multibeam echo-sounding data were obtained from the Lamont multibeam synthesis. We are grateful to Eugene Domack, Phil O'Brien, and an anonymous reviewer for constructive reviews.</t>
  </si>
  <si>
    <t>0091-7613</t>
  </si>
  <si>
    <t>1943-2682</t>
  </si>
  <si>
    <t>10.1130/G25505A.1</t>
  </si>
  <si>
    <t>441EC</t>
  </si>
  <si>
    <t>WOS:000265751100007</t>
  </si>
  <si>
    <t>Close, DI; Watts, AB; Stagg, HMJ</t>
  </si>
  <si>
    <t>Close, D. I.; Watts, A. B.; Stagg, H. M. J.</t>
  </si>
  <si>
    <t>A marine geophysical study of the Wilkes Land rifted continental margin, Antarctica</t>
  </si>
  <si>
    <t>GEOPHYSICAL JOURNAL INTERNATIONAL</t>
  </si>
  <si>
    <t>Gravity anomalies and Earth structure; Continental margins: divergent; Sedimentary basin processes; Antarctica</t>
  </si>
  <si>
    <t>GRAVITY-ANOMALIES; SUBSIDENCE HISTORY; MAGNETIC-ANOMALIES; CRUSTAL STRUCTURE; SOUTHERN MARGIN; DEEP-STRUCTURE; OCEANIC-CRUST; BASIN; MODELS; AUSTRALIA</t>
  </si>
  <si>
    <t>The Wilkes Land margin of East Antarctica, conjugate to the southern Australian margin, is a non-volcanic rifted margin that formed during the Late Cretaceous. During 2000-01 and 2001-02, Geoscience Australia acquired similar to 10 000 line km of seismic reflection and refraction, magnetic anomaly and gravity anomaly data over the margin. We have used the seismic data to estimate the sediment thickness along the margin. The data reveal a deep (&gt; 11 km) rift basin that contains over 9 km of sediments seaward of the Totten Glacier, western Wilkes Land. The limits of oceanic and continental crust that underlies the thick post-rift and the significantly thinner pre- and syn-rift sediments are equivocal. Seismic reflection data suggest a 30-100 km wide continent-ocean transition zone (COTZ) along the margin. The COTZ extends over 400 km seaward of the shelf break off the eastern Wilkes Land/Terre AdElie sector of the margin. This seaward salient, referred to here as the AdElie Rift Block, is associated with anomalously shallow bathymetry, an atypical continental margin free-air gravity edge-effect anomaly, and an absence of seafloor spreading related magnetic anomalies. Off the central and western Wilkes Land margin, the COTZ extends similar to 200 km from the shelf break and encompasses the magnetic anomaly previously interpreted as Chron 34y. It is clear, however, that this is not a seafloor spreading anomaly since oceanic crust was not emplaced in the Australia-Antarctic Basin until after 83 Ma. Integrated gravity and magnetic anomaly modelling indicates that the magnetic anomalies are likely to be caused by ridges of serpentinized mantle peridotites exhumed during rifting. Process-oriented gravity modelling indicates that the Wilkes Land margin lithosphere is characterized by a relatively high effective elastic thickness (T-e) of similar to 30 km, whereas preliminary models of the southern Australian margin are characterized by a lower average T-e of similar to 15 km. This contrast between the two margins is interpreted to reflect changing lithospheric rigidity since breakup in the Late Cretaceous. Whereas the southern Australian margin was heavily sediment-loaded during the Late Cretaceous but largely sediment starved throughout the Tertiary, the Wilkes Land margin was less extensively sedimented during the Late Cretaceous and early Cenozoic but loaded by thick sediments from the Late Oligocene to Middle Miocene. This contrast in loading histories allows discrete estimates of T-e to be constrained rather than average estimates. We interpret this to suggest that the T-e of stretched lithosphere increases through time following rifting.</t>
  </si>
  <si>
    <t>[Close, D. I.; Watts, A. B.] Univ Oxford, Dept Earth Sci, Oxford OX1 3PR, England; [Stagg, H. M. J.] Geosci Australia, Canberra, ACT 2601, Australia</t>
  </si>
  <si>
    <t>University of Oxford; Geoscience Australia</t>
  </si>
  <si>
    <t>Close, DI (corresponding author), Univ Oxford, Dept Earth Sci, Parks Rd, Oxford OX1 3PR, England.</t>
  </si>
  <si>
    <t>DClose@slb.com</t>
  </si>
  <si>
    <t>Rhodes Scholarship; NERC/ROPA</t>
  </si>
  <si>
    <t>Rhodes Scholarship; NERC/ROPA(UK Research &amp; Innovation (UKRI)Natural Environment Research Council (NERC))</t>
  </si>
  <si>
    <t>The GMT software of Paul Wessel and Walter Smith was widely used for computation and figure drafting. Figure drafting was assisted by S. Mezzomo of Geoscience Australia. The authors acknowledge the helpful reviews of J. Hopper, T. Minshull and an anonymous reviewer. HMJS publishes with the permission of the Chief Executive Officer, Geoscience Australia. This research was supported by a Rhodes Scholarship to DIC and a NERC/ROPA award to ABW.</t>
  </si>
  <si>
    <t>OXFORD UNIV PRESS</t>
  </si>
  <si>
    <t>GREAT CLARENDON ST, OXFORD OX2 6DP, ENGLAND</t>
  </si>
  <si>
    <t>0956-540X</t>
  </si>
  <si>
    <t>1365-246X</t>
  </si>
  <si>
    <t>GEOPHYS J INT</t>
  </si>
  <si>
    <t>Geophys. J. Int.</t>
  </si>
  <si>
    <t>10.1111/j.1365-246X.2008.04066.x</t>
  </si>
  <si>
    <t>430TR</t>
  </si>
  <si>
    <t>WOS:000265012200009</t>
  </si>
  <si>
    <t>Pushcharovsky, YM</t>
  </si>
  <si>
    <t>Pushcharovsky, Yu. M.</t>
  </si>
  <si>
    <t>Tectonic provinces of the Atlantic Ocean</t>
  </si>
  <si>
    <t>GEOTECTONICS</t>
  </si>
  <si>
    <t>BASINS</t>
  </si>
  <si>
    <t>The tectonic structure of the floor of the Atlantic Ocean beyond the continental margins is insufficiently studied. This is also true of its tectonic demarcation. The segmentation of the floor into regional-scale tectonic provinces of several orders proposed in this paper is primarily based on structural and historical geological features. It is shown that deep oceanic basins and fault tectonics are of particular importance in this respect. Tectonic provinces of two orders are distinguished by a set of attributes. The first-order provinces are the North, Central, South, and Antarctic domains of the Atlantic Ocean. They are separated by wide demarcation fracture zones into Transatlantic (transverse) second-order tectonic provinces. Ten such provinces are recognized (from the north southward): Greenland-Lofoten, Greenland-Scandinavia, Greenland-Ireland, Newfoundland-European, North American-African, Antilles-African, Angola-Brazil, Cape-Argentine, North Antarctic, and South Antarctic. This subdivision demonstrates significant differentiation in the geodynamic state of the oceanic lithosphere that determines nonuniform ocean formation and the tectonic features of the ocean floor. The latitudinal orientation of the second-order provinces inherits the past tectonic pattern, though newly formed structural units cannot be ruled out. The Earth rotation exerts a crucial effect on the crust and the mantle.</t>
  </si>
  <si>
    <t>Russian Acad Sci, Inst Geol, Moscow 119017, Russia</t>
  </si>
  <si>
    <t>Russian Academy of Sciences; Geological Institute, Russian Academy of Sciences</t>
  </si>
  <si>
    <t>Pushcharovsky, YM (corresponding author), Russian Acad Sci, Inst Geol, Pyzhevskii Per 7, Moscow 119017, Russia.</t>
  </si>
  <si>
    <t>M-Shupletsova@yandex.ru</t>
  </si>
  <si>
    <t>Presidium of the Russian Academy of Sciences [17]; Russian Foundation for Basic Research [09-05-00150]; Federal Targeted Program [420/2008-GIN]; Council for Grants of the President of the Russian Federation for Support of Leading Scientific Schools [NSh-3172.2008.5]</t>
  </si>
  <si>
    <t>Presidium of the Russian Academy of Sciences(Russian Academy of Sciences); Russian Foundation for Basic Research(Russian Foundation for Basic Research (RFBR)Spanish Government); Federal Targeted Program; Council for Grants of the President of the Russian Federation for Support of Leading Scientific Schools(Leading Scientific Schools Program)</t>
  </si>
  <si>
    <t>This work was supported by the Presidium of the Russian Academy of Sciences (program no. 17), the Russian Foundation for Basic Research (project no. 09-05-00150), Federal Targeted Program The World Ocean (Subprogram Study of the World Ocean, Contract no. 420/2008-GIN), and the Council for Grants of the President of the Russian Federation for Support of Leading Scientific Schools (grant no. NSh-3172.2008.5).</t>
  </si>
  <si>
    <t>PLEIADES PUBLISHING INC</t>
  </si>
  <si>
    <t>MOSCOW</t>
  </si>
  <si>
    <t>PLEIADES PUBLISHING INC, MOSCOW, 00000, RUSSIA</t>
  </si>
  <si>
    <t>0016-8521</t>
  </si>
  <si>
    <t>1556-1976</t>
  </si>
  <si>
    <t>GEOTECTONICS+</t>
  </si>
  <si>
    <t>Geotectonics</t>
  </si>
  <si>
    <t>10.1134/S0016852109030017</t>
  </si>
  <si>
    <t>460VN</t>
  </si>
  <si>
    <t>WOS:000267219400001</t>
  </si>
  <si>
    <t>Isanina, EV; Krupnova, NA; Popov, SV; Masolov, VN; Lukin, VV</t>
  </si>
  <si>
    <t>Isanina, E. V.; Krupnova, N. A.; Popov, S. V.; Masolov, V. N.; Lukin, V. V.</t>
  </si>
  <si>
    <t>Deep structure of the Vostok Basin, East Antarctica as deduced from seismological observations</t>
  </si>
  <si>
    <t>Seismological observations using the earthquake converted-wave method were carried out from December 7, 2002 to January 23, 2003 (season 48 of the Russian Antarctic Expedition) in the southern part of Vostok Subglacial Lake for the purpose of studying the structure of the Earth's crust. Three observation points were placed. One of them was located at the Vostok Station and the other two were located at distances of 8.7 and 12.02 km to the east and to the west of the station, respectively. The performed investigation showed that the thickness of the Earth's crust in the studied area is 34-36 km. The crust is subdivided into three blocks of different ranks. The low-velocity block is situated immediately beneath the Vostok Basin. Seven interfaces of mode conversion were detected. The results obtained allow us to suggest an increase in heat flow in the Vostok Basin and to the east of this basin. The seismic layering of the ice cover is correlated with the results of radioecho sounding and the structure of the glacier documented in cores of 5G-1 Borehole. The interfaces within the glacier near the Vostok Station are located at depths of 700 +/- 100 m, 1600 +/- 100 m, and 2200 +/- 100 m.</t>
  </si>
  <si>
    <t>[Isanina, E. V.; Krupnova, N. A.] Russian Geoecol Ctr, Branch Urangeo, St Petersburg 195197, Russia; [Popov, S. V.; Masolov, V. N.] Polar Marine Geosurvey Expedit, St Petersburg 188512, Russia; [Lukin, V. V.] Russian Antarctic Expedit, St Petersburg 199397, Russia</t>
  </si>
  <si>
    <t>Russian Academy of Sciences; Sergeev Institute of Environmental Geoscience; St. Petersburg Scientific Centre of the Russian Academy of Sciences; Arctic &amp; Antarctic Research Institute</t>
  </si>
  <si>
    <t>Isanina, EV (corresponding author), Russian Geoecol Ctr, Branch Urangeo, Kondratevskii Pr 40,K 13, St Petersburg 195197, Russia.</t>
  </si>
  <si>
    <t>spopov67@yandex.ru</t>
  </si>
  <si>
    <t>Popov, Sergey V./I-2319-2013; Popov, Sergey/IYJ-2371-2023; Lukin, Valeriy/N-1147-2015</t>
  </si>
  <si>
    <t>Popov, Sergey V./0000-0002-1830-8658; Popov, Sergey/0000-0002-1830-8658; Lukin, Valeriy/0000-0003-1726-7361</t>
  </si>
  <si>
    <t>Russian Foundation for Basic Research [07-05-00401]</t>
  </si>
  <si>
    <t>Russian Foundation for Basic Research(Russian Foundation for Basic Research (RFBR)Spanish Government)</t>
  </si>
  <si>
    <t>We thank A. M. Popkov for his assistance in conducting fieldwork. This study was supported by the Russian Foundation for Basic Research, project no. 07-05-00401.</t>
  </si>
  <si>
    <t>10.1134/S0016852109030042</t>
  </si>
  <si>
    <t>WOS:000267219400004</t>
  </si>
  <si>
    <t>Levy, JS; Head, JW; Marchant, DR; Dickson, JL; Morgan, GA</t>
  </si>
  <si>
    <t>Levy, J. S.; Head, J. W.; Marchant, D. R.; Dickson, J. L.; Morgan, G. A.</t>
  </si>
  <si>
    <t>Geologically recent gully-polygon relationships on Mars: Insights from the Antarctic Dry Valleys on the roles of permafrost, microclimates, and water sources for surface flow</t>
  </si>
  <si>
    <t>ICARUS</t>
  </si>
  <si>
    <t>Mars surface; Earth; Geological processes; Ices; Regoliths</t>
  </si>
  <si>
    <t>SOUTHERN VICTORIA LAND; MARTIAN GULLIES; CLIMATE-CHANGE; BEACON VALLEY; GLACIER ICE; MIOCENE; CONSTRAINTS; SUBLIMATION; FEATURES; REGION</t>
  </si>
  <si>
    <t>We describe the morphology and spatial relationships between composite-wedge polygons and Mars-like gullies (consisting of alcoves, channels, and fans) in the hyper-arid Antarctic Dry Valleys (ADV), as a basis for understanding possible origins for martian gullies that also occur in association with polygonally patterned ground. Gullies in the ADV arise in part from the melting of atmospherically derived, wind-blown snow trapped in polygon troughs. Snowmelt that yields surface flow can occur during peak southern hemisphere summer daytime insolation conditions. Ice-cemented permafrost provinces an impermeable substrate over which meltwater flows, but does not significantly contribute to meltwater generation. Relationships between contraction crack polygons and sedimentary fans at distal ends of gullies show deposition of fan material in polygon troughs, and dissection of fans by expanding polygon troughs. These observations suggest the continuous presence of meters-thick ice-cemented permafrost beneath ADV gullies. We document strong morphological similarities between gullies and polygons of Mars and those observed in the ADV Inland Mixed microclimate zone. On the basis of this morphological comparison, we propose an analogous, top-down melting model for the initiation and evolution of martian gullies that occur on polygonally-patterned, mantled surfaces. (c) 2009 Elsevier Inc. All rights reserved.</t>
  </si>
  <si>
    <t>[Levy, J. S.; Head, J. W.; Dickson, J. L.; Morgan, G. A.] Brown Univ, Dept Geol Sci, Providence, RI 02912 USA; [Marchant, D. R.] Boston Univ, Dept Earth Sci, Boston, MA 02215 USA</t>
  </si>
  <si>
    <t>Brown University; Boston University</t>
  </si>
  <si>
    <t>Levy, JS (corresponding author), Brown Univ, Dept Geol Sci, Box 1846, Providence, RI 02912 USA.</t>
  </si>
  <si>
    <t>joseph_levy@brown.edu</t>
  </si>
  <si>
    <t>Levy, Joseph/0000-0002-6222-139X</t>
  </si>
  <si>
    <t>JSL by the Rhode Island Space Grant Consortium; NSF [ANT 0338291, NNG04GJ99G, NNG05GQ46G, NNX06AE32G]; NASA Applied Information Systems [NNG05GA61G]</t>
  </si>
  <si>
    <t>JSL by the Rhode Island Space Grant Consortium; NSF(National Science Foundation (NSF)); NASA Applied Information Systems</t>
  </si>
  <si>
    <t>This work was made possible with support of JSL by the Rhode Island Space Grant Consortium, by NSF Grant ANT 0338291 to D.R.M. and J.W.H., NASA MDAP Grants NNG04GJ99G and NNG05GQ46G to J.W.H., NASA MFRP Grant NNX06AE32G to D.R.M. and J.W.H,, and NASA Applied Information Systems Research Grant NNG05GA61G to J.W.H. Thanks are extended to Caleb Fassett and James Dickson for HiRISE image processing and to James Dicksort, Douglas Kowalewski, Gareth Morgan, David Shean, and Kate Swanger for field support. Also, thanks to the helicopter pilots, technicians, and ground crew of PHI, Inc., as well as to the staff of Raytheon Polar Services Company, and the personnel of McMurdo Station.</t>
  </si>
  <si>
    <t>ACADEMIC PRESS INC ELSEVIER SCIENCE</t>
  </si>
  <si>
    <t>SAN DIEGO</t>
  </si>
  <si>
    <t>525 B ST, STE 1900, SAN DIEGO, CA 92101-4495 USA</t>
  </si>
  <si>
    <t>0019-1035</t>
  </si>
  <si>
    <t>1090-2643</t>
  </si>
  <si>
    <t>Icarus</t>
  </si>
  <si>
    <t>10.1016/j.icarus.2008.12.043</t>
  </si>
  <si>
    <t>444CM</t>
  </si>
  <si>
    <t>WOS:000265957900008</t>
  </si>
  <si>
    <t>Woodworth, PL; White, NJ; Jevrejeva, S; Holgate, SJ; Church, JA; Gehrels, WR</t>
  </si>
  <si>
    <t>Woodworth, P. L.; White, N. J.; Jevrejeva, S.; Holgate, S. J.; Church, J. A.; Gehrels, W. R.</t>
  </si>
  <si>
    <t>Evidence for the accelerations of sea level on multi-decade and century timescales</t>
  </si>
  <si>
    <t>INTERNATIONAL JOURNAL OF CLIMATOLOGY</t>
  </si>
  <si>
    <t>sea-level changes; mean sea-level analyses; tide gauges; air pressure changes; salt marsh measurements; climate variability</t>
  </si>
  <si>
    <t>MEDITERRANEAN SEA; RISE; LAND; OSCILLATION; TRENDS; IMPACT</t>
  </si>
  <si>
    <t>A modification in the rate of change of sea level (i.e. an 'acceleration' or 'nonlinear trend') is an important climate-related signal, which requires confirmation and explanation. In this study, the evidence for accelerations in regional and global average sea level oil timescales of several decades and longer is reviewed by inter-comparison of the recent findings of different researchers and by inspection of original tide gauge records. Most sea-level data originate from Europe and North America, and both the sets display evidence for a positive acceleration, or 'inflexion', around 1920-1930 and a negative one around 1960. These inflexions are the main contributors to reported accelerations since the late 19th century, and to decelerations during the mid- to late 20th century. However, these characteristic features are not always found in records from other parts of the world. Although some aspects of the sea-level time series are consistent with changes in rates of globally averaged temperature changes, volcanic eruptions and natural climate variability, modelling undertaken so far has been unable to describe these features adequately. This emphasizes the need for a major enhancement of the sea-level data set, especially for those parts of the world without long tide gauge records, in order to obtain greater insight into the spatial dependence of accelerations. A number of complementary methods must be employed, of which salt marsh techniques offer the possibility of obtaining time series similar to those that would have been obtained from coastal tide gauges. Copyright (c) 2008 Royal Meteorological Society</t>
  </si>
  <si>
    <t>[Woodworth, P. L.; Jevrejeva, S.; Holgate, S. J.] Proudman Oceanog Lab, Liverpool L3 5DA, Merseyside, England; [White, N. J.; Church, J. A.] CSIRO, Ctr Australian Weather &amp; Climate Res, Hobart, Tas 7001, Australia; [White, N. J.; Church, J. A.] Australian Bur Meteorol, Hobart, Tas 7001, Australia; [White, N. J.; Church, J. A.] Antarctic Climate &amp; Ecosyst Cooperat Res Ctr, Hobart, Tas, Australia; [Gehrels, W. R.] Univ Plymouth, Dept Geog Sci, Plymouth PL4 8AA, Devon, England</t>
  </si>
  <si>
    <t>NERC National Oceanography Centre; Commonwealth Scientific &amp; Industrial Research Organisation (CSIRO); Bureau of Meteorology - Australia; Antarctic Climate &amp; Ecosystems Cooperative Research Centre (ACE CRC); University of Plymouth</t>
  </si>
  <si>
    <t>Woodworth, PL (corresponding author), Proudman Oceanog Lab, 6 Brownlow St, Liverpool L3 5DA, Merseyside, England.</t>
  </si>
  <si>
    <t>plw@pol.ac.uk</t>
  </si>
  <si>
    <t>Holgate, Simon/A-5327-2009; White, Neil/B-2077-2013; Church, John A/A-1541-2012; Jiao, Liqing/A-8821-2011; Gehrels, Roland/ABB-2625-2021</t>
  </si>
  <si>
    <t>Church, John A/0000-0002-7037-8194; Woodworth, Philip/0000-0002-6681-239X</t>
  </si>
  <si>
    <t>Australian Climate Change Science Program; NERC [pol010005] Funding Source: UKRI; Natural Environment Research Council [pol010005] Funding Source: researchfish</t>
  </si>
  <si>
    <t>Australian Climate Change Science Program; NERC(UK Research &amp; Innovation (UKRI)Natural Environment Research Council (NERC)); Natural Environment Research Council(UK Research &amp; Innovation (UKRI)Natural Environment Research Council (NERC))</t>
  </si>
  <si>
    <t>This paper is a contribution to the CSIRO Climate Chancre Research Program and the CSIRO Wealth from Oceans Flagship and was supported by the Australian Government's Cooperative Research Centres Programme through the Antarctic Climate and Ecosystems Cooperative Research Centre. JAC and NJW were partly funded by the Australian Climate Change Science Program. Some of the figures in this paper were generated using the Generic Mapping Tools (Wessel and Smith, 1998).</t>
  </si>
  <si>
    <t>0899-8418</t>
  </si>
  <si>
    <t>1097-0088</t>
  </si>
  <si>
    <t>INT J CLIMATOL</t>
  </si>
  <si>
    <t>Int. J. Climatol.</t>
  </si>
  <si>
    <t>10.1002/joc.1771</t>
  </si>
  <si>
    <t>441YW</t>
  </si>
  <si>
    <t>WOS:000265807500001</t>
  </si>
  <si>
    <t>Ballance, LT; Ainley, DG; Ballard, G; Barton, K</t>
  </si>
  <si>
    <t>Ballance, Lisa T.; Ainley, David G.; Ballard, Grant; Barton, Kerry</t>
  </si>
  <si>
    <t>An energetic correlate between colony size and foraging effort in seabirds, an example of the AdElie penguin Pygoscelis adeliae</t>
  </si>
  <si>
    <t>JOURNAL OF AVIAN BIOLOGY</t>
  </si>
  <si>
    <t>BLACK-LEGGED KITTIWAKES; LEACHS STORM-PETRELS; EUDYPTULA-MINOR; WANDERING ALBATROSSES; TROPHIC CASCADES; LABELED WATER; ROSS SEA; REPRODUCTIVE ENERGETICS; GEOGRAPHIC STRUCTURE; ANTARCTIC PENINSULA</t>
  </si>
  <si>
    <t>Central-place foraging seabirds alter the availability of their prey around colonies, forming a halo of reduced prey access that ultimately constrains population size. This has been indicated indirectly by an inverse correlation between colony size and reproductive success, numbers of conspecifics at other colonies within foraging range, foraging effort (i.e. trip duration), diet quality and colony growth rate. Although ultimately mediated by density dependence relative to food through intraspecific exploitative or interference competition, the proximate mechanism involved has yet to be elucidated. Herein, we show that AdElie penguin Pygoscelis adeliae colony size positively correlates to foraging trip duration and metabolic rate, that the metabolic rate while foraging may be approaching an energetic ceiling for birds at the largest colonies, and that total energy expended increases with trip duration although uncompensated by increased mass gain. We propose that a competition-induced reduction in prey availability results in higher energy expenditure for birds foraging in the halo around large colonies, and that to escape the halo a bird must increase its foraging distance. Ultimately, the total energetic cost of a trip determines the maximum successful trip distance, as on longer trips food acquired is used more for self maintenance than for chick provisioning. When the net cost of foraging trips becomes too high, with chicks receiving insufficient food, chick survival suffers and subsequent colony growth is limited. Though the existence of energetic studies of the same species at multiple colonies is rare, because foraging metabolic rate increases with colony size in at least two other seabird species, we suggest that an energetic constraint to colony size may generally apply to other seabirds.</t>
  </si>
  <si>
    <t>[Ballance, Lisa T.] NOAA Fisheries, SW Fish Sci Ctr, La Jolla, CA 92037 USA; [Ainley, David G.] HT Harvey &amp; Associates, Los Gatos, CA 95032 USA; [Ballard, Grant] PRBO Conserv Sci, Petaluma, CA 94954 USA; [Ballard, Grant] Univ Auckland, Sch Biol Sci, Auckland 1, New Zealand; [Barton, Kerry] New Zealand Ltd, Landcare Res, Nelson, New Zealand</t>
  </si>
  <si>
    <t>National Oceanic Atmospheric Admin (NOAA) - USA; University of Auckland; Landcare Research - New Zealand</t>
  </si>
  <si>
    <t>Ballance, LT (corresponding author), NOAA Fisheries, SW Fish Sci Ctr, 8604 La Jolla Shores Dr, La Jolla, CA 92037 USA.</t>
  </si>
  <si>
    <t>lisa.ballance@noaa.gov</t>
  </si>
  <si>
    <t>Ballance, Lisa/AAF-5472-2020</t>
  </si>
  <si>
    <t>US Antarctic Program; Office of Polar Programs; National Science Foundation [OPP 0125608, 0440643]; Southwest Fisheries Science Center of the National Oceanic and Atmospheric Administration; PRBO [1632]</t>
  </si>
  <si>
    <t>US Antarctic Program; Office of Polar Programs(National Science Foundation (NSF)NSF - Directorate for Geosciences (GEO)); National Science Foundation(National Science Foundation (NSF)); Southwest Fisheries Science Center of the National Oceanic and Atmospheric Administration(National Oceanic Atmospheric Admin (NOAA) - USA); PRBO</t>
  </si>
  <si>
    <t>We thank S. Webb, T. Dorr, and S. Heath for efforts in the field, K. Nagy, C. Vleck, T. Reidarson, D. Croll, and T. Bucher for consultation on field methods, and D. Cairns, J. Chardine, D. Croll, J. Croxall, P. Dann, G. Gabrielsen, R. Gales, T. Gaston, I. Jones, F. Mehlum, W. Montevecchi, J. Piatt, D. Roby, and E. Woehler for unpublished information. K. Dugger helped with statistical insights. M. Hauber, T. Gaston, K. Hamer, T. Piersma and two anonymous reviewers provided valuable and detailed comments on our paper. This research was supported logistically by the US Antarctic Program and financially by the Office of Polar Programs, National Science Foundation (OPP 0125608, 0440643), and the Southwest Fisheries Science Center of the National Oceanic and Atmospheric Administration; conclusions reported herein are not those of these agencies. PRBO contribution #1632.</t>
  </si>
  <si>
    <t>WILEY-BLACKWELL PUBLISHING, INC</t>
  </si>
  <si>
    <t>MALDEN</t>
  </si>
  <si>
    <t>COMMERCE PLACE, 350 MAIN ST, MALDEN 02148, MA USA</t>
  </si>
  <si>
    <t>0908-8857</t>
  </si>
  <si>
    <t>J AVIAN BIOL</t>
  </si>
  <si>
    <t>J. Avian Biol.</t>
  </si>
  <si>
    <t>10.1111/j.1600-048X.2008.04538.x</t>
  </si>
  <si>
    <t>Ornithology</t>
  </si>
  <si>
    <t>445CL</t>
  </si>
  <si>
    <t>WOS:000266027200008</t>
  </si>
  <si>
    <t>Caruso, T; Hogg, ID; Carapelli, A; Frati, F; Bargagli, R</t>
  </si>
  <si>
    <t>Caruso, Tancredi; Hogg, Ian D.; Carapelli, Antonio; Frati, Francesco; Bargagli, Roberto</t>
  </si>
  <si>
    <t>Large-scale spatial patterns in the distribution of Collembola (Hexapoda) species in Antarctic terrestrial ecosystems</t>
  </si>
  <si>
    <t>JOURNAL OF BIOGEOGRAPHY</t>
  </si>
  <si>
    <t>Antarctica; arthropods; Friesea grisea; Gomphiocephalus hodgsoni; Gressittacantha terranova; macroecology; modelling; phylogeography; species distribution; springtails</t>
  </si>
  <si>
    <t>SPRINGTAIL GOMPHIOCEPHALUS-HODGSONI; VICTORIA LAND; BIOTIC INTERACTIONS; DIVERSITY; ABUNDANCE</t>
  </si>
  <si>
    <t>We tested whether the distribution of three common springtail species (Gressittacantha terranova, Gomphiocephalus hodgsoni and Friesea grisea) in Victoria Land (Antarctica) could be modelled as a function of latitude, longitude, altitude and distance from the sea. Victoria Land, Ross Dependency, Antarctica. Generalized linear models were constructed using species presence/absence data relative to geographical features (latitude, longitude, altitude, distance from sea) across the species' entire ranges. Model results were then integrated with the known phylogeography of each species and hypotheses were generated on the role of climate as a major driver of Antarctic springtail distribution. Based on model selection using Akaike's information criterion, the species' distributions were: hump-shaped relative to longitude and monotonic with altitude for Gressittacantha terranova; hump-shaped relative to latitude and monotonic with altitude for Gomphiocephalus hodgsoni; and hump-shaped relative to longitude and monotonic with latitude, altitude and distance from the sea for Friesea grisea. No single distributional pattern was shared by the three species. While distributions were partially a response to climatic spatial clines, the patterns observed strongly suggest that past geological events have influenced the observed distributions. Accordingly, present-day spatial patterns are likely to have arisen from the interaction of historical and environmental drivers. Future studies will need to integrate a range of spatial and temporal scales to further quantify their respective roles.</t>
  </si>
  <si>
    <t>[Caruso, Tancredi; Bargagli, Roberto] Univ Siena, Dept Environm Sci G Sarfatti, I-53100 Siena, Italy; [Hogg, Ian D.] Univ Waikato, Dept Biol Sci, Hamilton, New Zealand; [Carapelli, Antonio; Frati, Francesco] Univ Siena, Dept Evolutionary Biol, I-53100 Siena, Italy</t>
  </si>
  <si>
    <t>University of Siena; University of Waikato; University of Siena</t>
  </si>
  <si>
    <t>Caruso, T (corresponding author), Univ Siena, Dept Environm Sci G Sarfatti, Via PA Mattioli 4, I-53100 Siena, Italy.</t>
  </si>
  <si>
    <t>tancredicaruso@unisi.it</t>
  </si>
  <si>
    <t>Carapelli, Antonio/H-9216-2019; Caruso, Tancredi/H-1103-2012; Hogg, Ian D./HNS-7393-2023</t>
  </si>
  <si>
    <t>Carapelli, Antonio/0000-0002-3165-9620; Hogg, Ian D./0000-0002-6685-0089; Caruso, Tancredi/0000-0002-3607-9609</t>
  </si>
  <si>
    <t>EBESA IPY [452]; Latitudinal Gradient Project (LGP); Italian PNRA (Programma Nazionale di Ricerche in Antartide); Antarctica New Zealand [K024/28]</t>
  </si>
  <si>
    <t>EBESA IPY; Latitudinal Gradient Project (LGP); Italian PNRA (Programma Nazionale di Ricerche in Antartide)(Ministry of Education, Universities and Research (MIUR)); Antarctica New Zealand</t>
  </si>
  <si>
    <t>We are extremely grateful to Peter Convey and an anonymous reviewer for their valuable comments on the models and the manuscript. This study is a contribution to the EBESA IPY project no. 452, the Latitudinal Gradient Project (LGP) and the SCAR EBA Program and was supported by the Italian PNRA (Programma Nazionale di Ricerche in Antartide) and Antarctica New Zealand (events K024/28). We thank Catherine Beard, Arne Fjellberg, Paul Hebert, Angela McGaughran, Liam Nolan, Conrad Pilditch, Rod Seppelt and Mark Stevens for their help in the field, and Valerio Volpi for providing the georeferenced maps.</t>
  </si>
  <si>
    <t>0305-0270</t>
  </si>
  <si>
    <t>1365-2699</t>
  </si>
  <si>
    <t>J BIOGEOGR</t>
  </si>
  <si>
    <t>J. Biogeogr.</t>
  </si>
  <si>
    <t>10.1111/j.1365-2699.2008.02058.x</t>
  </si>
  <si>
    <t>Ecology; Geography, Physical</t>
  </si>
  <si>
    <t>431PX</t>
  </si>
  <si>
    <t>WOS:000265076300008</t>
  </si>
  <si>
    <t>Sijp, WP; England, MH</t>
  </si>
  <si>
    <t>Sijp, Willem P.; England, Matthew H.</t>
  </si>
  <si>
    <t>Atmospheric Moisture Transport Moderates Climatic Response to the Opening of Drake Passage</t>
  </si>
  <si>
    <t>JOURNAL OF CLIMATE</t>
  </si>
  <si>
    <t>OCEAN CIRCULATION; THERMOHALINE CIRCULATION; NORTH-ATLANTIC; EVOLUTION; EOCENE; TEMPERATURE; SIMULATION; IMPACTS; MIOCENE</t>
  </si>
  <si>
    <t>The absence of the Drake Passage (DP) gateway in coupled models generally leads to vigorous Antarctic bottom water (AABW) formation, Antarctic warming, and the absence of North Atlantic deep-water (NADW) formation. Here the authors show that this result depends critically on atmospheric moisture transport by midlatitude storms. The authors use coupled model simulations employing geometries different only at the location of DP to show that oceanic circulation similar to that of the present day is possible when DP is closed and atmospheric moisture transport values enhanced by Southern Ocean storm activity are used. In this case, no Antarctic warming occurs in conjunction with DP closure. The authors also find that the changes in poleward heat transport in response to the establishment of the Antarctic Circumpolar Current (ACC) are small. This result arises from enhanced atmospheric moisture transport at the midlatitudes of the Southern Hemisphere (SH), although the values used remain within a range appropriate to the present day. In contrast, homogeneous or (near) symmetric moisture diffusivity leads to strong SH sinking and the absence of a stable Northern Hemisphere (NH) overturning state, a feature familiar from previous studies. The authors' results show that the formation of NADW, or its precursor, may have been possible before the opening of the DP at the Eocene/Oligocene boundary, and that its presence depends on an interplay between the existence of the DP gap and the hydrological cycle across the midlatitude storm tracks.</t>
  </si>
  <si>
    <t>[Sijp, Willem P.] Univ New S Wales, CCRC, Sch Math &amp; Stat, Climate &amp; Environm Dynam Lab, Sydney, NSW 2052, Australia</t>
  </si>
  <si>
    <t>University of New South Wales Sydney</t>
  </si>
  <si>
    <t>Sijp, WP (corresponding author), Univ New S Wales, CCRC, Sch Math &amp; Stat, Climate &amp; Environm Dynam Lab, Sydney, NSW 2052, Australia.</t>
  </si>
  <si>
    <t>w.sijp@unsw.edu.au</t>
  </si>
  <si>
    <t>Sijp, Willem P/E-5988-2012; England, Matthew/A-7539-2011</t>
  </si>
  <si>
    <t>England, Matthew/0000-0001-9696-2930; Sijp, Willem/0000-0002-5971-3860</t>
  </si>
  <si>
    <t>Australian Research Council; Australia's Antarctic Science Program</t>
  </si>
  <si>
    <t>Australian Research Council(Australian Research Council); Australia's Antarctic Science Program</t>
  </si>
  <si>
    <t>We thank the University of Victoria staff for support in usage of their coupled climate model. This research was supported by the Australian Research Council and Australia's Antarctic Science Program.</t>
  </si>
  <si>
    <t>0894-8755</t>
  </si>
  <si>
    <t>1520-0442</t>
  </si>
  <si>
    <t>J CLIMATE</t>
  </si>
  <si>
    <t>J. Clim.</t>
  </si>
  <si>
    <t>10.1175/2008JCLI2476.1</t>
  </si>
  <si>
    <t>448TT</t>
  </si>
  <si>
    <t>WOS:000266285600013</t>
  </si>
  <si>
    <t>Deng, XL; Coleman, R; Featherstone, WE; Ridgway, KR</t>
  </si>
  <si>
    <t>Deng, Xiaoli; Coleman, Richard; Featherstone, Will E.; Ridgway, Ken R.</t>
  </si>
  <si>
    <t>Assessment of Geoid Models Offshore Western Australia Using In-Situ Measurements</t>
  </si>
  <si>
    <t>JOURNAL OF COASTAL RESEARCH</t>
  </si>
  <si>
    <t>Global geopotential model; AUSGeoid98; mean sea surface; dynamic ocean topography; CSIRO Atlas of Regional Seas (CARS)</t>
  </si>
  <si>
    <t>GEOPOTENTIAL MODELS; LEEUWIN CURRENT; AUSGEOID98</t>
  </si>
  <si>
    <t>In Western Australia, coastal dynamics are influenced by a major ocean boundary current system, the Leeuwin Current, which is characterised by mesoscale features. To fully understand the Leeuwin Current using satellite altimeter measurements, we must have a precise (1-2 cm) and full-spatial-scale (&lt;100 km) geoid model. This paper focuses on a comparison between two mean dynamic ocean topography models derived from independent hydrographic climatologies, and an altimeter-observed mean sea surface referenced to recently released geoid models offshore of Western Australia (20 degrees S to 45 degrees S, 108 degrees E to 130 degrees E). The geoid models used include combined global geopotential models from the GRACE satellite mission and AUSGeoid.98. The estimated mean dynamic ocean topography models are compared with independent dynamic ocean topography from CSIRO's Atlas of Regional Seas (CARS) climatology. The results show that the EIGEN-GL04C and GGM02C + EGM96 global geopotential models to degree and order 360 give the best comparisons against CARS in the Leeuwin Current region, suggesting that they should be used in the future for computing ocean transport, surface current velocities, and dynamic topography, and be used as a reference field for future computations of regional marine geoid models.</t>
  </si>
  <si>
    <t>[Deng, Xiaoli] Univ Newcastle, Sch Engn, Ctr Climate Impact Management, Callaghan, NSW 2308, Australia; [Coleman, Richard] Univ Tasmania, Ctr Marine Sci, Hobart, Tas 7001, Australia; [Coleman, Richard] Antarctic Climate &amp; Ecosyst Cooperat Res Ctr, Hobart, Tas, Australia; [Coleman, Richard; Ridgway, Ken R.] CSIRO Marine &amp; Atmospher Res, Hobart, Tas 7001, Australia; [Featherstone, Will E.] Curtin Univ Technol, Western Australian Ctr Geodesy, Perth, WA 6845, Australia; [Featherstone, Will E.] Curtin Univ Technol, Inst Geosci Res, Perth, WA 6845, Australia</t>
  </si>
  <si>
    <t>University of Newcastle; University of Tasmania; Antarctic Climate &amp; Ecosystems Cooperative Research Centre (ACE CRC); Commonwealth Scientific &amp; Industrial Research Organisation (CSIRO); Curtin University; Curtin University</t>
  </si>
  <si>
    <t>Deng, XL (corresponding author), Univ Newcastle, Sch Engn, Ctr Climate Impact Management, Univ Dr, Callaghan, NSW 2308, Australia.</t>
  </si>
  <si>
    <t>Xiaoli.Deng@newcastle.edu.au</t>
  </si>
  <si>
    <t>Ridgway, Ken/AAA-4040-2019; Featherstone, Will/B-7955-2010; Coleman, Richard/H-4425-2012</t>
  </si>
  <si>
    <t>Featherstone, Will/0000-0001-9644-4535; Deng, Xiaoli/0000-0001-9595-8032; Ridgway, Ken/0000-0002-5861-1360; Coleman, Richard/0000-0002-9731-7498</t>
  </si>
  <si>
    <t>The University of Newcastle; Australian Research Council [DP0663020]</t>
  </si>
  <si>
    <t>The University of Newcastle; Australian Research Council(Australian Research Council)</t>
  </si>
  <si>
    <t>This research was financially supported by The University of Newcastle. W.E. Featherstone is funded by Australian Research Council grant DP0663020. The authors would like to thank Dr. Ole Andersen for kindly providing the KMS04 mean sea surface model and the International Centre for Global Earth Models for kindly providing the GGMs. We would also like to thank Professors Cheinway Hwang and Mark G. Stewart for useful discussions. We also gratefully acknowledge useful suggestions from the editor and anonymous reviewers.</t>
  </si>
  <si>
    <t>COASTAL EDUCATION &amp; RESEARCH FOUNDATION</t>
  </si>
  <si>
    <t>COCONUT CREEK</t>
  </si>
  <si>
    <t>5130 NW 54TH STREET, COCONUT CREEK, FL 33073 USA</t>
  </si>
  <si>
    <t>0749-0208</t>
  </si>
  <si>
    <t>1551-5036</t>
  </si>
  <si>
    <t>J COASTAL RES</t>
  </si>
  <si>
    <t>J. Coast. Res.</t>
  </si>
  <si>
    <t>10.2112/07-0972.1</t>
  </si>
  <si>
    <t>Environmental Sciences; Geography, Physical; Geosciences, Multidisciplinary</t>
  </si>
  <si>
    <t>Environmental Sciences &amp; Ecology; Physical Geography; Geology</t>
  </si>
  <si>
    <t>447HN</t>
  </si>
  <si>
    <t>WOS:000266182300005</t>
  </si>
  <si>
    <t>Lopez-Martinez, G; Benoit, JB; Rinehart, JP; Elnitsky, MA; Lee, RE; Denlinger, DL</t>
  </si>
  <si>
    <t>Lopez-Martinez, Giancarlo; Benoit, Joshua B.; Rinehart, Joseph P.; Elnitsky, Michael A.; Lee, Richard E., Jr.; Denlinger, David L.</t>
  </si>
  <si>
    <t>Dehydration, rehydration, and overhydration alter patterns of gene expression in the Antarctic midge, Belgica antarctica</t>
  </si>
  <si>
    <t>JOURNAL OF COMPARATIVE PHYSIOLOGY B-BIOCHEMICAL SYSTEMIC AND ENVIRONMENTAL PHYSIOLOGY</t>
  </si>
  <si>
    <t>Osmotic flux; Cryoprotective dehydration; Heat shock proteins; Antioxidants; Membranes</t>
  </si>
  <si>
    <t>HEAT-SHOCK PROTEINS; VACUOLAR H+-ATPASE; OXIDATIVE STRESS; DESICCATION TOLERANCE; SUPEROXIDE-DISMUTASE; UP-REGULATION; LIFE-HISTORY; ACTIN GENES; FLESH FLY; COLD</t>
  </si>
  <si>
    <t>We investigated molecular responses elicited by three types of dehydration (fast, slow and cryoprotective), rehydration and overhydration in larvae of the Antarctic midge, Belgica antarctica. The larvae spend most the year encased in ice but during the austral summer are vulnerable to summer storms, osmotic stress from ocean spray and drying conditions due to wind and intense sunlight. Using suppressive subtractive hybridization (SSH), we obtained clones that were potentially responsive to dehydration and then used northern blots to evaluate the gene's responsiveness to different dehydration rates and hydration states. Among the genes most responsive to changes in the hydration state were those encoding heat shock proteins (smHsp, Hsp70, Hsp90), antioxidants (superoxide dismutase, catalase), detoxification (metallothionein, cytochrome p450), genes involved in altering cell membranes (fatty acid desaturase, phospholipase A2 activating protein, fatty acyl CoA desaturase) and the cytoskeleton (actin, muscle-specific actin), and several additional genes including a zinc-finger protein, pacifastin and VATPase. Among the three types of dehydration evaluated, fast dehydration elicited the strongest response (more genes, higher expression), followed by cryoprotective dehydration and slow dehydration. During rehydration most, but not all, genes that were expressed during dehydration continued to be expressed; fatty acid desaturase was the only gene to be uniquely upregulated in response to rehydration. All genes examined, except VATPase, were upregulated in response to overhydration. The midge larvae are thus responding quickly to water loss and gain by expressing genes that encode proteins contributing to maintenance of proper protein function, protection and overall cell homeostasis during times of osmotic flux, a challenge that is particularly acute in this Antarctic environment.</t>
  </si>
  <si>
    <t>[Lopez-Martinez, Giancarlo; Benoit, Joshua B.; Rinehart, Joseph P.; Denlinger, David L.] Ohio State Univ, Dept Entomol, Columbus, OH 43210 USA; [Elnitsky, Michael A.; Lee, Richard E., Jr.] Miami Univ, Dept Zool, Oxford, OH 45056 USA</t>
  </si>
  <si>
    <t>University System of Ohio; Ohio State University; University System of Ohio; Miami University</t>
  </si>
  <si>
    <t>Lopez-Martinez, G (corresponding author), Ohio State Univ, Dept Entomol, 1735 Neil Ave, Columbus, OH 43210 USA.</t>
  </si>
  <si>
    <t>lopez-martinez.1@osu.edu</t>
  </si>
  <si>
    <t>Lopez-Martinez, Giancarlo/AAE-8134-2020; Lopez-Martinez, Giancarlo/D-1718-2011</t>
  </si>
  <si>
    <t>Lopez-Martinez, Giancarlo/0000-0002-7937-5002; Lopez-Martinez, Giancarlo/0000-0002-7937-5002</t>
  </si>
  <si>
    <t>NSF [OPP-0337656, OPP-0413786]; Palmer Station, Antarctica</t>
  </si>
  <si>
    <t>NSF(National Science Foundation (NSF)); Palmer Station, Antarctica</t>
  </si>
  <si>
    <t>This research was funded by NSF grants OPP-0337656 and OPP-0413786. We thank the staff at Palmer Station, Antarctica whose support was deeply valued.</t>
  </si>
  <si>
    <t>SPRINGER HEIDELBERG</t>
  </si>
  <si>
    <t>HEIDELBERG</t>
  </si>
  <si>
    <t>TIERGARTENSTRASSE 17, D-69121 HEIDELBERG, GERMANY</t>
  </si>
  <si>
    <t>0174-1578</t>
  </si>
  <si>
    <t>1432-136X</t>
  </si>
  <si>
    <t>J COMP PHYSIOL B</t>
  </si>
  <si>
    <t>J. Comp. Physiol. B-Biochem. Syst. Environ. Physiol.</t>
  </si>
  <si>
    <t>10.1007/s00360-008-0334-0</t>
  </si>
  <si>
    <t>Physiology; Zoology</t>
  </si>
  <si>
    <t>436AA</t>
  </si>
  <si>
    <t>WOS:000265383800010</t>
  </si>
  <si>
    <t>Gladbach, A; Büsser, C; Mundry, R; Quillfeldt, P</t>
  </si>
  <si>
    <t>Gladbach, Anja; Buesser, Christina; Mundry, Roger; Quillfeldt, Petra</t>
  </si>
  <si>
    <t>Acoustic parameters of begging calls indicate chick body condition in Wilson's storm-petrels Oceanites oceanicus</t>
  </si>
  <si>
    <t>JOURNAL OF ETHOLOGY</t>
  </si>
  <si>
    <t>Begging; Oceanites oceanicus; Provisioning; Seabirds; Signalling; Wilson's storm-petrel</t>
  </si>
  <si>
    <t>CALONECTRIS-DIOMEDEA; SIBLING COMPETITION; MANX SHEARWATERS; NESTLINGS; PARENT; NEED; FOOD; SIZE; COMMUNICATION; SIGNALS</t>
  </si>
  <si>
    <t>Begging behaviour as a key element in the parent-offspring conflict has been studied in many avian species. These types of studies have nearly exclusively been based on call counts, and it is still not entirely clear whether begging calls themselves contain any information. We studied begging behaviour in Wilson's storm-petrel Oceanites oceanicus, a small procellariiform seabird. This species provides the opportunity to study the signalling value of begging calls in the absence of potentially confounding factors such as nestling competition, previous feeding experiences and predation pressure. We applied a new method using a semi-automatic spectrogram analysis software that measures the acoustic parameters of begging calls. Our analysis revealed that the frequency parameters of begging calls reflect chicks' current body condition, with chicks in poorer condition uttering calls at higher frequencies. Chicks uttering higher pitched calls also received larger meals. Our study shows that certain acoustic parameters of begging calls can indicate the state of a chick in Wilson's storm-petrels.</t>
  </si>
  <si>
    <t>[Gladbach, Anja; Buesser, Christina] Univ Jena, Inst Okol, Polar &amp; Bird Ecol Grp, D-07743 Jena, Germany; [Mundry, Roger] Free Univ Berlin, Inst Verhaltensbiol, D-12163 Berlin, Germany; [Mundry, Roger] Forsch &amp; Technologiezentrum Westkuste, D-25761 Busum, Germany; [Quillfeldt, Petra] Max Planck Inst Ornithol, D-78315 Radolfzell am Bodensee, Germany</t>
  </si>
  <si>
    <t>Friedrich Schiller University of Jena; Free University of Berlin; Max Planck Society</t>
  </si>
  <si>
    <t>Gladbach, A (corresponding author), Univ Jena, Inst Okol, Polar &amp; Bird Ecol Grp, Dornburger Str 159, D-07743 Jena, Germany.</t>
  </si>
  <si>
    <t>anja.gladbach@gmx.de</t>
  </si>
  <si>
    <t>Quillfeldt, Petra/A-9549-2009</t>
  </si>
  <si>
    <t>Quillfeldt, Petra/0000-0002-4450-8688</t>
  </si>
  <si>
    <t>Alfred Wegener Institute for Polar and Marine Research (AWI Bremerhaven, Germany); National Antarctic Institute of Argentina; Hapag Lloyd Seetouristik GmbH; Federal Ministry for Education and Research [CHL 01/016, CHN 00/031]; German Science Foundation DFG [PE 454/1ff, Qu148/1]</t>
  </si>
  <si>
    <t>Alfred Wegener Institute for Polar and Marine Research (AWI Bremerhaven, Germany); National Antarctic Institute of Argentina; Hapag Lloyd Seetouristik GmbH; Federal Ministry for Education and Research(Federal Ministry of Education &amp; Research (BMBF)); German Science Foundation DFG(German Research Foundation (DFG))</t>
  </si>
  <si>
    <t>We would like to thank Hans-Ulrich Peter, Markus Ritz, Isabel Prieto, Tim Janicke and Simone Pfeiffer for their contribution to this work and help during the field season. Two anonymous referees provided comments on the manuscript. Logistical support was provided by the Alfred Wegener Institute for Polar and Marine Research (AWI Bremerhaven, Germany), the National Antarctic Institute of Argentina and Hapag Lloyd Seetouristik GmbH. The study was supported by the Federal Ministry for Education and Research (BMBF CHL 01/016 and CHN 00/031) and partly by the German Science Foundation DFG (PE 454/1ff and Qu148/1).</t>
  </si>
  <si>
    <t>SPRINGER TOKYO</t>
  </si>
  <si>
    <t>TOKYO</t>
  </si>
  <si>
    <t>1-11-11 KUDAN-KITA, CHIYODA-KU, TOKYO, 102-0073, JAPAN</t>
  </si>
  <si>
    <t>0289-0771</t>
  </si>
  <si>
    <t>J ETHOL</t>
  </si>
  <si>
    <t>J. Ethol.</t>
  </si>
  <si>
    <t>10.1007/s10164-008-0115-y</t>
  </si>
  <si>
    <t>Behavioral Sciences; Zoology</t>
  </si>
  <si>
    <t>403CT</t>
  </si>
  <si>
    <t>WOS:000263060500008</t>
  </si>
  <si>
    <t>Hatanaka, A; Miyahara, H; Suzuki, KI; Sato, S</t>
  </si>
  <si>
    <t>Hatanaka, Akimasa; Miyahara, Hiroko; Suzuki, Ken Ichi; Sato, Seizo</t>
  </si>
  <si>
    <t>Isolation and Identification of Antihypertensive Peptides from Antarctic Krill Tail Meat Hydrolysate</t>
  </si>
  <si>
    <t>JOURNAL OF FOOD SCIENCE</t>
  </si>
  <si>
    <t>angiotensin I-converting enzyme (ACE); Antarctic krill (Euphausia superba); antihypertensive peptides; systolic blood pressure</t>
  </si>
  <si>
    <t>ANGIOTENSIN-CONVERTING ENZYME; SPONTANEOUSLY HYPERTENSIVE-RATS; INHIBITORY PEPTIDES</t>
  </si>
  <si>
    <t>Antarctic krill (Euphausia superba) obtained from the huge biomass in Antarctic waters is an important food product in Japan. Antarctic krill peptide powder (AKPP) prepared from the tail meat by enzymatic hydrolysis significantly decreased the systolic blood pressure in spontaneously hypertensive rats by a single oral administration (1, 10, or 100 mg). Presumably, the effect of AKPP was through inhibition of the conversion of angiotensin, which mediates blood pressure elevation, from its inactive propeptide to the mature angiotensin. Two potent angiotensin I-converting enzyme (ACE) inhibitory peptides were isolated from AKPP by high-performance liquid chromatography (HPLC) and identified as Val-Trp (IC50 = 2.75 mu g/mL; 12.9 mu M) and Leu-Lys-Tyr (IC50 = 4.26 mu g/mL; 10.1 mu M). Val-Trp and Leu-Lys-Tyr comprised 0.025% +/- 0.0023% (w/w) and 0.018% +/- 0.0023% (w/w) of AKPP, respectively, as measured by electrospray ionization mass spectrometry (ESI-MS). The contributions of Val-Trp and Leu-Lys-Tyr to the ACE inhibitor activity of AKPP were 17.7% +/- 1.60% and 8.04% +/- 1.03%, respectively, suggesting that these 2 peptides constitute a substantial portion of the overall ACE inhibitor potential of AKPP.</t>
  </si>
  <si>
    <t>[Hatanaka, Akimasa; Miyahara, Hiroko; Suzuki, Ken Ichi; Sato, Seizo] Nippon Suisan Kaisha Ltd, Cent Res Labs, Tokyo 1920906, Japan</t>
  </si>
  <si>
    <t>Nippon Suisan Kaisha, Ltd.</t>
  </si>
  <si>
    <t>Hatanaka, A (corresponding author), Nippon Suisan Kaisha Ltd, Cent Res Labs, 559-6 Kitano Machi, Tokyo 1920906, Japan.</t>
  </si>
  <si>
    <t>hatanaka@nissui.co.jp</t>
  </si>
  <si>
    <t>0022-1147</t>
  </si>
  <si>
    <t>1750-3841</t>
  </si>
  <si>
    <t>J FOOD SCI</t>
  </si>
  <si>
    <t>J. Food Sci.</t>
  </si>
  <si>
    <t>H116</t>
  </si>
  <si>
    <t>H120</t>
  </si>
  <si>
    <t>10.1111/j.1750-3841.2009.01138.x</t>
  </si>
  <si>
    <t>Food Science &amp; Technology</t>
  </si>
  <si>
    <t>443VB</t>
  </si>
  <si>
    <t>WOS:000265937800031</t>
  </si>
  <si>
    <t>van der Veer, G; Voerkelius, S; Lorentz, G; Heiss, G; Hoogewerff, JA</t>
  </si>
  <si>
    <t>van der Veer, G.; Voerkelius, S.; Lorentz, G.; Heiss, G.; Hoogewerff, J. A.</t>
  </si>
  <si>
    <t>Spatial interpolation of the deuterium and oxygen-18 composition of global precipitation using temperature as ancillary variable</t>
  </si>
  <si>
    <t>JOURNAL OF GEOCHEMICAL EXPLORATION</t>
  </si>
  <si>
    <t>Provenancing; Kriging; Deuterium; Oxygen-18; Precipitation; Temperature</t>
  </si>
  <si>
    <t>METEORIC PRECIPITATION; RELATIVE CONTRIBUTIONS; SEASON PRECIPITATION; CLIMATIC RECORD; ANTARCTIC ICE; LAND AREAS; GROUNDWATER; PREDICTION; ISOTOPES; TRENDS</t>
  </si>
  <si>
    <t>To aid our research in geographical forensic provenancing and food authentication we have developed high resolution prediction maps of the annual mean deuterium and oxygen-18 composition of modern precipitation. The maps have a spatial resolution of 10' (similar to 20 x 20 km at the equator) and cover the global land surface excluding the Antarctic. To achieve this, the relation between various temperature related variables and the isotopic composition of modern precipitation was explored using a combination of high resolution climate maps and global isotope records from the GNIP database. This revealed that the isotopic composition of precipitation is somewhat better correlated to the temperature during the coldest - often driest - period of year than the temperatures during the warmest - often wettest - period of year (especially below 0 degrees C). Although the reason for this effect is not directly clear, the temperature during the coldest quarter is used as ancillary variable in simple kriging with varying local means (SKIm). In SKIm, only the residual isotope values from the regression with T(cq) are kriging interpolated, which are then added to the predicted isotope map based on T(cq). Because the ancillary variable explains the bulk of the isotopic variation (R(2)=0.79-0.85), the deuterium and oxygen-18 maps mainly reflect the large scale global temperature pattern. More local isotope effects are accounted for by the interpolation of the residual values. This study furthermore shows that surface temperature better explains the global isotopic variation compared to a combination of latitude and altitude (R(2)=0.68-0.69). Yet, at very low temperatures (&lt;-40 degrees C) our maps might underestimate the true isotope signal. The new isotope maps and the maps of the 95% confidence intervals can be downloaded from www.waterisotopes.org. (C) 2008 Elsevier B.V. All rights reserved.</t>
  </si>
  <si>
    <t>[van der Veer, G.] Geochem Res BV, Nieuwegein, Netherlands; [Voerkelius, S.; Lorentz, G.] Hydroisotop GmbH, Schweitenkirchen, Germany; [Heiss, G.] Austrian Res Ctr GmbH, Seibersdorf, Austria; [Hoogewerff, J. A.] Univ E Anglia, Ctr Forens Provenancing, Norwich NR4 7TJ, Norfolk, England</t>
  </si>
  <si>
    <t>Austrian Institute of Technology (AIT); University of East Anglia</t>
  </si>
  <si>
    <t>van der Veer, G (corresponding author), Geochem Res BV, Nieuwegein, Netherlands.</t>
  </si>
  <si>
    <t>g.vanderveer@gmx.net</t>
  </si>
  <si>
    <t>Hoogewerff, Jurian/AAA-8281-2020</t>
  </si>
  <si>
    <t>Hoogewerff, Jurian/0000-0001-8435-5172</t>
  </si>
  <si>
    <t>EU [006942]</t>
  </si>
  <si>
    <t>EU(European Union (EU))</t>
  </si>
  <si>
    <t>The scientists associated with the IAEA/WMO GNIP program as well as Hijmans and co-workers are acknowledged for their great effort to produce high quality isotope and climate data respectively. We thank Gabe Bowen for his useful comments and hosting the new maps at www.waterisotopes.org. This work is supported by the EU under the Sixth Framework Programme, contract number 006942 TRACE IP (www.trace.eu.org).</t>
  </si>
  <si>
    <t>0375-6742</t>
  </si>
  <si>
    <t>J GEOCHEM EXPLOR</t>
  </si>
  <si>
    <t>J. Geochem. Explor.</t>
  </si>
  <si>
    <t>10.1016/j.gexplo.2008.06.008</t>
  </si>
  <si>
    <t>446NP</t>
  </si>
  <si>
    <t>WOS:000266128600005</t>
  </si>
  <si>
    <t>Grenier, P; Blanchet, JP; Muñoz-Alpizar, R</t>
  </si>
  <si>
    <t>Grenier, Patrick; Blanchet, Jean-Pierre; Munoz-Alpizar, Rodrigo</t>
  </si>
  <si>
    <t>Study of polar thin ice clouds and aerosols seen by CloudSat and CALIPSO during midwinter 2007</t>
  </si>
  <si>
    <t>ARCTIC HAZE; TROPOSPHERIC AEROSOL; LIDAR; TEMPERATURE; NUCLEATION; TRENDS; RADAR; RETRIEVAL; CRYSTALS; CLIMATE</t>
  </si>
  <si>
    <t>Data sets from CloudSat radar reflectivity and CALIPSO lidar backscattering measurements provide a new regard on Arctic and Antarctic winter cloud systems, as well as on the way aerosols determine their formation and evolution. Especially, links between the cloud ice crystal size and the surrounding aerosol field may be further investigated. In this study, the satellite observations are used to heuristically separate polar thin ice clouds into two crystal size categories, and an aerosol index based on the attenuated backscattering and color ratio of the sampled volumes is used for identifying haze in cloud-free regions. Statistics from 386 Arctic satellite overpasses during January 2007 and from 379 overpasses over Antarctica during July 2007 reveal that sectors with the highest proportion of thin ice clouds having large ice crystals at their top are those for which the aerosol index is highest. Moreover, a weak but significant correlation between the cloud top ice effective radius and the above-cloud aerosol index suggests that more polluted clouds tend to have higher ice effective radius, in 10 of the 11 sectors investigated. These results are interpreted in terms of a sulphate-induced freezing inhibition effect.</t>
  </si>
  <si>
    <t>[Grenier, Patrick; Blanchet, Jean-Pierre; Munoz-Alpizar, Rodrigo] Univ Quebec, Inst Environm Sci, Montreal, PQ H3C 3P8, Canada</t>
  </si>
  <si>
    <t>University of Quebec; University of Quebec Montreal</t>
  </si>
  <si>
    <t>Grenier, P (corresponding author), Univ Quebec, Inst Environm Sci, POB 8888,Stn Downtown, Montreal, PQ H3C 3P8, Canada.</t>
  </si>
  <si>
    <t>grenier@sca.uqam.ca</t>
  </si>
  <si>
    <t>Ouranos Consortium; National Sciences and Engineering Research Council of Canada (NSERC)</t>
  </si>
  <si>
    <t>Ouranos Consortium; National Sciences and Engineering Research Council of Canada (NSERC)(Natural Sciences and Engineering Research Council of Canada (NSERC))</t>
  </si>
  <si>
    <t>P. G. acknowledges the Ouranos Consortium and the National Sciences and Engineering Research Council of Canada (NSERC) for financial support, as well as his Ph. D. supervision committee: Jean-Pierre Blanchet, Colin Jones, Eric Girard, and Graeme Stephens. The funding for this research was also supported by the NSERC through its International Polar Year 2007-2008 program. We also acknowledge the NASA Langley Research Center/Atmospheric Science Data Center from which CALIPSO data were obtained, and the NASA CloudSat project. Thanks finally go to the three anonymous reviewers for their valuable remarks.</t>
  </si>
  <si>
    <t>MAY 1</t>
  </si>
  <si>
    <t>D09201</t>
  </si>
  <si>
    <t>10.1029/2008JD010927</t>
  </si>
  <si>
    <t>439ZJ</t>
  </si>
  <si>
    <t>WOS:000265666800001</t>
  </si>
  <si>
    <t>Williams, I</t>
  </si>
  <si>
    <t>Williams, Isobel</t>
  </si>
  <si>
    <t>Dr Edward Wilson (1872-1912): Antarctic Hero</t>
  </si>
  <si>
    <t>JOURNAL OF MEDICAL BIOGRAPHY</t>
  </si>
  <si>
    <t>Edward Wilson was an artist, doctor, naturalist and explorer. He was on both Scott's Antarctic expeditions of the early 1900s, as Junior Surgeon and Zoologist on the Discovery expedition of 1901 and as Chief of Scientific Staff on the Terra Nova expedition of 1910. He reached the Pole with Scott in 1912 and died with him on their ill-fated return from the Pole.</t>
  </si>
  <si>
    <t>Williams, I (corresponding author), 15 High Rd, Hatfield AL9 6HT, Herts, England.</t>
  </si>
  <si>
    <t>munchkinipw@hotmail.co.uk</t>
  </si>
  <si>
    <t>SAGE PUBLICATIONS INC</t>
  </si>
  <si>
    <t>THOUSAND OAKS</t>
  </si>
  <si>
    <t>2455 TELLER RD, THOUSAND OAKS, CA 91320 USA</t>
  </si>
  <si>
    <t>0967-7720</t>
  </si>
  <si>
    <t>1758-1087</t>
  </si>
  <si>
    <t>J MED BIOGR</t>
  </si>
  <si>
    <t>J. Med. Biogr.</t>
  </si>
  <si>
    <t>10.1258/jmb.2009.009009</t>
  </si>
  <si>
    <t>History &amp; Philosophy Of Science</t>
  </si>
  <si>
    <t>Arts &amp; Humanities Citation Index (A&amp;HCI)</t>
  </si>
  <si>
    <t>History &amp; Philosophy of Science</t>
  </si>
  <si>
    <t>464VN</t>
  </si>
  <si>
    <t>WOS:000267536200011</t>
  </si>
  <si>
    <t>Neves, R; Gaspar, H; Calado, G</t>
  </si>
  <si>
    <t>Neves, R.; Gaspar, H.; Calado, G.</t>
  </si>
  <si>
    <t>Does a shell matter for defence? Chemical deterrence in two cephalaspidean gastropods with calcified shells</t>
  </si>
  <si>
    <t>JOURNAL OF MOLLUSCAN STUDIES</t>
  </si>
  <si>
    <t>BRACHIOPOD LIOTHYRELLA-UVA; OPISTHOBRANCH MOLLUSKS; HAMINOEA-ORBYGNIANA; ANTARCTIC PENINSULA; BULLA-STRIATA; ECOLOGY; EVOLUTION; PREDATOR; NUDIBRANCHS; ALCYONACEA</t>
  </si>
  <si>
    <t>Opisthobranch molluscs show an evolutionary trend to reduce, internalize and lose the shell. Many of them base their defensive strategies on natural deterrent products and current evolutionary theory suggests that the acquisition of chemical defences preceded shell reduction and loss, which has characterized the evolution of this group. Here we show that basal, shelled opisthobranch molluscs are defended against sympatric predators even if their protective shell is removed. The cephalaspideans Bulla striata and Haminoea orbignyana, both with distinct shell calcification, significantly deterred feeding by sympatric crab and fish predators, both in laboratory and field assays. However, our results argue against a progressive increment of chemical defences associated with shell reduction, because the cephalaspidean with the more fully calcified shell, Bulla striata, was also the more deterrent. These findings suggest that effective chemical defences might have evolved independently from shell loss, at least in basal opisthobranchs such as cephalaspideans.</t>
  </si>
  <si>
    <t>[Neves, R.; Calado, G.] Zoomarine, Inst Portugues Malacologia, P-8200864 Albufeira, Portugal; [Neves, R.; Calado, G.] Univ Lusofona Humanidades &amp; Tecnol, P-1749024 Lisbon, Portugal; [Gaspar, H.] INETI, P-1649038 Lisbon, Portugal; [Calado, G.] Univ Nova Lisboa, Ctr Modelacao Ecol IMAR, FCT, P-2825114 Monte De Caparica, Portugal</t>
  </si>
  <si>
    <t>Lusofona University; Universidade Nova de Lisboa</t>
  </si>
  <si>
    <t>Calado, G (corresponding author), Zoomarine, Inst Portugues Malacologia, EN 125,Km 65 Guia, P-8200864 Albufeira, Portugal.</t>
  </si>
  <si>
    <t>ipm@zoomarine.pt</t>
  </si>
  <si>
    <t>Neves, Ricardo Cardoso/J-9822-2014; Calado, Goncalo/F-5368-2011; Gaspar, Helena/E-6798-2012</t>
  </si>
  <si>
    <t>Neves, Ricardo Cardoso/0000-0002-9219-9066; Calado, Goncalo/0000-0001-9727-6051; Gaspar, Helena/0000-0002-1613-7023</t>
  </si>
  <si>
    <t>Cooperacao Cientifica e Tecnica Luso-Epanhola [GRICES/CSIC 2004/2005]; Fundacao para a Ciencia e Teconologia, Portugal [BPD/7133/2001]</t>
  </si>
  <si>
    <t>Cooperacao Cientifica e Tecnica Luso-Epanhola(Fundacao de Amparo a Pesquisa do Estado de Sao Paulo (FAPESP)); Fundacao para a Ciencia e Teconologia, Portugal</t>
  </si>
  <si>
    <t>This research was partially funded by Cooperacao Cientifica e Tecnica Luso-Epanhola, GRICES/CSIC 2004/2005, 'Natural Products Evolution and Biological Activity in Opisthobranch Molluscs'. We thank Dr M. Becerro for his valuable comments, Dr A. Monteiro and three anonymous referees for reading and criticizing earlier versions of the manuscript. G. C. holds a grant from the Fundacao para a Ciencia e Teconologia, Portugal (BPD/7133/2001).</t>
  </si>
  <si>
    <t>0260-1230</t>
  </si>
  <si>
    <t>1464-3766</t>
  </si>
  <si>
    <t>J MOLLUS STUD</t>
  </si>
  <si>
    <t>J. Molluscan Stud.</t>
  </si>
  <si>
    <t>10.1093/mollus/eyp004</t>
  </si>
  <si>
    <t>Marine &amp; Freshwater Biology; Zoology</t>
  </si>
  <si>
    <t>434KT</t>
  </si>
  <si>
    <t>WOS:000265274300005</t>
  </si>
  <si>
    <t>Wiedenmann, J; Cresswell, KA; Mangel, M</t>
  </si>
  <si>
    <t>Wiedenmann, John; Cresswell, Katherine A.; Mangel, Marc</t>
  </si>
  <si>
    <t>Connecting recruitment of Antarctic krill and sea ice</t>
  </si>
  <si>
    <t>LIMNOLOGY AND OCEANOGRAPHY</t>
  </si>
  <si>
    <t>SOUTH SHETLAND ISLANDS; EUPHAUSIA-SUPERBA; SCOTIA SEA; VARIABILITY; BIOMASS; GROWTH; WEST; PENINSULA; TRANSPORT; DYNAMICS</t>
  </si>
  <si>
    <t>We develop an age-structured model for two krill populations near the Antarctic Peninsula and estimate the relative recruitment events that reproduce observed trends in krill abundance and age structure. Estimates of recruitment in both regions show a nonlinear relationship between recruitment and sea ice area in the combined Bellingshausen and Amundsen Seas from the previous winter and spring, with large recruitment events occurring over a narrow range of ice area, and minimal recruitment otherwise. This finding may allow for an adaptive approach in which future catch limits are adjusted based on predictions of biomass. This result also suggests that the ecosystem may change dramatically once average ice area drops below the recruitment threshold.</t>
  </si>
  <si>
    <t>[Wiedenmann, John] Univ Calif Santa Cruz, Dept Ocean Sci, Santa Cruz, CA 95064 USA; [Wiedenmann, John; Cresswell, Katherine A.; Mangel, Marc] Univ Calif Santa Cruz, Ctr Stock Assessment Res CSTAR, Dept Appl Math &amp; Stat, Santa Cruz, CA 95064 USA</t>
  </si>
  <si>
    <t>University of California System; University of California Santa Cruz; University of California System; University of California Santa Cruz</t>
  </si>
  <si>
    <t>Wiedenmann, J (corresponding author), Univ Calif Santa Cruz, Dept Ocean Sci, Santa Cruz, CA 95064 USA.</t>
  </si>
  <si>
    <t>jrwied@soe.ucsc.edu</t>
  </si>
  <si>
    <t>Cresswell, Katherine/0000-0003-1692-4964; Wiedenmann, John/0000-0001-7622-9053</t>
  </si>
  <si>
    <t>Lenfest Ocean Program; Center for Stock Assessment Research; University of California, Santa Cruz</t>
  </si>
  <si>
    <t>Lenfest Ocean Program; Center for Stock Assessment Research; University of California, Santa Cruz(University of California System)</t>
  </si>
  <si>
    <t>We thank S. Stammerjohn and S. Thorpe for providing data used in this paper, and two anonymous reviewers for their comments on this manuscript. This work was funded by the Lenfest Ocean Program, and the Center for Stock Assessment Research, a partnership between the National Marine Fisheries Service Santa Cruz Laboratory and the University of California, Santa Cruz.</t>
  </si>
  <si>
    <t>0024-3590</t>
  </si>
  <si>
    <t>1939-5590</t>
  </si>
  <si>
    <t>LIMNOL OCEANOGR</t>
  </si>
  <si>
    <t>Limnol. Oceanogr.</t>
  </si>
  <si>
    <t>10.4319/lo.2009.54.3.0799</t>
  </si>
  <si>
    <t>Limnology; Oceanography</t>
  </si>
  <si>
    <t>Marine &amp; Freshwater Biology; Oceanography</t>
  </si>
  <si>
    <t>474ZY</t>
  </si>
  <si>
    <t>WOS:000268325000013</t>
  </si>
  <si>
    <t>Duarte, CM; Regaudie-De-Gioux, A</t>
  </si>
  <si>
    <t>Duarte, Carlos M.; Regaudie-de-Gioux, Aurore</t>
  </si>
  <si>
    <t>Thresholds of gross primary production for the metabolic balance of marine planktonic communities</t>
  </si>
  <si>
    <t>DISSOLVED ORGANIC-CARBON; TRIPLE-ISOTOPE COMPOSITION; ATLANTIC-OCEAN; AQUATIC ECOSYSTEMS; CONTINENTAL-MARGIN; SCALE VARIABILITY; SUBTROPICAL GYRE; COASTAL WATERS; AUSTRAL SUMMER; SOUTHERN-OCEAN</t>
  </si>
  <si>
    <t>The notion that less productive marine planktonic communities tend to be heterotrophic was tested by synthesizing reported estimates of the relationships between the net community production or community respiration and gross primary production (GPP), allowing calculation of the threshold GPP separating less productive, heterotrophic communities from more productive, autotrophic ones. A total of 35 estimates of the threshold GPP were assembled, derived from reports of comparative analyses of individual regions (Mediterranean Sea, Atlantic Ocean, Southern Ocean, Pacific Ocean, and Indian Ocean) and global comparative analyses for open-ocean and coastal environments, time-series analyses of changes in planktonic metabolism at individual locations, experimental manipulations in mesocosms, and a semi-empirical modeling exercise. Planktonic communities of the open ocean and continental shelf showed threshold GPP values ranging 30-fold, from 0.34 mmol O-2 m(-3) d(-1) to 9.45 mmol O-2 m(-3) d(-1), with those for estuarine and coastal locations reaching 50.60 mmol O-2 m(-3) d(-1). Antarctic and ultra-oligotrophic ecosystems showed the lowest threshold GPP values (&lt; 2.2 mmol O-2 m(-3) d(-1)), with a general consistency across approaches for a given ecosystem. Plankton community respiration in the absence of or under low primary production is not negligible and is supported by semi-labile dissolved organic carbon. The analysis of GPP thresholds suggests that allochthonous organic inputs to the less productive regions of the ocean must be in the order of 5-6 mmol C m(-2) d(-1), consistent with recent estimates of allochthonous inputs of organic carbon to the ocean.</t>
  </si>
  <si>
    <t>[Duarte, Carlos M.; Regaudie-de-Gioux, Aurore] IMEDEA CSIC UIB, Global Change Res Dept, Esporles, Spain</t>
  </si>
  <si>
    <t>Universitat de les Illes Balears; Consejo Superior de Investigaciones Cientificas (CSIC); ATTITUS Educacao</t>
  </si>
  <si>
    <t>Duarte, CM (corresponding author), IMEDEA CSIC UIB, Global Change Res Dept, Esporles, Spain.</t>
  </si>
  <si>
    <t>carlosduarte@ifisc.uib.es</t>
  </si>
  <si>
    <t>Duarte Quesada, Carlos Manuel/ABD-6208-2021; Regaudie-de-Gioux, Aurore/AAC-1816-2022; Duarte, Carlos M/A-7670-2013</t>
  </si>
  <si>
    <t>Regaudie-de-Gioux, Aurore/0000-0001-9015-8589; Duarte, Carlos M/0000-0002-1213-1361</t>
  </si>
  <si>
    <t>COCA: Flujo de carbono en la region Canaria: acoplamiento entre exportacion costera y demanda oceanica; RODA: Remolinos oceanicos y deposicion atmosferica: efectos biologicos y biogeoquimicos en agues del Atlantico Este; ATOS: Atmospheric inputs of organic carbon and pollutants to the polar ocean: Rates, significance and Outlook; Spanish Ministry of Science and Innovation; European Commission</t>
  </si>
  <si>
    <t>COCA: Flujo de carbono en la region Canaria: acoplamiento entre exportacion costera y demanda oceanica; RODA: Remolinos oceanicos y deposicion atmosferica: efectos biologicos y biogeoquimicos en agues del Atlantico Este; ATOS: Atmospheric inputs of organic carbon and pollutants to the polar ocean: Rates, significance and Outlook; Spanish Ministry of Science and Innovation(Spanish Government); European Commission(European Union (EU)European Commission Joint Research Centre)</t>
  </si>
  <si>
    <t>We thank S. Agusti, J. P. Gattuso, N. Navarro, and R. Vaquer-Sunyer for access to unpublished data, P. le B. Williams for providing raw data from a published report, and C. A. Robinson for sharing to the global metabolism data set. This research was supported by project COCA: Flujo de carbono en la region Canaria: acoplamiento entre exportacion costera y demanda oceanica, RODA: Remolinos oceanicos y deposicion atmosferica: efectos biologicos y biogeoquimicos en agues del Atlantico Este, ATOS: Atmospheric inputs of organic carbon and pollutants to the polar ocean: Rates, significance and Outlook, and the Malaspina 2010 CONSOLIDER project funded by the Spanish Ministry of Science and Innovation, and the integrated project Thresholds and the EUR-OCEANS network of excellence funded by the European Commission. A. R. d. G was supported by the METAOCEANS Marie Curie Network, of FP 6 of the European Commission.</t>
  </si>
  <si>
    <t>WILEY-BLACKWELL</t>
  </si>
  <si>
    <t>10.4319/lo.2009.54.3.1015</t>
  </si>
  <si>
    <t>WOS:000268325000032</t>
  </si>
  <si>
    <t>Sewell, MA; Jury, JA</t>
  </si>
  <si>
    <t>Sewell, Mary A.; Jury, Jennifer A.</t>
  </si>
  <si>
    <t>Desalination plants as plankton sampling devices in temporal studies: proof-of-concept and suggestions for the future</t>
  </si>
  <si>
    <t>LIMNOLOGY AND OCEANOGRAPHY-METHODS</t>
  </si>
  <si>
    <t>SOUTHERN-OCEAN; NORTH-SEA; MEROPLANKTON; RECORDER; NET</t>
  </si>
  <si>
    <t>Long-term records of zooplankton distribution and abundance are increasingly being used as indicators of climate change. The North Atlantic, because of the 80 years of Continuous Plankton Recorder (CPR) surveys, is well-represented with such time series. However, there are few long-term data sets from the Pacific Ocean and especially from Antarctica, where traditional plankton sampling is logistically challenging. Here we test an alternative sampling method, the primary filter (PF) of the Scott Base reverse-osmosis (RO) desalination plant, which had the same mesh size (100 mu m) as our standard plankton tows. We show, by qualitative comparison to fresh plankton samples collected with a plankton net, that the PF collects a representative zooplankton community, does not damage delicate or fragile forms (e. g., appendicularians, ctenophores, medusae, chaetognaths, pteropods, polychaetes, embryos with intact fertilization membranes, pilidia, bipinnaria), and that the large volumes of seawater filtered allow collection of rare meroplankton members. We further show that seasonal changes can be detected in the zooplankton when PF samples are fixed in formalin for later analysis. Desalination plant PFs may provide an innovative solution to study temporal patterns in the Antarctic zooplankton and have the potential to provide long-term data sets from other poorly sampled regions.</t>
  </si>
  <si>
    <t>[Sewell, Mary A.; Jury, Jennifer A.] Univ Auckland, Sch Biol Sci, Auckland 1142, New Zealand</t>
  </si>
  <si>
    <t>University of Auckland</t>
  </si>
  <si>
    <t>Sewell, MA (corresponding author), Univ Auckland, Sch Biol Sci, Private Bag 92019, Auckland 1142, New Zealand.</t>
  </si>
  <si>
    <t>m.sewell@auckland.ac.nz</t>
  </si>
  <si>
    <t>Sewell, Mary A/C-9017-2009</t>
  </si>
  <si>
    <t>Sewell, Mary A/0000-0002-1595-7951; Jury, Jennifer/0000-0001-5444-3008</t>
  </si>
  <si>
    <t>Ministry of Fisheries Biodiversity of the Ross Sea program [ZBD 2002-02]; University of Auckland</t>
  </si>
  <si>
    <t>Ministry of Fisheries Biodiversity of the Ross Sea program; University of Auckland</t>
  </si>
  <si>
    <t>We thank the Scott Base engineer P. Wederall (2002/03) for his input to the ideas presented here; K. Rigalsford (Antarctica New Zealand) for providing details of the Scott Base desalination plant; L. Sanson, D. Peterson, and K. Rigalsford for approving staff-time for the collection of the seasonal samples; P. Wederall and M. Hay (Engineer 2003-2004) for collecting the seasonal samples and providing the desalination plant logs; Antarctica New Zealand and the Scott Base staff for scientific and logistical support; the Ministry of Fisheries Biodiversity of the Ross Sea program (ZBD 2002-02) for funding the 2002/03 season; the University of Auckland for research funding for the seasonal study (2003-2004); and K. Ruggiero, M. Hudson and the anonymous reviewers for helpful comments on the manuscript.</t>
  </si>
  <si>
    <t>AMER SOC LIMNOLOGY OCEANOGRAPHY</t>
  </si>
  <si>
    <t>WACO</t>
  </si>
  <si>
    <t>5400 BOSQUE BLVD, STE 680, WACO, TX 76710-4446 USA</t>
  </si>
  <si>
    <t>1541-5856</t>
  </si>
  <si>
    <t>LIMNOL OCEANOGR-METH</t>
  </si>
  <si>
    <t>Limnol. Oceanogr. Meth.</t>
  </si>
  <si>
    <t>10.4319/lom.2009.7.363</t>
  </si>
  <si>
    <t>458IO</t>
  </si>
  <si>
    <t>WOS:000267011000005</t>
  </si>
  <si>
    <t>Clark, D; Lamare, M; Barker, M</t>
  </si>
  <si>
    <t>Clark, Dana; Lamare, Miles; Barker, Mike</t>
  </si>
  <si>
    <t>Response of sea urchin pluteus larvae (Echinodermata: Echinoidea) to reduced seawater pH: a comparison among a tropical, temperate, and a polar species</t>
  </si>
  <si>
    <t>MARINE BIOLOGY</t>
  </si>
  <si>
    <t>CO2 PARTIAL-PRESSURE; OCEAN ACIDIFICATION; DISSOCIATION-CONSTANTS; CALCIFICATION RATE; CARBONIC-ACID; NEW-ZEALAND; PHOTOSYNTHESIS; WATER; MORTALITY; CALCITE</t>
  </si>
  <si>
    <t>Ocean acidification, as a result of increased atmospheric CO2, is predicted to lower the pH of seawater to between pH 7.6 and 7.8 over the next 100 years. The greatest changes are expected in polar waters. Our research aimed to examine how echinoid larvae are affected by lower pH, and if effects are more pronounced in polar species. We examined the effects of lowered pH on larvae from tropical (Tripneustes gratilla), temperate (Pseudechinus huttoni, Evechinus chloroticus), and a polar species (Sterechinus neumayeri) in a series of laboratory experiments. Larvae were reared in a range of lower pH seawater (pH 6.0, 6.5, 7.0, 7.5, 7.7, 7.8 and ambient), adjusted by bubbling CO2 gas. The effect of pH on somatic and skeletal growth, calcification index, development and survival were quantified, while SEM examination of the larval skeleton provided information on the effects of seawater pH on the fine-scale skeletal morphology. Lowering pH resulted in a decrease in survival in all species, but only below pH 7.0. The size of larvae were reduced at lowered pH, but the external morphology (shape) was unaffected. Calcification of the larval skeleton was significantly reduced (13.8-36.9% lower) under lowered pH, with the exception of the Antarctic species, which showed no significant difference. SEM examination revealed a degradation of the larval skeletons of Pseudechinus and Evechinus when grown in reduced pH. Sterechinus and Tripneustes showed no apparent difference in the skeletal fine structure under lowered pH. The study confirms the need to look beyond mortality as a single endpoint when considering the effects of ocean acidification that may occur through the 21st century, and instead, look for a suite of more subtle changes, which may indirectly affect the functioning of larval stages.</t>
  </si>
  <si>
    <t>[Clark, Dana; Lamare, Miles; Barker, Mike] Univ Otago, Dept Marine Sci, Dunedin, New Zealand</t>
  </si>
  <si>
    <t>University of Otago</t>
  </si>
  <si>
    <t>Lamare, M (corresponding author), Univ Otago, Dept Marine Sci, POB 56, Dunedin, New Zealand.</t>
  </si>
  <si>
    <t>miles.lamare@otago.ac.nz</t>
  </si>
  <si>
    <t>Lamare, Miles M/A-7020-2010</t>
  </si>
  <si>
    <t>Clark, Dana/0000-0002-7358-1809; Lamare, Miles/0000-0001-8656-7240</t>
  </si>
  <si>
    <t>University of Otago Research Grant (MDL, MFB); Federation of Graduate Women, Otago Branch</t>
  </si>
  <si>
    <t>We thank Antarctica New Zealand for their logistical support in Antarctica, and Ian Bertram and The Cook Islands Ministry of Marine Resources for assisting in research at Aitutaki. Thanks to Richard Story, manager of the Cook Island Marine Research Centre, and staff at the Portobello Marine Laboratory, University of Otago. Professor Keith Hunter provided expert information on carbonate chemistry. Professor Hunter also developed the software we used for determining the carbonate chemistry of seawater. Liz Girvan provided expertise during SEM preparation and imaging. This research was generously supported by a University of Otago Research Grant (MDL, MFB). Dana Clark was awarded a Brenda Shore Award from the Federation of Graduate Women, Otago Branch, which supported her Post-graduate research activities.</t>
  </si>
  <si>
    <t>0025-3162</t>
  </si>
  <si>
    <t>1432-1793</t>
  </si>
  <si>
    <t>MAR BIOL</t>
  </si>
  <si>
    <t>Mar. Biol.</t>
  </si>
  <si>
    <t>10.1007/s00227-009-1155-8</t>
  </si>
  <si>
    <t>428TU</t>
  </si>
  <si>
    <t>WOS:000264873800003</t>
  </si>
  <si>
    <t>Sedaghatpour, F; Sears, DWG</t>
  </si>
  <si>
    <t>Sedaghatpour, F.; Sears, D. W. G.</t>
  </si>
  <si>
    <t>Characterization of Antarctic micrometeorites by thermoluminescence</t>
  </si>
  <si>
    <t>METEORITICS &amp; PLANETARY SCIENCE</t>
  </si>
  <si>
    <t>UNEQUILIBRATED ORDINARY CHONDRITES; TYPE-3 ORDINARY CHONDRITES; THERMO-LUMINESCENCE; COSMIC DUST; CARBONACEOUS CHONDRITES; METAMORPHIC HISTORY; AQUEOUS ALTERATION; OXYGEN ISOTOPES; BLUE ICE; METEORITES</t>
  </si>
  <si>
    <t>In order to explore the nature and history of micrometeorites, we have measured the thermoluminescence (TL) properties of four micrometeorites, three cosmic spherules, and one irregular scoriaceous particle, that we found in a survey of 17 micrometeorites. These micrometeorites have TL sensitivities ranging from 0.017 +/- 0.002 to 0.087 +/- 0.009 (on a scale normalized to 4 mg of the H3.9 chondrite Dhajala). The four micrometeorites have very similar TL peak temperatures and TL peak widths, and these distinguish them from CI, most CM, CV, CO, and ordinary chondrites. However, the TL properties of these rnicrometeorites closely resemble those of the unusual CM chondrite MacAlpine Hills (MAC) 87300 and terrestrial forsterites. Heating experiments on submillimeter chips of a CM chondrite and a H5 chondrite suggest that these TL properties are have not been significantly affected by atmospheric passage. Thus we suggest that there is no simple linkage between these micrometeorites and the established meteorite classes, and that forsterite is an important component of these microrneteorites, as it is in many primitive solar system materials.</t>
  </si>
  <si>
    <t>[Sedaghatpour, F.; Sears, D. W. G.] Univ Arkansas, Arkansas Ctr Space &amp; Planetary Sci, Fayetteville, AR 72701 USA; [Sears, D. W. G.] Univ Arkansas, Dept Chem &amp; Biochem, Fayetteville, AR 72701 USA</t>
  </si>
  <si>
    <t>University of Arkansas System; University of Arkansas Fayetteville; University of Arkansas System; University of Arkansas Fayetteville</t>
  </si>
  <si>
    <t>Sears, DWG (corresponding author), Univ Arkansas, Arkansas Ctr Space &amp; Planetary Sci, 202 Old Museum Bldg, Fayetteville, AR 72701 USA.</t>
  </si>
  <si>
    <t>dsears@uark.edu</t>
  </si>
  <si>
    <t>1086-9379</t>
  </si>
  <si>
    <t>METEORIT PLANET SCI</t>
  </si>
  <si>
    <t>Meteorit. Planet. Sci.</t>
  </si>
  <si>
    <t>10.1111/j.1945-5100.2009.tb00761.x</t>
  </si>
  <si>
    <t>477QA</t>
  </si>
  <si>
    <t>WOS:000268532400003</t>
  </si>
  <si>
    <t>Rubin, AE; Bottke, WF</t>
  </si>
  <si>
    <t>Rubin, Alan E.; Bottke, William F.</t>
  </si>
  <si>
    <t>On the origin of shocked and unshocked CM clasts in H-chondrite regolith breccias</t>
  </si>
  <si>
    <t>MAIN ASTEROID BELT; CARBONACEOUS CHONDRITES; SOLAR-SYSTEM; PARENT BODY; ANTARCTIC MICROMETEORITES; AQUEOUS ALTERATION; STONY METEORITES; COMPOSITIONAL DIFFERENCES; REFRACTORY INCLUSIONS; TERRESTRIAL PLANETS</t>
  </si>
  <si>
    <t>CM chondrite clasts that have experienced different degrees of aqueous alteration Occur in H-chondrite and HED meteorite breccias. Many clasts are fragments of essentially unshocked CM projectiles that accreted at low relative velocities to the regoliths of these parent bodies. A few clasts were heated and dehydrated upon impact; these objects most likely accreted at higher relative velocities. We examined three clasts and explored alternative scenarios for their formation. In the first scenario, we assumed that the H and HED parent bodies had diameters of a few hundred kilometers, so that their high escape velocities Would effectively prevent soft landings of small CM projectiles. This would imply that weakly shocked CM clasts formed on asteroidal fragments (family members) associated with the H and HED parent bodies. In the second scenario, we assumed that weakly shocked CM clasts were spall products ejected at low velocities from larger CM projectiles when they slammed into the H and HED parent bodies. In both cases, if most CM clasts turn out to have ancient ages (e.g., similar to 3.4-4.1 Ga), a plausible Source for their progenitors would be outer main belt objects, some which may have been dynamically implanted 3.9 Ga ago by the events described in the so-called Nice rnodel. On the other hand, if most CM clasts have recent ages (&lt;200 Ma), a plausible source location for their parent body Would be the inner main belt between 2.1-2.2 AU. In that case, the possible Source of the CM-clasts' progenitors' parent fragments would be the breakup similar to 160 Ma ago of the parent body 170 kill in diameter of the Baptistina asteroid family (BAF).</t>
  </si>
  <si>
    <t>[Rubin, Alan E.] Univ Calif Los Angeles, Inst Geophys &amp; Planetary Phys, Los Angeles, CA 90095 USA; [Bottke, William F.] SW Res Inst, Boulder, CO 80302 USA</t>
  </si>
  <si>
    <t>University of California System; University of California Los Angeles</t>
  </si>
  <si>
    <t>Rubin, AE (corresponding author), Univ Calif Los Angeles, Inst Geophys &amp; Planetary Phys, Los Angeles, CA 90095 USA.</t>
  </si>
  <si>
    <t>aerubin@ucla.edu</t>
  </si>
  <si>
    <t>NASA Cosmochemistry [NNG06GF95G]; NASA's Origins of Solar Systems Program [NNG05GI28G]; Planetary Geology and Geophysics Program [NNG05GI28G]; Near Earth Object Observation Program [NNG06GG06G]</t>
  </si>
  <si>
    <t>NASA Cosmochemistry(National Aeronautics &amp; Space Administration (NASA)); NASA's Origins of Solar Systems Program(National Aeronautics &amp; Space Administration (NASA)); Planetary Geology and Geophysics Program(National Aeronautics &amp; Space Administration (NASA)); Near Earth Object Observation Program</t>
  </si>
  <si>
    <t>We thank the curators at the Institute of Meteoritics, University of New Mexico for tile loan of the Abbott and Plainview thin sections. This work was supported in part by NASA Cosmochemistry Grant NNG06GF95G (A. E. Rubin). Research funds for W. F Bottke were provided by NASA's Origins of Solar Systems Program (Grant NNG05GI28G), the Planetary Geology and Geophysics Program (Grant NNG05GI28G) and the Near Earth Object Observation Program (Grant NNG06GG06G). We thank J. T. Wasson for useful comments, M. J. Gaffey, T. H. Burbine and M. Gounelle for helpful reviews, and associate editors A. J. Brearley and T. D. Swindle for valuable comments.</t>
  </si>
  <si>
    <t>METEORITICAL SOC</t>
  </si>
  <si>
    <t>FAYETTEVILLE</t>
  </si>
  <si>
    <t>DEPT CHEMISTRY/BIOCHEMISTRY, UNIV ARKANSAS, FAYETTEVILLE, AR 72701 USA</t>
  </si>
  <si>
    <t>10.1111/j.1945-5100.2009.tb00764.x</t>
  </si>
  <si>
    <t>WOS:000268532400006</t>
  </si>
  <si>
    <t>McCanta, MC; Elkins-Tanton, L; Rutherford, MJ</t>
  </si>
  <si>
    <t>McCanta, Molly C.; Elkins-Tanton, Linda; Rutherford, Malcolm J.</t>
  </si>
  <si>
    <t>Expanding the application of the Eu-oxybarometer to the lherzolitic shergottites and nakhlites: Implications for the oxidation state heterogeneity of the Martian interior</t>
  </si>
  <si>
    <t>RARE-EARTH-ELEMENTS; OVERLYING SUBDUCTION ZONES; ALLAN HILLS 77005; OXYGEN FUGACITY; FRACTIONAL CRYSTALLIZATION; SILICATE LIQUIDS; CORE FORMATION; REDOX STATE; EXPERIMENTAL CONSTRAINTS; DISSOLVED WATER</t>
  </si>
  <si>
    <t>Experimentally rehomogenized melt inclusions from the nakhlite Miller Range 03346 (MIL 03346) and the lherzolitic shergottite Allan Hills 77005 (ALH 77005) have been analyzed for their rare earth element (REE) concentrations in order to characterize the early melt compositions of these Martian meteorites and to calculate the oxygen fugacity conditions they crystallized under. D(Eu/Sm)(pyroxene/melt) values were measured at 0.77 and 1.05 for ALH 77005 and MIL 03346, respectively. These melts and their associated whole rock compositions have similar REE patterns, suggesting that whole rock REE values are representative of those of the early melts and call be used as input into the pyroxene Eu-oxybarometer for the nakhlites and lherzolitic shergottites. Crystallization fO(2) values of IW + 1.1 (ALH 77005) and IW + 3.2 (MIL 03346) were calculated. Whole rock data from other nakhlites and lherzolitic shergottites was input into the Eu-oxybarometer to determine their crystallization fO(2) values. The lherzolitic shergottites and nakhlites have fO(2) Values that range from IW + 0.4 to 1.6 and from IW + 1.1 to 3.2, respectively. These values are consistent with some previously determined fO(2) estimates and expand the known range of fO(2) values of the Martian interior to four orders of magnitude. The origins of this range are not well constrained. Possible mechanisms for producing this spread fO(2) values include mineral/melt fractionation, assimilation, shock effects, and magma ocean crystallization processes. Mineral/melt partitioning can result in changes in fO(2) from the start to the finish of crystallization of 2 orders of magnitude. In addition, crystallization of a Martian magma ocean with reasonable initial water content results in oxidized, water-rich, late-stage cumulates. Sampling of these oxidized cumulates or interactions between reduced melts and the oxidized material can potentially account for the range of fO(2) values observed in the Martian meteorites.</t>
  </si>
  <si>
    <t>[McCanta, Molly C.] CALTECH, Dept Geol &amp; Planetary Sci, Pasadena, CA 91125 USA; [Elkins-Tanton, Linda] MIT, Dept Earth Atmospher &amp; Planetary Sci, Cambridge, MA 02139 USA; [Rutherford, Malcolm J.] Brown Univ, Dept Geol Sci, Providence, RI 02912 USA</t>
  </si>
  <si>
    <t>California Institute of Technology; Massachusetts Institute of Technology (MIT); Brown University</t>
  </si>
  <si>
    <t>McCanta, MC (corresponding author), Tufts Univ, Dept Geol, Lane Hall,2 N Hill Rd, Medford, MA 02155 USA.</t>
  </si>
  <si>
    <t>molly.mccanta@tufts.edu</t>
  </si>
  <si>
    <t>Elkins-Tanton, Linda/C-5508-2008</t>
  </si>
  <si>
    <t>Elkins-Tanton, Linda/0000-0003-4008-1098</t>
  </si>
  <si>
    <t>NASA [NNG06GF12G]; Mars Fundamental Research Program; Direct For Mathematical &amp; Physical Scien; Division Of Astronomical Sciences [0747154] Funding Source: National Science Foundation</t>
  </si>
  <si>
    <t>NASA(National Aeronautics &amp; Space Administration (NASA)); Mars Fundamental Research Program; Direct For Mathematical &amp; Physical Scien; Division Of Astronomical Sciences(National Science Foundation (NSF)NSF - Directorate for Mathematical &amp; Physical Sciences (MPS))</t>
  </si>
  <si>
    <t>The authors are grateful to the ANSMET program, the NASA Antarctic Meteorite Curator, and the Meteorite Working Group for allowing them access to these meteorites. The assistance of Dr. J. Devine with EMP analysis and Dr. Y. Guan With ion probe analysis was greatly appreciated. Critical reviews by A. Irving, K. Stockstill-Cahill, and A. Treiman helped improve and clarify this work. This research was supported by NASA grant NNG06GF12G to M.J.R. and a Mars Fundamental Research Program grant to L.E.T. A portion of this work was done while M. C. M. was a Urey Post-Doctoral fellow at the Lunar and Planetary Institute.</t>
  </si>
  <si>
    <t>1945-5100</t>
  </si>
  <si>
    <t>10.1111/j.1945-5100.2009.tb00765.x</t>
  </si>
  <si>
    <t>WOS:000268532400007</t>
  </si>
  <si>
    <t>Swindle, TD; Isachsen, CE; Weirich, JR; Kring, DA</t>
  </si>
  <si>
    <t>Swindle, Timothy D.; Isachsen, Clark E.; Weirich, John R.; Kring, David A.</t>
  </si>
  <si>
    <t>40Ar-39Ar ages of H-chondrite impact melt breccias</t>
  </si>
  <si>
    <t>TERMINAL LUNAR CATACLYSM; NOBLE-GASES; METEORITIC SAMPLE; THERMAL HISTORY; BOMBARDMENT; 40AR-39AR; EVENTS; ORIGIN; GEOCHEMISTRY; ORDOVICIAN</t>
  </si>
  <si>
    <t>40Ar-39Ar analyses of a total of 26 samples from eight shock-darkened impact melt breccias of H-chondrite affinity (Gao-Guenie, LAP 02240, LAP 03922, LAP 031125, LAP 031173, LAP 031308, NWA 2058, and Ourique) are reported. These appear to record impacts ranging in time from 303 +/- 56 Ma (Gao-Guenie) to 4360 +/- 120 Ma (Ourique) ago. Three record impacts 300-400 Ma ago, while two others record impacts 3900-4000 Ma ago. Combining these with other impact ages from H chondrites in the literature, it appears that H chondrites record impacts in the first 100 Ma of solar system history, during the era of the lunar cataclysm and shortly thereafter (3500-4000 Ma ago), one or more impacts similar to 300 Ma ago, and perhaps an impact similar to 500 Ma ago (near the time of the L chondrite parent body disruption). Records of impacts oil the H chondrite parent body are rare or absent between the era of planetary accretion and the lunar cataclysm (4400-4050 Ma), during the long stretch between heavy bombardment and recent breakup events (3500-1000 Ma), or at the time of final breakup into meteorite-sized bodies (&lt;50 Ma).</t>
  </si>
  <si>
    <t>[Swindle, Timothy D.; Weirich, John R.] Univ Arizona, Lunar &amp; Planetary Lab, Tucson, AZ 85721 USA; [Swindle, Timothy D.; Isachsen, Clark E.] Univ Arizona, Dept Geosci, Tucson, AZ 85721 USA; [Kring, David A.] Lunar &amp; Planetary Inst, Houston, TX 77058 USA</t>
  </si>
  <si>
    <t>University of Arizona; University of Arizona</t>
  </si>
  <si>
    <t>Swindle, TD (corresponding author), Univ Arizona, Lunar &amp; Planetary Lab, Tucson, AZ 85721 USA.</t>
  </si>
  <si>
    <t>tswindle@u.arizona.edu</t>
  </si>
  <si>
    <t>Weirich, John R/H-3183-2011; Kring, David A/D-5912-2011</t>
  </si>
  <si>
    <t>Weirich, John/0000-0002-2830-1708</t>
  </si>
  <si>
    <t>NASA [NAG5-12059, NNX08AG59G, NNX07AG55G]; LPI [1402]; NASA [NNX08AG59G, 100883] Funding Source: Federal RePORTER</t>
  </si>
  <si>
    <t>NASA(National Aeronautics &amp; Space Administration (NASA)); LPI; NASA(National Aeronautics &amp; Space Administration (NASA))</t>
  </si>
  <si>
    <t>We are indebted to Ted Bunch for the sample of NWA 2058, Eric Olson for the sample of Gao-Guenie, and the Meteorite Working Group and the hardy souls who braved the LaPaz Icefield for the Antarctic samples. We appreciate thorough reviews by Don Bogard and Barbara Cohen which led to Substantial improvements over the original version of this work. In addition, we thank Leah Cheek, Claudia Jones and Jade Bond for some of the petrology. We wish to acknowledge NASA grants NAG5-12059 and NNX08AG59G (to TDS) and NNX07AG55G (to DAK). LPI Contribution #1402.</t>
  </si>
  <si>
    <t>10.1111/j.1945-5100.2009.tb00766.x</t>
  </si>
  <si>
    <t>WOS:000268532400008</t>
  </si>
  <si>
    <t>Vázquez, S; Nogales, B; Ruberto, L; Hernández, E; Christie-Oleza, J; Lo Balbo, A; Bosch, R; Lalucat, J; Mac Cormack, W</t>
  </si>
  <si>
    <t>Vazquez, S.; Nogales, B.; Ruberto, L.; Hernandez, E.; Christie-Oleza, J.; Lo Balbo, A.; Bosch, R.; Lalucat, J.; Mac Cormack, W.</t>
  </si>
  <si>
    <t>Bacterial Community Dynamics during Bioremediation of Diesel Oil-Contaminated Antarctic Soil</t>
  </si>
  <si>
    <t>MICROBIAL ECOLOGY</t>
  </si>
  <si>
    <t>HYDROCARBON DEGRADATION; BIOAUGMENTATION; BIOSTIMULATION; DIVERSITY; SPILLS; GENES; FUEL; ASSEMBLAGES</t>
  </si>
  <si>
    <t>The effect of nutrient and inocula amendment in a bioremediation field trial using a nutrient-poor Antarctic soil chronically contaminated with hydrocarbons was tested. The analysis of the effects that the treatments caused in bacterial numbers and hydrocarbon removal was combined with the elucidation of the changes occurring on the bacterial community, by 16S rDNA-based terminal restriction fragment length polymorphism (T-RFLP) typing, and the detection of some of the genes involved in the catabolism of hydrocarbons. All treatments caused a significant increase in the number of bacteria able to grow on hydrocarbons and a significant decrease in the soil hydrocarbon content, as compared to the control. However, there were no significant differences between treatments. Comparison of the soil T-RFLP profiles indicated that there were changes in the structure and composition of bacterial communities during the bioremediation trial, although the communities in treated plots were highly similar irrespective of the treatment applied, and they had a similar temporal dynamics. These results showed that nutrient addition was the main factor contributing to the outcome of the bioremediation experiment. This was supported by the lack of evidence of the establishment of inoculated consortia in soils, since their characteristic electrophoretic peaks were only detectable in soil profiles at the beginning of the experiment. Genetic potential for naphthalene degradation, evidenced by detection of nahAc gene, was observed in all soil plots including the control. In treated plots, an increase in the detection of catechol degradation genes (nahH and catA) and in a key gene of denitrification (nosZ) was observed as well. These results indicate that treatments favored the degradation of aromatic hydrocarbons and probably stimulated denitrification, at least transiently. This mesocosm study shows that recovery of chronically contaminated Antarctic soils can be successfully accelerated using biostimulation with nutrients, and that this causes a change in the indigenous bacterial communities and in the genetic potential for hydrocarbon degradation.</t>
  </si>
  <si>
    <t>[Vazquez, S.; Ruberto, L.; Hernandez, E.; Lo Balbo, A.] Univ Buenos Aires, Fac Farm &amp; Bioquim, Catedra Microbiol Ind &amp; Biotecnol, RA-1113 Buenos Aires, DF, Argentina; [Vazquez, S.; Ruberto, L.] Consejo Nacl Invest Cient &amp; Tecn, RA-1033 Buenos Aires, DF, Argentina; [Nogales, B.; Christie-Oleza, J.; Bosch, R.; Lalucat, J.] Univ Illes Balears, Dept Biol, Microbiol Grp, Palma de Mallorca, Spain; [Mac Cormack, W.] Inst Antart Argentino, Buenos Aires, DF, Argentina</t>
  </si>
  <si>
    <t>University of Buenos Aires; Consejo Nacional de Investigaciones Cientificas y Tecnicas (CONICET); Universitat de les Illes Balears; Instituto Antartico Argentino</t>
  </si>
  <si>
    <t>Vázquez, S (corresponding author), Univ Buenos Aires, Fac Farm &amp; Bioquim, Catedra Microbiol Ind &amp; Biotecnol, RA-1113 Buenos Aires, DF, Argentina.</t>
  </si>
  <si>
    <t>svazquez@ffyb.uba.ar</t>
  </si>
  <si>
    <t>Christie-Oleza, Joseph/B-5207-2011; Bosch, Rafael/K-2127-2019; Vazquez, Susana/AEP-5214-2022; Christie-Oleza, Joseph/AAJ-7581-2021; Bosch, Rafael/HKW-0778-2023; Christie-Oleza, Joseph Alexander/AAB-5447-2019; Bosch, Rafael/C-1563-2014; Lalucat, Jorge/K-1127-2014; Nogales, Balbina/L-4012-2014</t>
  </si>
  <si>
    <t>Vazquez, Susana/0000-0002-0760-6254; Bosch, Rafael/0000-0002-5140-4684; Christie-Oleza, Joseph Alexander/0000-0002-0992-2226; Bosch, Rafael/0000-0002-5140-4684; Ruberto, Lucas Adolfo Mauro/0000-0001-5604-772X; Lalucat, Jorge/0000-0002-8350-6087; Mac Cormack, Walter/0000-0002-5280-5463; Nogales, Balbina/0000-0001-5769-9500</t>
  </si>
  <si>
    <t>Argentinean Antarctic Institute [42]; National Agency for Scientific and Technical Researches [PICTO 11555]; University of Buenos Aires [UBACyT U007]; Argentinean Research Council (CONICET); Spanish Ministry of Education and Science (MEC) [VEM2003-20565, CTM2005-01783]; MEC</t>
  </si>
  <si>
    <t>Argentinean Antarctic Institute(ANPCyT); National Agency for Scientific and Technical Researches; University of Buenos Aires(University of Buenos Aires); Argentinean Research Council (CONICET)(Consejo Nacional de Investigaciones Cientificas y Tecnicas (CONICET)); Spanish Ministry of Education and Science (MEC)(Spanish Government); MEC</t>
  </si>
  <si>
    <t>This research was supported by grants from the Argentinean Antarctic Institute (IAA no. 42), the National Agency for Scientific and Technical Researches (PICTO 11555), and the University of Buenos Aires (UBACyT U007) as well as by a short-term travel fellowship from the Argentinean Research Council (CONICET). Research at the University of the Balearic Islands (UIB) was supported by grants VEM2003-20565 and CTM2005-01783 from the Spanish Ministry of Education and Science (MEC). B.N. was supported by a contract from the program Ramon y Cajal from MEC, and J.C-O by a fellowship of the Balearics Autonomous Government. The experience and assistance of logistic and technical personnel at Tte. Jubany Antarctic Station is also highly appreciated, as well as the support of the Scientific-Technical Services of the UIB during the operation of the genetic analyzer for fragment analysis.</t>
  </si>
  <si>
    <t>0095-3628</t>
  </si>
  <si>
    <t>1432-184X</t>
  </si>
  <si>
    <t>MICROB ECOL</t>
  </si>
  <si>
    <t>Microb. Ecol.</t>
  </si>
  <si>
    <t>10.1007/s00248-008-9420-9</t>
  </si>
  <si>
    <t>Ecology; Marine &amp; Freshwater Biology; Microbiology</t>
  </si>
  <si>
    <t>Environmental Sciences &amp; Ecology; Marine &amp; Freshwater Biology; Microbiology</t>
  </si>
  <si>
    <t>431EU</t>
  </si>
  <si>
    <t>WOS:000265044900002</t>
  </si>
  <si>
    <t>Van Houdt, R; De Boever, P; Coninx, I; Le Calvez, C; Dicasillati, R; Mahillon, J; Mergeay, M; Leys, N</t>
  </si>
  <si>
    <t>Van Houdt, Rob; De Boever, Patrick; Coninx, Ilse; Le Calvez, Claire; Dicasillati, Roberto; Mahillon, Jacques; Mergeay, Max; Leys, Natalie</t>
  </si>
  <si>
    <t>Evaluation of the Airborne Bacterial Population in the Periodically Confined Antarctic Base Concordia</t>
  </si>
  <si>
    <t>INTERNATIONAL-SPACE-STATION; CONTAMINATION; ENVIRONMENTS; SPHINGOMONAS; INFECTIONS; MICROFLORA; SURFACES; SERRATIA; SPREAD; DUST</t>
  </si>
  <si>
    <t>The environmental airborne bacterial population in relation to human confinement was investigated over a period of 1 year in the Concordia Research Station, which is located on the Eastern Antarctic plateau. The unique location of the station makes it suitable for different research domains such as glaciology, atmospheric sciences, astronomy, etc. Furthermore, it is used as a test bed for long-duration spaceflights to study the physiologic and psychological adaptation to isolated environments. A total of 96 samples were collected at eight different locations in the station at regular intervals. The airborne bacterial contamination was for 90% of the samples lower than 10.0 x 10(2) colony-forming units per cubic meter of air (CFU/m(3)) and the total bacterial contamination increased over time during confinement but diminished after re-opening of the base. Viable airborne bacteria with different morphology were identified by biochemical analyses. The predominant microflora was identified as Staphylococcus sp. (24.9% of total) and Bacillus sp. (11.6% of total) and was associated with human activity, but also environmental species such as Sphingomonas paucimobilis (belonging to the alpha-Proteobacteria) could establish themselves in the airborne population. A few opportunistic pathogens (6%) were also identified.</t>
  </si>
  <si>
    <t>[Van Houdt, Rob; De Boever, Patrick; Coninx, Ilse; Mergeay, Max; Leys, Natalie] Belgian Nucl Res Ctr, Mol &amp; Cellular Biol Lab, B-2400 Mol, Belgium; [Le Calvez, Claire] French Polar Inst Paul Emile Victor, F-29280 Plouzane, France; [Dicasillati, Roberto] PNRA, I-30100060 Rome, Italy; [Mahillon, Jacques] Catholic Univ Louvain, Lab Food &amp; Environm Microbiol, B-1348 Louvain, Belgium</t>
  </si>
  <si>
    <t>Belgian Nuclear Research Centre (SCK CEN); Universite Catholique Louvain; KU Leuven</t>
  </si>
  <si>
    <t>Van Houdt, R (corresponding author), Belgian Nucl Res Ctr, Mol &amp; Cellular Biol Lab, B-2400 Mol, Belgium.</t>
  </si>
  <si>
    <t>rob.van.houdt@sckcen.be</t>
  </si>
  <si>
    <t>De Boever, Patrick/AAA-8387-2019; Mergeay, Max/H-2003-2011; Van Houdt, Rob/B-8599-2011; Leys, Natalie/P-2761-2017</t>
  </si>
  <si>
    <t>De Boever, Patrick/0000-0002-5197-8215; Van Houdt, Rob/0000-0002-7459-496X; Leys, Natalie/0000-0002-4556-5211</t>
  </si>
  <si>
    <t>European Space Agency (ESA-PRODEX) [C90254]; Belgian Science Policy (Belspo); MISSEX partners</t>
  </si>
  <si>
    <t>European Space Agency (ESA-PRODEX)(European Space Agency); Belgian Science Policy (Belspo)(Belgian Federal Science Policy Office); MISSEX partners</t>
  </si>
  <si>
    <t>This study was financially supported by the European Space Agency (ESA-PRODEX) and the Belgian Science Policy (Belspo) through the MISSEX project (PRODEX agreements no. C90254). We are grateful to the MISSEX partners and to C. Lasseur, C. Paille, and B. Lamaze from ESTEC/ESA for their constant support and advice; and to IPEV and PNRA for logistics.</t>
  </si>
  <si>
    <t>10.1007/s00248-008-9462-z</t>
  </si>
  <si>
    <t>WOS:000265044900006</t>
  </si>
  <si>
    <t>Traversi, R; Becagli, S; Castellano, E; Cerri, O; Morganti, A; Severi, M; Udisti, R</t>
  </si>
  <si>
    <t>Traversi, R.; Becagli, S.; Castellano, E.; Cerri, O.; Morganti, A.; Severi, M.; Udisti, R.</t>
  </si>
  <si>
    <t>Study of Dome C site (East Antartica) variability by comparing chemical stratigraphies</t>
  </si>
  <si>
    <t>MICROCHEMICAL JOURNAL</t>
  </si>
  <si>
    <t>Antarctica; Dome C; Snowpit; Chemical analysis; Post-depositional effects</t>
  </si>
  <si>
    <t>TERRA-NOVA BAY; ICE CORES; METHANESULFONIC-ACID; METHANE SULFONATE; ANTARCTIC SNOW; SEA-SPRAY; NITRATE; LAYERS; MIGRATION; AEROSOLS</t>
  </si>
  <si>
    <t>This paper compares chemical stratigraphies from snowpits collected at Dome C (East Antarctica) in order to assess site variability in terms of spatial distribution of chemical markers, annual accumulation rate and chemical species persistence in the snow layers. Since Dome C was chosen for deep drilling down to the bedrock in the framework of EPICA (European Project for Ice Coring in Antarctica), to provide 800 kyr of climatic and environmental records, evaluating site variability is fundamental for a reliable interpretation of the deep ice core stratigraphies. For this purpose, 4 snowpits were dug at Dome C (1997/98. 1998/99, 2000/01 and 2005/06 Antarctic Campaigns) and analysed for cations, inorganic anions and methane sulphonate by ion chromatography. Unlike the first three snowpits, the most recent one was analysed directly in situ, allowing to observe that no chemical contamination or loss due to sample storage and transport to Europe occurs for such a sampling. Accumulation rate variability was revealed to be around 4% in a common time range (1992-1964) for all snowpits. Intra-snowpit chemical variability was definitely higher than inter-snowpit variability, indicating that the variations observed in the chemical stratigraphies from Dome C can be reliably related to effective changes in source and transport mechanisms of the investigated markers more than to site variability. Post-depositional phenomena affecting chloride, nitrate and methane sulphonate were studied, revealing a logarithmic decay as a function of depth for Cl- and MSA and an exponential one for NO3-. The relative losses were quantified in the 75-80% range for Cl-, 66-83% for MSA and 89-94% for NO3- and were found to stop around 320, 320 and 60-80 cm depth, respectively. (C) 2008 Elsevier B.V. All rights reserved.</t>
  </si>
  <si>
    <t>[Traversi, R.; Becagli, S.; Castellano, E.; Cerri, O.; Morganti, A.; Severi, M.; Udisti, R.] Univ Florence, Dept Chem, I-50019 Florence, Italy</t>
  </si>
  <si>
    <t>University of Florence</t>
  </si>
  <si>
    <t>Traversi, R (corresponding author), Univ Florence, Dept Chem, Via Lastruccia 3, I-50019 Florence, Italy.</t>
  </si>
  <si>
    <t>rita.traversi@unifi.it</t>
  </si>
  <si>
    <t>Becagli, Silvia/GNW-2665-2022; Udisti, Roberto/M-7966-2015; Traversi, Rita/M-7586-2015; Severi, Mirko/J-2508-2012</t>
  </si>
  <si>
    <t>Udisti, Roberto/0000-0003-4440-8238; Becagli, Silvia/0000-0003-3633-4849; Traversi, Rita/0000-0002-9790-2195; Severi, Mirko/0000-0003-1511-6762</t>
  </si>
  <si>
    <t>Italian Programma Nazionale di Ricerche in Antartide (PNRA); French-Italian Concordia Station</t>
  </si>
  <si>
    <t>This study was carried out within the framework of projects on Chemistry of Polar Environments and Glaciology funded by the Italian Programma Nazionale di Ricerche in Antartide (PNRA). The EPICA drilling operations at Dome C benefited from the support of the French-Italian Concordia Station.</t>
  </si>
  <si>
    <t>0026-265X</t>
  </si>
  <si>
    <t>1095-9149</t>
  </si>
  <si>
    <t>MICROCHEM J</t>
  </si>
  <si>
    <t>Microchem J.</t>
  </si>
  <si>
    <t>SI</t>
  </si>
  <si>
    <t>10.1016/j.microc.2008.08.007</t>
  </si>
  <si>
    <t>452DS</t>
  </si>
  <si>
    <t>WOS:000266520800002</t>
  </si>
  <si>
    <t>Severi, M; Becagli, S; Castellano, E; Morganti, A; Traversi, R; Udisti, R</t>
  </si>
  <si>
    <t>Severi, M.; Becagli, S.; Castellano, E.; Morganti, A.; Traversi, R.; Udisti, R.</t>
  </si>
  <si>
    <t>Thirty years of snow deposition at Talos Dome (Northern Victoria Land, East Antarctica): Chemical profiles and climatic implications</t>
  </si>
  <si>
    <t>Ion chromatography; Talos Dome; Principal Component Analysis; Southern Oscillation Index</t>
  </si>
  <si>
    <t>NINO-SOUTHERN-OSCILLATION; ICE-CORE; SEA-ICE; FLOW ANALYSIS; PRECIPITATION; SULFATE; FIRN; DIMETHYLSULFIDE; VARIABILITY; SULFUR</t>
  </si>
  <si>
    <t>The aim of this study was to use ion chromatographic methods to measure trace species under clean conditions in Antarctic snow samples. Both anionic and cationic contents of the snow samples were measured using preconcentration columns for both the ion chromatographic systems due to the low concentrations typical of Antarctic snow and ice samples. Samples were collected from a snow-pit dug in Talos Dome (East Antarctica) during the 2003-2004 Italian Antarctic Campaign to perform a preliminary survey of the site chosen for deep drilling in the framework of the TALos Dome ICE core (TALDICE) international project. Stratigraphic dating was attempted for the entire snow-pit, covering about 30 years, in order to achieve climatic information from the chemical profiles of the measured species. In particular, ions coming mainly from biogenic sources were investigated as potential markers for historical reconstruction of parameters expressing atmospheric and oceanic circulation, such as Southern Oscillation Index (SO[). For the studied period, a good correlation between biogenic species and SOI and sea-ice extent in the Ross Sea sector was observed, suggesting that these ions, as recorded in Talos Dome, can be used as markers for the reconstruction of the oceanic and atmospheric conditions in the past. (C) 2008 Elsevier B.V. All rights reserved.</t>
  </si>
  <si>
    <t>[Severi, M.; Becagli, S.; Castellano, E.; Morganti, A.; Traversi, R.; Udisti, R.] Univ Florence, Dept Chem, I-50019 Sesto Fiorentino, FI, Italy</t>
  </si>
  <si>
    <t>Severi, M (corresponding author), Univ Florence, Dept Chem, Via Lastruccia 3, I-50019 Sesto Fiorentino, FI, Italy.</t>
  </si>
  <si>
    <t>mirko.severi@unifi.it</t>
  </si>
  <si>
    <t>Udisti, Roberto/M-7966-2015; Becagli, Silvia/GNW-2665-2022; Severi, Mirko/J-2508-2012; Traversi, Rita/M-7586-2015</t>
  </si>
  <si>
    <t>Udisti, Roberto/0000-0003-4440-8238; Becagli, Silvia/0000-0003-3633-4849; Severi, Mirko/0000-0003-1511-6762; Traversi, Rita/0000-0002-9790-2195</t>
  </si>
  <si>
    <t>MIUR-PNRA; University of Milano-Bicocca; University of Venice; ITASE</t>
  </si>
  <si>
    <t>MIUR-PNRA(Ministry of Education, Universities and Research (MIUR)); University of Milano-Bicocca; University of Venice; ITASE</t>
  </si>
  <si>
    <t>This research was financially supported by the MIUR-PNRA program through a co-operation agreement among the PNRA consortium, University of Milano-Bicocca, and University of Venice in the framework of the Glaciology and Chemistry of Polar Environments projects. This work is an Italian contribution to the ITASE project.</t>
  </si>
  <si>
    <t>10.1016/j.microc.2008.08.004</t>
  </si>
  <si>
    <t>WOS:000266520800003</t>
  </si>
  <si>
    <t>Malandrino, M; Abollino, O; Buoso, S; Casalino, CE; Gasparon, M; Giacomino, A; La Gioia, C; Mentasti, E</t>
  </si>
  <si>
    <t>Malandrino, Mery; Abollino, Ornella; Buoso, Sandro; Casalino, Claudia Elena; Gasparon, Massimo; Giacomino, Agnese; La Gioia, Carmela; Mentasti, Edoardo</t>
  </si>
  <si>
    <t>Geochemical characterisation of Antarctic soils and lacustrine sediments from Terra Nova Bay</t>
  </si>
  <si>
    <t>Antarctic lakes; Soil; Sediment; Metal; Fractionation; Terra Nova Bay</t>
  </si>
  <si>
    <t>SEQUENTIAL EXTRACTION PROCEDURES; TRACE-METALS; VICTORIA LAND; LAKE-SEDIMENTS; CARBON; POINT; MOSS; IRON</t>
  </si>
  <si>
    <t>In Terra Nova Bay region (northern Victoria Land, Antarctica), the interactions among soil, meltwater and lakes are poorly understood with regard to the physicochemical transformations that occur when solid materials are exchanged among them. In order to ascertain the natural dynamics of several elements, namely Al, As, Ca, Cd, Cr, Cu, Fe, K, Mg, Mn, Na, Ni, P, Pb, Ti and Zn, as well as the perturbations by human activities and/or global contamination, soils and sediments from four catchments (Tarn Flat, Edmonson Point, Inexpressible Island and Northern Foothills) were studied. To accomplish the above mentioned objectives, the particle-size distribution and mineralogical composition, as well as the total C, H and N contents and the total concentrations of the investigated elements were determined. Finally in order to assess metal mobility, the modified BCR three-step sequential extraction procedure was applied to the samples and the partitioning of five metals, namely Cr, Fe, Mn, Pb and Zn, into different fractions was determined. Lithology and topography are the main factors that differentiate the physicochemical characteristics of the soils and sediments investigated. The lacustrine sediments and the soils sampled around the lakes showed a similar mineralogical and chemical composition, as evidence that rock- and soil-weathering processes occur primarily during the warm summer periods, when the lakes are partially ice-free. Nevertheless the presence of chlorite in these systems indicated that chemical weathering has taken place even in these extreme conditions. In general, the geochemical composition of soils and sediments in this Antarctic area seems to be influenced mainly by the nature of the bedrock and by the input of sea-spray, and, to a lesser degree, by mechanical and chemical weathering as well as by biological processes: no evidence of a local or global anthropogenic contamination was found. (C) 2008 Elsevier B.V. All rights reserved.</t>
  </si>
  <si>
    <t>[Malandrino, Mery; Abollino, Ornella; Buoso, Sandro; Casalino, Claudia Elena; Giacomino, Agnese; La Gioia, Carmela; Mentasti, Edoardo] Univ Turin, Dept Analyt Chem, I-10125 Turin, Italy; [Gasparon, Massimo] Univ Queensland, Dept Earth Sci, St Lucia, Qld 4072, Australia</t>
  </si>
  <si>
    <t>University of Turin; University of Queensland</t>
  </si>
  <si>
    <t>Mentasti, E (corresponding author), Univ Turin, Dept Analyt Chem, Via Giuria 5, I-10125 Turin, Italy.</t>
  </si>
  <si>
    <t>edoardo.mentasti@unito.it</t>
  </si>
  <si>
    <t>Abollino, Ornella/AAS-7412-2020</t>
  </si>
  <si>
    <t>Abollino, Ornella/0000-0003-2350-4941; GIACOMINO, AGNESE/0000-0001-6089-7751</t>
  </si>
  <si>
    <t>Italian National Research Program for Antarctica (PNRA)</t>
  </si>
  <si>
    <t>We are indebted with the Italian participants to the XVII, XVIII and XIX Expeditions to Antarctica, in the years 2001/02, 2002/03 and 2003/04, for carrying out the samplings. This research was supported by the Italian National Research Program for Antarctica (PNRA).</t>
  </si>
  <si>
    <t>10.1016/j.microc.2008.09.003</t>
  </si>
  <si>
    <t>WOS:000266520800004</t>
  </si>
  <si>
    <t>Stortini, AM; Martellini, T; Del Bubba, M; Lepri, L; Capodaglio, G; Cincinelli, A</t>
  </si>
  <si>
    <t>Stortini, A. M.; Martellini, T.; Del Bubba, M.; Lepri, L.; Capodaglio, G.; Cincinelli, A.</t>
  </si>
  <si>
    <t>n-Alkanes, PAHs and surfactants in the sea surface microlayer and sea water samples of the Gerlache Inlet sea (Antarctica)</t>
  </si>
  <si>
    <t>Hydrocarbons; Antarctica; Sea-surface microlayer; Subsurface; Enrichment</t>
  </si>
  <si>
    <t>POLYCYCLIC AROMATIC-HYDROCARBONS; MARINE ORGANIC-MATTER; ROSS SEA; BIOGENIC HYDROCARBONS; FULVIC-ACID; CONTAMINATION; SEAWATER; FRACTIONATION; VARIABILITY; EXTRACTION</t>
  </si>
  <si>
    <t>Sea surface microlayer (SML) and sea water samples (SSW) collected in the Gerlache Inlet Sea (Antarctica) were analysed for n-alkanes and polycyclic aromatic hydrocarbons (PAHs). The SML is a potential enrichment site of hydrophobic organic compounds compared to the underlying water column. Total concentration ranges of n-alkanes and PAHs (dissolved and particulate) in subsurface water (-0.5 m depth) were 272-553 ng l(-1) (mean: 448 ng l(-1)) and 5.27-9.43 ng l(-1) (mean: 7.06 ng l(-1)), respectively. In the SML, the concentration ranges of n-alkanes and PAHs were 353-968 ng l(-1) (mean: 611 ng l(-1)) and 7.32-23.94 ng l(-1) (mean: 13.22 ng l(-1)), respectively. To evaluate possible PAH contamination sources, specific PAH ratios were calculated. The ratios reflected a predominant petrogenic input. A characterisation of surface active substances was also performed on SML and SSW samples, both by gas bubble extraction, and by dynamic surface tension measurements. Results showed a good correlation between n-alkanes, PAHs and refractory organic matter. (C) 2008 Elsevier B.V. All rights reserved.</t>
  </si>
  <si>
    <t>[Martellini, T.; Del Bubba, M.; Lepri, L.; Cincinelli, A.] Univ Florence, Dept Chem, I-50019 Florence, Italy; [Stortini, A. M.; Capodaglio, G.] CNR, IDPA, Inst Dynam Environm Proc, I-30123 Venice, Italy; [Capodaglio, G.] Univ Ca Foscari Venice, Dept Environm Sci, I-30123 Venice, Italy</t>
  </si>
  <si>
    <t>University of Florence; Consiglio Nazionale delle Ricerche (CNR); Istituto per la Dinamica dei Processi Ambientali (IDPA-CNR); Universita Ca Foscari Venezia</t>
  </si>
  <si>
    <t>Cincinelli, A (corresponding author), Univ Florence, Dept Chem, Via Lastruccia 3, I-50019 Florence, Italy.</t>
  </si>
  <si>
    <t>acincinelli@unifi.it</t>
  </si>
  <si>
    <t>Capodaglio, Gabriele/D-5295-2014; Martellini, Tania/AAD-1095-2020; Cincinelli, Alessandra/A-8468-2011</t>
  </si>
  <si>
    <t>Capodaglio, Gabriele/0000-0002-3689-4865; Martellini, Tania/0000-0001-6803-1928; Cincinelli, Alessandra/0000-0002-6977-4595</t>
  </si>
  <si>
    <t>Italian National Programme for Antarctic Research (Programma Nazionale di Ricerche in Antartide - PNRA)</t>
  </si>
  <si>
    <t>We express many thanks for their helpful collaboration to: the whole staff of climantartide1 (in particular to Dr. A. Pellegrini, Dr. P. Grigione and Dr. U. Gentili) and Prof. B.M. Petronio and Dr. N. Calace (for FA data). This manuscript was funded by the Italian National Programme for Antarctic Research (Programma Nazionale di Ricerche in Antartide - PNRA).</t>
  </si>
  <si>
    <t>10.1016/j.microc.2008.11.005</t>
  </si>
  <si>
    <t>WOS:000266520800006</t>
  </si>
  <si>
    <t>Deagle, BE; Kirkwood, R; Jarman, SN</t>
  </si>
  <si>
    <t>Deagle, Bruce E.; Kirkwood, Roger; Jarman, Simon N.</t>
  </si>
  <si>
    <t>Analysis of Australian fur seal diet by pyrosequencing prey DNA in faeces</t>
  </si>
  <si>
    <t>MOLECULAR ECOLOGY</t>
  </si>
  <si>
    <t>Arctocephalus pusillus doriferus; Bass Strait; DNA barcoding; pinniped diet; GS-FLX; 454 sequencing</t>
  </si>
  <si>
    <t>PHOCA-VITULINA-RICHARDSI; ACID SIGNATURE ANALYSIS; SALMONID PREY; PREDATOR; PCR; IDENTIFICATION; ECOLOGY; SAMPLES; GENOME; SCATS</t>
  </si>
  <si>
    <t>DNA-based techniques have proven useful for defining trophic links in a variety of ecosystems and recently developed sequencing technologies provide new opportunities for dietary studies. We investigated the diet of Australian fur seals (Arctocephalus pusillus doriferus) by pyrosequencing prey DNA from faeces collected at three breeding colonies across the seals' range. DNA from 270 faecal samples was amplified with four polymerase chain reaction primer sets and a blocking primer was used to limit amplification of fur seal DNA. Pooled amplicons from each colony were sequenced using the Roche GS-FLX platform, generating &gt; 20 000 sequences. Software was developed to sort and group similar sequences. A total of 54 bony fish, 4 cartilaginous fish and 4 cephalopods were identified based on the most taxonomically informative amplicons sequenced (mitochondrial 16S). The prevalence of sequences from redbait (Emmelichthys nitidus) and jack mackerel (Trachurus declivis) confirm the importance of these species in the seals' diet. A third fish species, blue mackerel (Scomber australasicus), may be a more important prey species than previously recognised. There were major differences in the proportions of prey DNA recovered in faeces from different colonies, probably reflecting differences in prey availability. Parallel hard-part analysis identified largely the same main prey species as did the DNA-based technique, but with lower species diversity and no remains from cartilaginous prey. The pyrosequencing approach presented significantly expands the capabilities of DNA-based methods of dietary analysis and is suitable for large-scale diet investigations on a broad range of animals.</t>
  </si>
  <si>
    <t>[Deagle, Bruce E.; Jarman, Simon N.] Australian Marine Mammal Ctr, Australian Antarctic Div, Kingston, Tas, Australia; [Deagle, Bruce E.; Kirkwood, Roger] Res Dept, Cowes, Vic 3922, Australia</t>
  </si>
  <si>
    <t>Australian Antarctic Division</t>
  </si>
  <si>
    <t>Deagle, BE (corresponding author), Univ Victoria, Dept Biol, POB 302, Victoria, BC V8W 3N5, Canada.</t>
  </si>
  <si>
    <t>bdeagle@uvic.ca</t>
  </si>
  <si>
    <t>Deagle, Bruce E/R-2999-2019; 赵, 鹏/B-8401-2009; Deagle, Bruce E/A-9854-2008; Jarman, Simon/H-9265-2016</t>
  </si>
  <si>
    <t>Deagle, Bruce E/0000-0001-7651-3687; Jarman, Simon/0000-0002-0792-9686; Kirkwood, Roger/0000-0003-4221-4050</t>
  </si>
  <si>
    <t>0962-1083</t>
  </si>
  <si>
    <t>1365-294X</t>
  </si>
  <si>
    <t>MOL ECOL</t>
  </si>
  <si>
    <t>Mol. Ecol.</t>
  </si>
  <si>
    <t>10.1111/j.1365-294X.2009.04158.x</t>
  </si>
  <si>
    <t>Biochemistry &amp; Molecular Biology; Ecology; Evolutionary Biology</t>
  </si>
  <si>
    <t>Biochemistry &amp; Molecular Biology; Environmental Sciences &amp; Ecology; Evolutionary Biology</t>
  </si>
  <si>
    <t>433FJ</t>
  </si>
  <si>
    <t>WOS:000265189400018</t>
  </si>
  <si>
    <t>Curtis, C; Stewart, BS; Karl, SA</t>
  </si>
  <si>
    <t>Curtis, Caitlin; Stewart, Brent S.; Karl, Stephen A.</t>
  </si>
  <si>
    <t>Pleistocene population expansions of Antarctic seals</t>
  </si>
  <si>
    <t>genetically effective population size; mitochondrial DNA; pinniped; theta</t>
  </si>
  <si>
    <t>GENETIC DIVERSITY; WEDDELL SEALS; SITE FIDELITY; MCMURDO-SOUND; GROWTH; EVOLUTION; PINNIPEDS; SEQUENCES; PATTERNS; SURVIVAL</t>
  </si>
  <si>
    <t>We sequenced a portion (c. 475 bp) of the mitochondrial control region of three species of Antarctic phocid carnivores (Weddell seal, Leptonychotes weddellii, N = 181; crabeater seal, Lobodon carcinophaga, N = 143; and Ross seal, Ommatophoca rossii, N = 41) that live seasonally or permanently in the fast ice and seasonal pack ice of the western Amundsen and Ross seas of western Antarctica. We resolved 251 haplotypes with a haplotype diversity of 0.98 to 0.99. Bayesian estimates of Theta from the program LAMARC ranged from 0.075 for Weddell seals to 0.576 for crabeater seals. We used the values of theta to estimate female effective population sizes (N-EF), which were 40 700 to 63 000 for Weddell seals, 44 400 to 97 800 for Ross seals, and 358 500 to 531 900 for crabeater seals. We used mismatch distributions to test for historical population size expansions. Weddell seals and crabeater seals had significant, unimodal mean pairwise difference distributions (P = 0.56 and 0.36, respectively), suggesting that their populations expanded suddenly around 731 000 years ago (Weddell seals) and around 1.6 million years ago (crabeater seals). Both of these expansions occurred during times of intensified glaciations and may have been fostered by expanding pack ice habitat.</t>
  </si>
  <si>
    <t>[Karl, Stephen A.] Univ Hawaii Manoa, Hawaii Inst Marine Biol, Kaneohe, HI 96744 USA; [Curtis, Caitlin] Univ S Florida, Dept Biol, SCA 110, Tampa, FL 33620 USA; [Stewart, Brent S.] Hubbs SeaWorld Res Inst, San Diego, CA 92109 USA</t>
  </si>
  <si>
    <t>University of Hawaii System; University of Hawaii Manoa; State University System of Florida; University of South Florida</t>
  </si>
  <si>
    <t>Karl, SA (corresponding author), Univ Hawaii Manoa, Hawaii Inst Marine Biol, POB 1346, Kaneohe, HI 96744 USA.</t>
  </si>
  <si>
    <t>skarl@hawaii.edu</t>
  </si>
  <si>
    <t>Curtis, Caitlin/D-2391-2014; Curtis, Caitlin/E-5282-2019</t>
  </si>
  <si>
    <t>Curtis, Caitlin/0000-0002-6284-284X; Curtis, Caitlin/0000-0002-6284-284X</t>
  </si>
  <si>
    <t>American Museum of Natural History; Lerner-Gray Grant; National Science Foundation [OPP98-16011, OPP98-16035, DEB98-06905, DEB03-21924]</t>
  </si>
  <si>
    <t>American Museum of Natural History; Lerner-Gray Grant; National Science Foundation(National Science Foundation (NSF))</t>
  </si>
  <si>
    <t>Skin samples from Antarctic seals were collected by BSS during a multidisciplinary research cruise to the Ross and Amundsen seas from December 1999 through February 2000. Funding for this study was provided by an American Museum of Natural History, Lerner-Gray Grant to C.C. and by the National Science Foundation grants OPP98-16011 and OPP98-16035 to B.S.S. and DEB98-06905 and DEB03-21924 to S.A.K. The research was authorized by research permits 976 under the US Marine Mammal Protection Act and 2000-2001 under The US Antarctic Conservation Act. The research was approved by the Institutional Animal Care and Use Committee of Hubbs-SeaWorld Research Institute, which is registered as a Research Facility with the US Department of Agriculture-Animal and Plant inspection Service. We thank three anonymous reviews for extensive and thoughtful comments that greatly improved this manuscript. This is SOEST contribution no. 7615 and HIMB contribution no. 1334.</t>
  </si>
  <si>
    <t>10.1111/j.1365-294X.2009.04166.x</t>
  </si>
  <si>
    <t>441MW</t>
  </si>
  <si>
    <t>WOS:000265774300007</t>
  </si>
  <si>
    <t>Strugnell, JM; Allcock, AL; Watts, PC</t>
  </si>
  <si>
    <t>Strugnell, Jan M.; Allcock, A. Louise; Watts, Phillip C.</t>
  </si>
  <si>
    <t>Microsatellite loci from the endemic Southern Ocean octopus Adelieledone polymorpha (Robson, 1930)</t>
  </si>
  <si>
    <t>MOLECULAR ECOLOGY RESOURCES</t>
  </si>
  <si>
    <t>Adelieledone polymorpha; Antarctica; microsatellites; population structure; Southern Ocean</t>
  </si>
  <si>
    <t>To determine the pattern of spatial genetic structure in the endemic Southern Ocean octopus Adelieledone polymorpha, microsatellite loci were isolated from partial genomic libraries enriched for repetitive DNA motifs. Seven dinucleotide and two trinucleotide microsatellite loci were isolated successfully and levels of polymorphism were quantified in 34 individuals sampled from the Southern Ocean near South Georgia. No pairs of microsatellite loci were linked significantly; however, one locus deviated (P &lt; 0.05) from Hardy-Weinberg equilibrium. Overall, the nine loci produced between five and 16 alleles, with observed and expected heterozygosities varying between 0.22 and 0.86 and between 0.21 and 0.94 respectively. This is the first description of microsatellite loci from an octopus endemic to the Southern Ocean, and these genetic markers are being used to quantify spatial structure within A. polymorpha.</t>
  </si>
  <si>
    <t>[Strugnell, Jan M.] Univ Cambridge, Dept Zool, Cambridge CB2 3EJ, England; [Allcock, A. Louise] Natl Univ Ireland, Martin Ryan Marine Sci Inst, Galway, Ireland; [Watts, Phillip C.] Univ Liverpool, Sch Biol Sci, Liverpool L69 7ZB, Merseyside, England</t>
  </si>
  <si>
    <t>University of Cambridge; Ollscoil na Gaillimhe-University of Galway; University of Liverpool</t>
  </si>
  <si>
    <t>Strugnell, JM (corresponding author), Univ Cambridge, Dept Zool, Downing St, Cambridge CB2 3EJ, England.</t>
  </si>
  <si>
    <t>jan.strugnell@gmail.com</t>
  </si>
  <si>
    <t>Allcock, Louise/A-7359-2012; Strugnell, Jan/B-1698-2010; Strugnell, Jan M/P-9921-2016; Watts, Phill/G-7257-2011</t>
  </si>
  <si>
    <t>Allcock, Louise/0000-0002-4806-0040; Watts, Phillip/0000-0001-7755-187X; Strugnell, Jan/0000-0003-2994-637X</t>
  </si>
  <si>
    <t>NERC [NE/C506321/1]; Lloyd's Tercentenary; Antarctic Science Bursary; Systematics Association; Edith Mary Pratt Musgrave Fund; CoSyst; Natural Environment Research Council [NE/C506321/1] Funding Source: researchfish</t>
  </si>
  <si>
    <t>NERC(UK Research &amp; Innovation (UKRI)Natural Environment Research Council (NERC)); Lloyd's Tercentenary; Antarctic Science Bursary; Systematics Association; Edith Mary Pratt Musgrave Fund; CoSyst; Natural Environment Research Council(UK Research &amp; Innovation (UKRI)Natural Environment Research Council (NERC))</t>
  </si>
  <si>
    <t>We thank the Alfred Wegner Institute, British Antarctic Survey, the South Georgia Government and MRAG for provision of sea time and to all colleagues who facilitated sea time or assisted on board. J.M.S. is supported by NERC AFI NE/C506321/1 awarded to A.L.A., a Lloyd's Tercentenary Fellowship, an Antarctic Science Bursary, the Systematics Association and the Edith Mary Pratt Musgrave Fund and a CoSyst grant awarded to J.M.S. and P.C.W. This is CAML publication no. 18 and is a contribution to Evolution and Biodiversity in the Antarctic: the Response of Life to Change (EBA).</t>
  </si>
  <si>
    <t>1755-098X</t>
  </si>
  <si>
    <t>MOL ECOL RESOUR</t>
  </si>
  <si>
    <t>Mol. Ecol. Resour.</t>
  </si>
  <si>
    <t>10.1111/j.1755-0998.2009.02580.x</t>
  </si>
  <si>
    <t>443GC</t>
  </si>
  <si>
    <t>WOS:000265897200118</t>
  </si>
  <si>
    <t>Tsang, LM; Chan, TY; Cheung, MK; Chu, KH</t>
  </si>
  <si>
    <t>Tsang, L. M.; Chan, T. -Y.; Cheung, M. K.; Chu, K. H.</t>
  </si>
  <si>
    <t>Molecular evidence for the Southern Hemisphere origin and deep-sea diversification of spiny lobsters (Crustacea: Decapoda: Palinuridae)</t>
  </si>
  <si>
    <t>MOLECULAR PHYLOGENETICS AND EVOLUTION</t>
  </si>
  <si>
    <t>Phosphoenolpyruvate carboxykinase; Sodium-potassium ATPase; Histone 3; Synaxidae; Achelata</t>
  </si>
  <si>
    <t>PHYLOGENETIC-RELATIONSHIPS; EVOLUTION; SPECIATION; RESOLUTION; PATTERNS; EOCENE; MODEL</t>
  </si>
  <si>
    <t>Spiny lobsters (family Palinuridae) are economically important marine animals that have been the subject of a considerable amount of research, However, the phylogeny of this group remains disputed, Morphological analyses have not been able to resolve the relationships of the various members of the group, and no agreement has yet been reached on its phylogeny as indicated by the different gene trees reported to date. In the present study, we attempt to reconstruct the phylogeny of Palinuridae and its allies using sequences from three nuclear Protein-coding genes (phosphoenolpyruvate carboxykinase, sodium-potassium ATPase alpha- subunit and histone 3). The inferred topology receives strong nodal support for most of the branches. The family Palinuridae is found to be paraphyletic with the polyphyletic Synaxidae nested within it. Stridentes forms a monophyletic assemblage, indicating that the stridulating sound producing Organ evolved only once in the spiny lobsters. By contrast, Silentes is paraphyletic, as Palinurellus is more closely related to Stridentes than to other Silentes genera. The three genera restricted to the southern high latitudes Jasus, Projasus and Sagmariasus) constitute the basal lineages in the spiny lobsters, suggesting a Southern Hemisphere origin for the group. Subsequent diversification appears to have been driven by the closure of the Tethys Sea and the formation of the Antarctic circumpolar current, which isolated the northern and southern taxa. Contrary to an earlier hypothesis that postulated evolution from a deep-sea ancestral stock, the shallow-water genus Panulirus is the basal taxon in Stridentes, while the deep-sea genera Puerulus and Linuparus are found to be derived. This indicates that the spiny lobsters invaded deep-sea habitats from the shallower water rocky reefs and then radiated. Our results suggest that Synaxidae is not a valid family, and should be considered to be synonymous with Palinuridae. We also found that the previously proposed subgenera Sagmariasus and Nupalirus are genetically highly diverged, and both warrant a generic status. (C) 2009 Elsevier Inc. All rights reserved.</t>
  </si>
  <si>
    <t>[Tsang, L. M.; Cheung, M. K.; Chu, K. H.] Chinese Univ Hong Kong, Dept Biol, Shatin, Hong Kong, Peoples R China; [Chan, T. -Y.] Natl Taiwan Ocean Univ, Inst Marine Biol, Chilung, Taiwan</t>
  </si>
  <si>
    <t>Chinese University of Hong Kong; National Taiwan Ocean University</t>
  </si>
  <si>
    <t>Chu, KH (corresponding author), Chinese Univ Hong Kong, Dept Biol, Shatin, Hong Kong, Peoples R China.</t>
  </si>
  <si>
    <t>kahouchu@cuhk.edu.hk</t>
  </si>
  <si>
    <t>Tsang, Ling Ming/D-9363-2012; Cheung, Man Kit/E-5696-2012; Cheung, Man Kit/M-6972-2019; Chu, Ka Hou/B-8010-2011; Tsang, Ling Ming/Q-7628-2018</t>
  </si>
  <si>
    <t>Cheung, Man Kit/0000-0002-2764-2113; Chu, Ka Hou/0000-0001-8107-5415; Tsang, Ling Ming/0000-0002-5029-5690</t>
  </si>
  <si>
    <t>Hong Kong Special Administrative Region, China [4419/04M]; National Science Council, Taiwan; National Taiwan Ocean University</t>
  </si>
  <si>
    <t>Hong Kong Special Administrative Region, China; National Science Council, Taiwan(Ministry of Science and Technology, Taiwan); National Taiwan Ocean University</t>
  </si>
  <si>
    <t>The authors thank A. Crosnier and R. Cleva of the Museum national d'Histoire naturelle, Paris (MNHN) for allowing us to use the materials of their museum for the present study, and S. Lavery of the University of Auckland, Peter K.L. Ng of the National University of Singapore and P. Davie of the Queensland Museum for providing specimens of Sagmariasus verreauxi, Palinurellus wieneckii and Palibythus magnificus, respectively. The material from the Philippines used in the study was collected by the Philippine PANGLAO 2004 expedition. The PANGLAO 2004 Marine Biodiversity Project was a collaboration between MNHN (Principal Investigator, P. Bouchet) and the University of San Carlos, Cebu City (Principal Investigator, D. Largo). The project was supported by the Total Foundation for Biodiversity and the Sea, the French Ministry of Foreign Affairs, and the ASEAN Regional Center for Biodiversity Conservation. The Philippines Bureau of Fisheries and Aquatic Resources is acknowledged for issuing a research permit on the material collected by the PANGLAO 2004. We are also indebted to Dr. D. Wilmshurst (The Chinese University of Hong Kong) and two anonymous reviewers for comments on the manuscript. The work presented in this paper was supported by a grant from the Research Grants Council of the Hong Kong Special Administrative Region, China (Project No. 4419/04M) to KHC and grants from the National Science Council, Taiwan and Center for Marine Bioscience and Biotechnology of the National Taiwan Ocean University to TYC.</t>
  </si>
  <si>
    <t>1055-7903</t>
  </si>
  <si>
    <t>1095-9513</t>
  </si>
  <si>
    <t>MOL PHYLOGENET EVOL</t>
  </si>
  <si>
    <t>Mol. Phylogenet. Evol.</t>
  </si>
  <si>
    <t>10.1016/j.ympev.2009.01.015</t>
  </si>
  <si>
    <t>Biochemistry &amp; Molecular Biology; Evolutionary Biology; Genetics &amp; Heredity</t>
  </si>
  <si>
    <t>442AL</t>
  </si>
  <si>
    <t>WOS:000265812000015</t>
  </si>
  <si>
    <t>C</t>
  </si>
  <si>
    <t>Distefano, C</t>
  </si>
  <si>
    <t>Distefano, C.</t>
  </si>
  <si>
    <t>KM3Net Consortium</t>
  </si>
  <si>
    <t>KM3NeT: towards a km3-scale neutrino telescope in the Mediterranean Sea</t>
  </si>
  <si>
    <t>NUCLEAR PHYSICS B-PROCEEDINGS SUPPLEMENTS</t>
  </si>
  <si>
    <t>Proceedings Paper</t>
  </si>
  <si>
    <t>Cosmic Ray International Seminar</t>
  </si>
  <si>
    <t>SEP 15-19, 2008</t>
  </si>
  <si>
    <t>Malfa, ITALY</t>
  </si>
  <si>
    <t>LIGHT; SITE</t>
  </si>
  <si>
    <t>The observation of high energy neutrinos (greater than or similar to 1 TeV) from astrophysical sources would substantially improve our knowledge and understanding of the non-thermal processes in these sources, and would in particular pinpoint the accelerators of cosmic rays. Theoretical predictions indicate that km(3)-scale detectors are needed to detect astrophysical neutrino fluxes. That is the reason why the three Mediterranean experiments, ANTARES, NEMO and NESTOR are working together on preparing KM3NeT, a large deep-sea neutrino telescope in the Mediterranean Sea which will survey a large part of the Galactic disc, including the Galactic Centre. It will complement the IceCube telescope currently under construction at the South Pole. Furthermore, the improved optical properties of sea water, compared to Antarctic ice, will allow for a better angular resolution and hence a better background rejection. The construction of this detector will require the solution of technological problems common to many deep submarine installations, and will help paving the way for other deep-sea research facilities. In this paper the major activities and the status of KM3NeT are presented.</t>
  </si>
  <si>
    <t>[Distefano, C.] Ist Nazl Fis Nucl, Lab Nazl Sud, I-95123 Catania, Italy</t>
  </si>
  <si>
    <t>Istituto Nazionale di Fisica Nucleare (INFN)</t>
  </si>
  <si>
    <t>Distefano, C (corresponding author), Ist Nazl Fis Nucl, Lab Nazl Sud, Via S Sofia 62, I-95123 Catania, Italy.</t>
  </si>
  <si>
    <t>distefano_c@lns.infn.it</t>
  </si>
  <si>
    <t>Riccobene, Giorgio/A-4502-2010; Capone, Antonio/F-1098-2010; Distefano, Carla/G-5213-2016; Orlando, Angelo/B-5146-2015</t>
  </si>
  <si>
    <t>Riccobene, Giorgio/0000-0002-0600-2774; Distefano, Carla/0000-0001-8632-1136; Orlando, Angelo/0000-0002-0631-4436</t>
  </si>
  <si>
    <t>0920-5632</t>
  </si>
  <si>
    <t>NUCL PHYS B-PROC SUP</t>
  </si>
  <si>
    <t>Nucl. Phys. B-Proc. Suppl.</t>
  </si>
  <si>
    <t>10.1016/j.nuclphysbps.2009.03.076</t>
  </si>
  <si>
    <t>Physics, Particles &amp; Fields</t>
  </si>
  <si>
    <t>Conference Proceedings Citation Index - Science (CPCI-S)</t>
  </si>
  <si>
    <t>Physics</t>
  </si>
  <si>
    <t>461HB</t>
  </si>
  <si>
    <t>WOS:000267254300017</t>
  </si>
  <si>
    <t>Luque, SP; Ferguson, SH</t>
  </si>
  <si>
    <t>Luque, Sebastian P.; Ferguson, Steven H.</t>
  </si>
  <si>
    <t>Ecosystem regime shifts have not affected growth and survivorship of eastern Beaufort Sea belugas</t>
  </si>
  <si>
    <t>OECOLOGIA</t>
  </si>
  <si>
    <t>Aleutian low pressure index; Climate change; Food availability; North Pacific Ocean; Pacific decadal oscillation</t>
  </si>
  <si>
    <t>WHALE DELPHINAPTERUS-LEUCAS; ANTARCTIC FUR SEALS; SEQUENTIAL MEGAFAUNAL COLLAPSE; NORTHERN BERING-SEA; EUMETOPIAS-JUBATUS; BODY-SIZE; AUTUMN MOVEMENTS; STABLE ISOTOPES; MARINE MAMMALS; POPULATION</t>
  </si>
  <si>
    <t>Large-scale ocean-atmosphere physical dynamics can have profound impacts on the structure and organization of marine ecosystems. These changes have been termed regime shifts, and five different episodes have been detected in the North Pacific Ocean, with concurrent changes also occurring in the Bering and Beaufort Seas. Belugas from the Eastern Beaufort Sea (EBS) use the Bering Sea during winter and the Beaufort Sea during summer, yet the potential effects of regime shifts on belugas have not been assessed. We investigated whether body size and survivorship of EBS belugas harvested in the Mackenzie River delta region between 1993 and 2003 have been affected by previous purported regime shifts in the North Pacific. Residuals from the relationship between body length and age were calculated and compared among belugas born between 1932 and 1989. Residual body size was not significantly related to birth year for any regime, nor to the age group individuals belonged to during any regime. The percentage deviation in number of belugas born in any given year that survived to be included in the hunt (survivorship) did not show any significant trend within or between regimes. Accounting for lags of 1-5 years did not reveal any evidence of delayed effects. Furthermore, neither population index was significantly related to changes in major climatic variables that precede regime shifts. Our results suggest that EBS beluga body size and survivorship have not been affected by the major regime shifts of the North Pacific and the adjacent Bering and Beaufort Seas. EBS belugas may have been able to modify their diet without compromising their growth and survivorship. Diet and reproductive analyses over large and small time scales can help understand the mechanisms enabling belugas to avoid significant growth and reproductive effects of past regime shifts.</t>
  </si>
  <si>
    <t>[Luque, Sebastian P.] Mem Univ Newfoundland, Dept Biol, St John, NF A1B 3X9, Canada; [Ferguson, Steven H.] Fisheries &amp; Oceans Canada, Winnipeg, MB R3T 2N6, Canada</t>
  </si>
  <si>
    <t>Memorial University Newfoundland; Fisheries &amp; Oceans Canada</t>
  </si>
  <si>
    <t>Luque, SP (corresponding author), Mem Univ Newfoundland, Dept Biol, St John, NF A1B 3X9, Canada.</t>
  </si>
  <si>
    <t>spluque@gmail.com</t>
  </si>
  <si>
    <t>Luque, Susana/A-6607-2018</t>
  </si>
  <si>
    <t>LUQUE, SONIA/0000-0002-3215-320X</t>
  </si>
  <si>
    <t>Fisheries Joint Management Committee</t>
  </si>
  <si>
    <t>We thank the Fisheries Joint Management Committee for financial support for this study. We are grateful to Blair Dunn, Lois Harwood, Pierre Richard, and Robert Stewart who provided invaluable access to original data and feedback during elaboration of this manuscript. We thank the communities of the Inuvialuit Settlement Region, without whose collaboration this work would not have been possible. Two anonymous reviewers and editorial comments helped improve this paper. The beluga subsistence hunt and sample collection were carried out under Canadian law.</t>
  </si>
  <si>
    <t>0029-8549</t>
  </si>
  <si>
    <t>1432-1939</t>
  </si>
  <si>
    <t>Oecologia</t>
  </si>
  <si>
    <t>10.1007/s00442-009-1300-6</t>
  </si>
  <si>
    <t>Ecology</t>
  </si>
  <si>
    <t>444WI</t>
  </si>
  <si>
    <t>WOS:000266010700016</t>
  </si>
  <si>
    <t>Hassold, NJC; Rea, DK; van der Pluijm, BA; Parés, JM</t>
  </si>
  <si>
    <t>Hassold, Noralynn J. C.; Rea, David K.; van der Pluijm, Ben A.; Pares, Josep M.</t>
  </si>
  <si>
    <t>A physical record of the Antarctic Circumpolar Current: Late Miocene to recent slowing of abyssal circulation</t>
  </si>
  <si>
    <t>PALAEOGEOGRAPHY PALAEOCLIMATOLOGY PALAEOECOLOGY</t>
  </si>
  <si>
    <t>Antarctic Circumpolar Current; ODP leg 178; Miocene; Magnetic fabric; Grain size</t>
  </si>
  <si>
    <t>PACIFIC MARGIN; SEDIMENT DRIFT; LATE NEOGENE; PENINSULA; GLACIATION; INDICATORS; INITIATION; STABILITY; EVOLUTION; PLIOCENE</t>
  </si>
  <si>
    <t>Sediments recovered from a drift deposit lying along the Pacific margin of the Antarctic Peninsula, (ODP Leg 178, Site 1095) provide a physical record of the Antarctic Circumpolar Current since late Miocene time. Determination of the strength of the magnetic fabric, anisotropy of magnetic susceptibility, provides a proxy for current strength. Fabric strength declines throughout the record from high values in the late Miocene; a pronounced step occurs between 5.0 and 5.5 Ma, and values decrease more gradually since about 3.0 Ma. The mass accumulation rate of terrigenous sediment derived from the Antarctic Peninsula indicates stabilization of the Antarctic Peninsula Ice Cap prior to about 8.5 Ma. (c) 2009 Elsevier B.V. All rights reserved.</t>
  </si>
  <si>
    <t>[Hassold, Noralynn J. C.; Rea, David K.; van der Pluijm, Ben A.; Pares, Josep M.] Univ Michigan, Dept Geol Sci, Ann Arbor, MI 48109 USA</t>
  </si>
  <si>
    <t>University of Michigan System; University of Michigan</t>
  </si>
  <si>
    <t>Hassold, NJC (corresponding author), Univ Michigan, Dept Geol Sci, 1006 CC Little Bldg, Ann Arbor, MI 48109 USA.</t>
  </si>
  <si>
    <t>nhassold@umich.edu; davidrea@umich.edu; vdpluijm@umich.edu; jmpares@umich.edu</t>
  </si>
  <si>
    <t>van der Pluijm, Ben/M-3155-2019; Pares, Josep M./K-9299-2014</t>
  </si>
  <si>
    <t>van der Pluijm, Ben/0000-0001-7737-2791;</t>
  </si>
  <si>
    <t>National Science Foundation Office of Polar Programs [OPP-0337091]</t>
  </si>
  <si>
    <t>National Science Foundation Office of Polar Programs(National Science Foundation (NSF)NSF - Directorate for Geosciences (GEO))</t>
  </si>
  <si>
    <t>We thank Walter Hale and the ODP Bremen Repository staff for their help in obtaining the samples used in this study. N. Hassold would like to thank the Department of Geological Sciences at the University of Michigan for providing a Turner Research Grant funding for travel to Bremen to obtain the core samples. Also, we thank Jamie Gleason and Andrea Stancin for the radiogenic isotope analyses and Courtney Fritz and Marlon jean for their work on the chemical treatment of the samples. This work has been supported by the National Science Foundation Office of Polar Programs, grant OPP-0337091.</t>
  </si>
  <si>
    <t>0031-0182</t>
  </si>
  <si>
    <t>1872-616X</t>
  </si>
  <si>
    <t>PALAEOGEOGR PALAEOCL</t>
  </si>
  <si>
    <t>Paleogeogr. Paleoclimatol. Paleoecol.</t>
  </si>
  <si>
    <t>10.1016/j.palaeo.2009.01.011</t>
  </si>
  <si>
    <t>Geography, Physical; Geosciences, Multidisciplinary; Paleontology</t>
  </si>
  <si>
    <t>Physical Geography; Geology; Paleontology</t>
  </si>
  <si>
    <t>444PY</t>
  </si>
  <si>
    <t>WOS:000265994100003</t>
  </si>
  <si>
    <t>Whittle, RJ; Gabbott, SE; Aldridge, RJ; Theron, J</t>
  </si>
  <si>
    <t>Whittle, Rowan J.; Gabbott, Sarah E.; Aldridge, Richard J.; Theron, Johannes</t>
  </si>
  <si>
    <t>AN ORDOVICIAN LOBOPODIAN FROM THE SOOM SHALE LAGERSTATTE, SOUTH AFRICA</t>
  </si>
  <si>
    <t>PALAEONTOLOGY</t>
  </si>
  <si>
    <t>Lagerstatte; lobopodian; Ordovician; Soom Shale</t>
  </si>
  <si>
    <t>TABLE MOUNTAIN-GROUP; CHENGJIANG FAUNA; XENUSIID LOBOPOD; PRESERVATION; ONYCHOPHORAN; ARTHROPOD; TAPHONOMY; EXAMPLE; ORIGIN; TISSUE</t>
  </si>
  <si>
    <t>The first lobopodian known from the Ordovician is described from the Soom Shale Lagerstatte, South Africa. The organism shows features homologous to Palaeozoic marine lobopodians described from the Middle Cambrian Burgess Shale, the Lower Cambrian Chengjiang biota, the Lower Cambrian Sirius Passet Lagerstatte and the Lower Cambrian of the Baltic. The discovery provides a link between marine Cambrian lobopodians and younger forms from the Silurian and Carboniferous. The new fossil preserves an annulated trunk, lobopods with clear annulations, and curved claws. It represents a rare record of a benthic organism from the Soom Shale, and demonstrates intermittent water oxygenation during the deposition of the unit.</t>
  </si>
  <si>
    <t>[Theron, Johannes] Univ Stellenbosch, Dept Geol, ZA-7602 Stellenbosch, South Africa; [Whittle, Rowan J.; Gabbott, Sarah E.; Aldridge, Richard J.] Univ Leicester, Dept Geol, Leicester LE1 7RH, Leics, England</t>
  </si>
  <si>
    <t>Stellenbosch University; University of Leicester</t>
  </si>
  <si>
    <t>Whittle, RJ (corresponding author), British Antarctic Survey, Madingley Rd, Cambridge CB3 0ET, England.</t>
  </si>
  <si>
    <t>ra12@le.ac.uk; sg21@le.ac.uk; jntfynbo@iafrica.com; roit@bas.ac.uk</t>
  </si>
  <si>
    <t>Aldridge, Richard J/C-1856-2012</t>
  </si>
  <si>
    <t>NERC [bas010013] Funding Source: UKRI; Natural Environment Research Council [bas010013] Funding Source: researchfish</t>
  </si>
  <si>
    <t>0031-0239</t>
  </si>
  <si>
    <t>1475-4983</t>
  </si>
  <si>
    <t>Paleontology</t>
  </si>
  <si>
    <t>10.1111/j.1475-4983.2009.00860.x</t>
  </si>
  <si>
    <t>446HM</t>
  </si>
  <si>
    <t>WOS:000266112700004</t>
  </si>
  <si>
    <t>Zawilska, JB; Skene, DJ; Arendt, J</t>
  </si>
  <si>
    <t>Zawilska, Jolanta B.; Skene, Debra J.; Arendt, Josephine</t>
  </si>
  <si>
    <t>Physiology and pharmacology of melatonin in relation to biological rhythms</t>
  </si>
  <si>
    <t>PHARMACOLOGICAL REPORTS</t>
  </si>
  <si>
    <t>melatonin; AANAT; melatonin receptors; pineal gland; retina; circadian rhythm; light; photoperiod; circadian rhythm sleep disorders</t>
  </si>
  <si>
    <t>SEROTONIN N-ACETYLTRANSFERASE; HUMAN CIRCADIAN-RHYTHMS; PHASE RESPONSE CURVE; CHICK PINEAL-GLAND; MAJOR DEPRESSIVE DISORDER; RECEPTOR MESSENGER-RNA; PLASMA MELATONIN; SERUM MELATONIN; TRYPTOPHAN-HYDROXYLASE; BRIGHT LIGHT</t>
  </si>
  <si>
    <t>Melatonin is an evolutionarily conserved molecule that serves a time-keeping function in various species. In vertebrates, melatonin is produced predominantly by the pineal gland with a marked circadian rhythm that is governed by the central circadian pacemaker (biological clock) in the suprachiasmatic nuclei of the hypothalamus. High levels of melatonin are normally found at night, and low levels are seen during daylight hours. As a consequence, melatonin has been called the darkness hormone. This review surveys the current state of knowledge regarding the regulation of melatonin synthesis, receptor expression, and function. In particular, it addresses the physiological, pathological, and therapeutic aspects of melatonin in humans, with an emphasis on biological rhythms.</t>
  </si>
  <si>
    <t>[Zawilska, Jolanta B.] Med Univ Lodz, Dept Pharmacodynam, PL-90151 Lodz, Poland; [Zawilska, Jolanta B.] Polish Acad Sci, Inst Med Biol, Lodz, Poland; [Skene, Debra J.; Arendt, Josephine] Univ Surrey, Ctr Chronobiol, Fac Hlth &amp; Med Sci, Guildford GU2 7XH, Surrey, England</t>
  </si>
  <si>
    <t>Medical University Lodz; Polish Academy of Sciences; Institute of Medical Biology of the Polish Academy of Sciences; University of Surrey</t>
  </si>
  <si>
    <t>Zawilska, JB (corresponding author), Med Univ Lodz, Dept Pharmacodynam, Muszynskiego 1, PL-90151 Lodz, Poland.</t>
  </si>
  <si>
    <t>jolanta.zawilska@umed.lodz.pl</t>
  </si>
  <si>
    <t>Zawilska, Jolanta Barbara/S-9782-2016</t>
  </si>
  <si>
    <t>Zawilska, Jolanta/0000-0002-3696-2389</t>
  </si>
  <si>
    <t>Ministry of Science and Higher Education, Poland [2 P06D 025 29]; Medical University of Lodz [502-13-770]; British Antarctic Survey; Philips Lighting; Stockgrand Ltd.; University of Surrey; EU [018741, MCRTN-CT-2004-512362]; SomnIA; Cross-Council New Dynamics of Ageing project [RES-339-25-0009]</t>
  </si>
  <si>
    <t>Ministry of Science and Higher Education, Poland(Ministry of Science and Higher Education, Poland); Medical University of Lodz; British Antarctic Survey; Philips Lighting; Stockgrand Ltd.; University of Surrey; EU(European Union (EU)); SomnIA; Cross-Council New Dynamics of Ageing project</t>
  </si>
  <si>
    <t>The authors wish to acknowledge the contribution of their colleagues at the Medical University of Lodz (Prof. Jerzy Z. Nowak, Drs. Malgorzata Berezihska and Anna Lorenc-Duda) and University of Surrey (Drs Lisa Hack, Steven Lockley, Benita Middleton, Victoria Revell, John Wright), The financial support of Ministry of Science and Higher Education, Poland (Grant 2 P06D 025 29; JBZ), Medical University of Lodz (Grant 502-13-770; JBZ), British Antarctic Survey (JA), Philips Lighting (JA: DJS), Stockgrand Ltd., University of Surrey (JA, DJS), EU 6th Framework project EUCLOCK (No. 018741, DJS), EU Marie Curie RTN grant (MCRTN-CT-2004-512362; DJS) and SomnIA, a Cross-Council New Dynamics of Ageing project (RES-339-25-0009; DJS) is gratefully acknowledged. Notes added in proof: In 2009 Valdoxan (R) (Agomelatine) has been authorized by the European Commission for its use in the treatment of major depression episodes in adults.</t>
  </si>
  <si>
    <t>POLISH ACAD SCIENCES INST PHARMACOLOGY</t>
  </si>
  <si>
    <t>KRAKOW</t>
  </si>
  <si>
    <t>SMETNA 12, 31-343 KRAKOW, POLAND</t>
  </si>
  <si>
    <t>1734-1140</t>
  </si>
  <si>
    <t>PHARMACOL REP</t>
  </si>
  <si>
    <t>Pharmacol. Rep.</t>
  </si>
  <si>
    <t>10.1016/S1734-1140(09)70081-7</t>
  </si>
  <si>
    <t>Pharmacology &amp; Pharmacy</t>
  </si>
  <si>
    <t>481VQ</t>
  </si>
  <si>
    <t>WOS:000268840800001</t>
  </si>
  <si>
    <t>Núñez-Olivera, E; Otero, S; Tomás, R; Martínez-Abaigar, J</t>
  </si>
  <si>
    <t>Nunez-Olivera, Encarnacion; Otero, Saul; Tomas, Rafael; Martinez-Abaigar, Javier</t>
  </si>
  <si>
    <t>Seasonal variations in UV-absorbing compounds and physiological characteristics in the aquatic liverwort Jungermannia exsertifolia subsp cordifolia over a 3-year period</t>
  </si>
  <si>
    <t>PHYSIOLOGIA PLANTARUM</t>
  </si>
  <si>
    <t>ULTRAVIOLET-B RADIATION; STRATOSPHERIC OZONE DEPLETION; UNCINATA HEDW. LOESKE; ANTARCTIC MOSS; CHLOROPHYLL FLUORESCENCE; PLEUROZIUM-SCHREBERI; PIGMENT COMPOSITION; COUMARIC ACID; TERM CHANGES; BRYOPHYTES</t>
  </si>
  <si>
    <t>Temporal physiological variations in relation to environmental factors, in particular to ultraviolet (UV) radiation, have been studied in bryophytes from circumpolar latitudes, but not in mid-latitudes with longer growing seasons. In addition, seasonal and interannual changes in individual UV-absorbing compounds (UVAC) have not been previously studied in bryophytes. To fill these gaps, samples of the aquatic liverwort Jungermannia exsertifolia subsp. cordifolia were collected on a monthly basis during 3 years from a mountain stream in northern Spain. Sclerophylly index, chlorophyll fluorescence, DNA damage, the bulk UV absorbance of methanolic extracts and the concentration of five UVAC (hydroxycinnamic acid derivatives) were measured. Interannual changes were little marked, probably because the 3 years studied were environmentally similar. In summer-autumn, with respect to seasonal variations, newly grown tender young shoots with high F-v/F-m accumulated higher amounts of several hydroxycinnamic acid derivatives than in winter-spring. DNA damage was not detected in any of the samples analyzed. p-Coumaroylmalic acid was the compound best associated with radiation changes, and the best model explaining UV-B took into consideration the concentration of this compound and the ozone level. The specific effects of UV radiation could not be separated from the effects caused by other environmental factors, such as global radiation or temperature, because all these variables were correlated. However, indirect evidence strongly suggests that seasonal changes in bulk UV absorbance and p-coumaroylmalic acid are mainly driven by UV radiation. This compound may be a promising physiological variable to be used for UV bioindication.</t>
  </si>
  <si>
    <t>[Nunez-Olivera, Encarnacion; Otero, Saul; Tomas, Rafael; Martinez-Abaigar, Javier] Univ La Rioja, ES-26006 Logrono, La Rioja, Spain</t>
  </si>
  <si>
    <t>Universidad de La Rioja</t>
  </si>
  <si>
    <t>Núñez-Olivera, E (corresponding author), Univ La Rioja, Complejo Cient Tecnol,Avda Madre de Dios 51, ES-26006 Logrono, La Rioja, Spain.</t>
  </si>
  <si>
    <t>encarnacion.nunez@unirioja.es</t>
  </si>
  <si>
    <t>Martinez-Abaigar, Javier/L-7000-2014; Tomas-Las-Heras, Rafael/M-2754-2018; Nunez-Olivera, Encarnacion/L-7164-2014</t>
  </si>
  <si>
    <t>Martinez-Abaigar, Javier/0000-0002-9762-9862; Tomas-Las-Heras, Rafael/0000-0002-8496-7280; Nunez-Olivera, Encarnacion/0000-0002-7221-3852</t>
  </si>
  <si>
    <t>Ministerio de Educacion y Ciencia of Spain [BES-2003-2795]; Fondo Europeo de Desarrollo Regional; FEDER [CGL2005-02663, CGL2008-04450]</t>
  </si>
  <si>
    <t>Ministerio de Educacion y Ciencia of Spain(Spanish Government); Fondo Europeo de Desarrollo Regional(European Union (EU)); FEDER(European Union (EU)Spanish Government)</t>
  </si>
  <si>
    <t>We are grateful to the Ministerio de Educacion y Ciencia of Spain and the Fondo Europeo de Desarrollo Regional, FEDER (Projects CGL2005-02663 and CGL2008-04450) for their financial support. Saul Otero benefited from a predoctoral grant from the Ministerio de Educacion y Ciencia of Spain (BES-2003-2795). Prof. D.-P. HAder (Erlangen, Germany) and Prof. Osamu Nikaido (Kanazawa University, Japan) kindly provided materials for the analysis of DNA damage. Valdezcaray S.A. and Gonzalo Morras are gratefully acknowledged by their help in the maintenance of the sensors at Valdezcaray. The Gobierno de La Rioja authorized our work in the Natural Park of Sierra Cebollera.</t>
  </si>
  <si>
    <t>0031-9317</t>
  </si>
  <si>
    <t>1399-3054</t>
  </si>
  <si>
    <t>PHYSIOL PLANTARUM</t>
  </si>
  <si>
    <t>Physiol. Plant.</t>
  </si>
  <si>
    <t>10.1111/j.1399-3054.2009.01215.x</t>
  </si>
  <si>
    <t>Plant Sciences</t>
  </si>
  <si>
    <t>433VK</t>
  </si>
  <si>
    <t>WOS:000265233700007</t>
  </si>
  <si>
    <t>Jehlicka, J; Edwards, HGM; Vítek, P</t>
  </si>
  <si>
    <t>Jehlicka, J.; Edwards, H. G. M.; Vitek, P.</t>
  </si>
  <si>
    <t>Assessment of Raman spectroscopy as a tool for the non-destructive identification of organic minerals and biomolecules for Mars studies</t>
  </si>
  <si>
    <t>PLANETARY AND SPACE SCIENCE</t>
  </si>
  <si>
    <t>Symposium on Exploring Mars and its Earth Analogues</t>
  </si>
  <si>
    <t>JUN 19-23, 2007</t>
  </si>
  <si>
    <t>Trento, ITALY</t>
  </si>
  <si>
    <t>Organic minerals; Mars; Raman spectroscopy; Evenkite; Idrialite; Oxalates; Terpenoids; Mellite; Fichtelite; Hartite; Hoelite; Kladnoite; beta-Carotene</t>
  </si>
  <si>
    <t>AROMATIC-HYDROCARBON MINERALS; ANTARCTIC HABITATS; MERIDIANI-PLANUM; IN-SITU; OXALATE; ENCRUSTATIONS; PENDLETONITE; BIOMARKERS; EVAPORITES; IDRIALITE</t>
  </si>
  <si>
    <t>Several characteristic geological features found on the surface of Mars by planetary rovers suggest that a possible extinct biosphere could exist based on similar sources of energy as occurred on Earth. For this reason, analytical instrumental protocols for the detection of biomarkers in suitable geological matrices unequivocally have to be elaborated for future unmanned explorations including the forthcoming ESA ExoMars mission. As part of the Pasteur suite of analytical instrumentation on ExoMars, the Raman/LIBS instrument will seek elemental and molecular information about geological, biological and biogeological markers in the Martian record. A key series of experiments on terrestrial Mars analogues, of which this paper addresses a particularly important series of compounds, is required to obtain the Raman spectra of key molecules and crystals, which are characteristic for each biomarker. Here, we present Raman spectra of several examples of organic compounds which have been recorded non-destructively-higher n-alkanes, polycyclic aromatic hydrocarbons, carotenoids, salts of organic acids, pure crystalline terpenes as well as oxygen-containing organic compounds. In addition, the lower limit of beta-carotene detection in sulphate matrices using Raman microspectroscopy was estimated. (C) 2008 Elsevier Ltd. All rights reserved.</t>
  </si>
  <si>
    <t>[Jehlicka, J.; Vitek, P.] Charles Univ Prague, Inst Geochem Mineral &amp; Mineral Resources, Prague, Czech Republic; [Edwards, H. G. M.] Univ Bradford, Bradford BD7 1DP, W Yorkshire, England</t>
  </si>
  <si>
    <t>Charles University Prague; University of Bradford</t>
  </si>
  <si>
    <t>Jehlicka, J (corresponding author), Charles Univ Prague, Inst Geochem Mineral &amp; Mineral Resources, Prague, Czech Republic.</t>
  </si>
  <si>
    <t>jehlicka@natur.cuni.cz; H.G.M.Edwards@bradford.ac.uk</t>
  </si>
  <si>
    <t>Vitek, Petr/R-8022-2016; Jehlicka, Jan/H-9357-2016</t>
  </si>
  <si>
    <t>Jehlicka, Jan/0000-0002-4294-876X</t>
  </si>
  <si>
    <t>0032-0633</t>
  </si>
  <si>
    <t>PLANET SPACE SCI</t>
  </si>
  <si>
    <t>Planet Space Sci.</t>
  </si>
  <si>
    <t>10.1016/j.pss.2008.05.005</t>
  </si>
  <si>
    <t>456QX</t>
  </si>
  <si>
    <t>WOS:000266863400009</t>
  </si>
  <si>
    <t>Quassinti, L; Pellegrino, D; Garofalo, F; Maccari, E; Bramucci, M</t>
  </si>
  <si>
    <t>Quassinti, Luana; Pellegrino, Daniela; Garofalo, Filippo; Maccari, Ennio; Bramucci, Massimo</t>
  </si>
  <si>
    <t>Comparison of angiotensin converting enzyme-like activity in the Antarctic teleosts Trematomus bernacchii and Chionodraco hamatus</t>
  </si>
  <si>
    <t>Antarctic fish; Angiotensin converting enzyme; Trematomus bernacchii; Chionodraco hamatus; Temperature adaptation</t>
  </si>
  <si>
    <t>RAINBOW-TROUT; SYSTEM; FISHES; RESPONSES; PLASMA; HEART; SERUM</t>
  </si>
  <si>
    <t>Biochemical parameters of the angiotensin converting enzyme-like activity (ACELA) in the gills of two Antarctic teleosts, Chionodraco hamatus and Trematomus bernacchii were characterized. Enzymatic activity was revealed following hydrolysis of a specific substrate of angiotensin-converting enzyme N-[3-(2-furyl)acryloyl]l-phenylalanyl-glycyl-glycine (FAPGG) and metabolites were separated by reverse phase HPLC analysis. The results showed similar Km values for the substrate FAPGG at 5A degrees C for the two species with an increase of Km value for T. bernacchii at 25A degrees C. The optimum pH value was 8.5 at 25A degrees C and optimum chloride concentrations were about 300 mM. In T. bernacchii the optimum temperature for maximum enzyme activity was 50A degrees C, while maximum activity in C. hamatus occurred at 35A degrees C. Lisinopril was more efficient in inhibiting ACELA in C. hamatus with an I (50) value of 16.83 +/- A 5.11 nM, compared to an I (50) value of 30.66 +/- A 5.19 nM in T. bernacchii. In conclusion, it appears that some biochemical parameters of ACELA in C. hamatus differ from those in T. bernacchii, probably due to different ways that the enzyme adapts to the constantly cold temperatures of the animal's environment.</t>
  </si>
  <si>
    <t>[Quassinti, Luana; Maccari, Ennio; Bramucci, Massimo] Univ Camerino, Dept Mol Cellular &amp; Anim Biol, I-62032 Camerino, MC, Italy; [Pellegrino, Daniela] Univ Calabria, Dept Pharmacobiol, I-87030 Arcavacata Di Rende, CS, Italy; [Garofalo, Filippo] Univ Calabria, Dept Cellular Biol, I-87030 Arcavacata Di Rende, CS, Italy</t>
  </si>
  <si>
    <t>University of Camerino; University of Calabria; University of Calabria</t>
  </si>
  <si>
    <t>Bramucci, M (corresponding author), Univ Camerino, Dept Mol Cellular &amp; Anim Biol, Via Gentile 3 Varano, I-62032 Camerino, MC, Italy.</t>
  </si>
  <si>
    <t>massimo.bramucci@unicam.it</t>
  </si>
  <si>
    <t>Bramucci, Massimo/0000-0003-4113-8199; Garofalo, Filippo/0000-0002-4211-3850; Pellegrino, Daniela/0000-0002-9815-5195; Luana, Quassinti/0000-0003-4140-2332</t>
  </si>
  <si>
    <t>University of Camerino (FAR)</t>
  </si>
  <si>
    <t>This work was supported by a grant from University of Camerino (FAR). We thank Dr. Oretta Murri for her helpful suggestion and Sheila Beatty for linguistic revision of the manuscript.</t>
  </si>
  <si>
    <t>10.1007/s00300-008-0571-4</t>
  </si>
  <si>
    <t>434UE</t>
  </si>
  <si>
    <t>WOS:000265298800001</t>
  </si>
  <si>
    <t>Laakmann, S; Stumpp, M; Auel, H</t>
  </si>
  <si>
    <t>Laakmann, Silke; Stumpp, Meike; Auel, Holger</t>
  </si>
  <si>
    <t>Vertical distribution and dietary preferences of deep-sea copepods (Euchaetidae and Aetideidae; Calanoida) in the vicinity of the Antarctic Polar Front</t>
  </si>
  <si>
    <t>Euchaetidae; Aetideidae; Paraeuchaeta; Pareuchaeta; Euchaeta; Gaetanus; Aetideopsis; Southern Ocean; South Atlantic; Antarctic; Lipid composition; Fatty acid; Trophic biomarker; Vertical distribution; Abundance; Partitioning</t>
  </si>
  <si>
    <t>WESTERN WEDDELL SEA; MIDWATER FOOD WEB; MARGINAL ICE-ZONE; SOUTH-GEORGIA; WAX ESTERS; RHINCALANUS-GIGAS; MARINE COPEPODS; TROPHIC MARKERS; PARAEUCHAETA ANTARCTICA; BIOCHEMICAL-COMPOSITION</t>
  </si>
  <si>
    <t>Four Paraeuchaeta species and three aetideids were frequently encountered along 51A degrees 30'S in the Atlantic sector of the Southern Ocean. Paraeuchaeta antarctica was most abundant close to the Antarctic Polar Front. Within the genera Paraeuchaeta and Gaetanus, congeners usually partitioned the water column. Euchaetidae had high lipid (a parts per thousand currency sign37% dry mass, DM in adult females) and wax ester contents (a parts per thousand currency sign22% DM). Fatty acid composition of Paraeuchaeta spp. was dominated by monounsaturated moieties, especially 16:1(n-7) and 18:1(n-9), while fatty alcohols were mainly saturated. Surprisingly, only the bathypelagic P. barbata contained moderate amounts of 20:1(n-9) and 22:1(n-11) fatty acids (a parts per thousand currency sign14%) and high levels of the respective fatty alcohols (a parts per thousand currency sign50%), generally considered trophic biomarkers for calanid copepods as prey. Thus, herbivorous calanid copepods seem to be a readily available prey source at bathypelagic depths, indicating that their seasonal vertical migration provides a trophic shortcut from primary production at the surface to the interior of the ocean. Aetideidae also contained substantial levels of total lipid (14-36% DM), but wax esters contributed only up to 12% DM in copepodite stages C5 of Gaetanus spp., whereas other stages of Gaetanus and Aetideopsis minor only contained a parts per thousand currency sign6% DM of wax esters. The fatty acid compositions of Aetideidae were more balanced with 16:0, 18:1(n-9), 20:5(n-3), and 22:6(n-3) as important components, indicating a generally omnivorous feeding behaviour.</t>
  </si>
  <si>
    <t>[Laakmann, Silke; Stumpp, Meike; Auel, Holger] Univ Bremen, Marine Zool FB 2, D-28334 Bremen, Germany</t>
  </si>
  <si>
    <t>University of Bremen</t>
  </si>
  <si>
    <t>Stumpp, Meike/ABD-7743-2020</t>
  </si>
  <si>
    <t>Stumpp, Meike/0000-0001-7765-2996; Laakmann, Silke/0000-0003-3273-7907</t>
  </si>
  <si>
    <t>We are grateful to the captain and crew of R/V Polarstern during expedition ANT XXIII-5 for their skilful support. Anna Schukat assisted in lipid extraction. We would also like to thank Dr. Peter Ward, Dr. Rolf Koppelmann and one unknown reviewer for their very detailed and constructive comments on an earlier version of the manuscript. The study was funded by the Deutsche Forschungsgemeinschaft (DFG project AU 175/3).</t>
  </si>
  <si>
    <t>10.1007/s00300-008-0573-2</t>
  </si>
  <si>
    <t>WOS:000265298800002</t>
  </si>
  <si>
    <t>Rodrigues, E; Santos, MRD; Rodrigues, E; Gannabathula, V; Lavrado, HP</t>
  </si>
  <si>
    <t>Rodrigues, Edson; da Silva Santos, Marcela Rosana; Rodrigues Junior, Edson; Gannabathula, Vani; Lavrado, Helena Passeri</t>
  </si>
  <si>
    <t>Arginine metabolism of the Antarctic Bivalve Laternula elliptica (King &amp; Broderip, 1831): an ecophysiological approach</t>
  </si>
  <si>
    <t>Antarctica; Laternula elliptica; Arginase; Heavy metal; Fluoride; Kidney; Malate dehydrogenase; Citrate synthase; Energy metabolism</t>
  </si>
  <si>
    <t>GEORGE-ISLAND; MALATE-DEHYDROGENASE; SEASONAL ENERGETICS; MESOPELAGIC FISHES; ENZYMIC ACTIVITIES; ELEVATED CADMIUM; FLUORIDE CONTENT; ADELIE PENGUINS; NITRIC-OXIDE; MAXWELL BAY</t>
  </si>
  <si>
    <t>The potential aerobic ATP-generating pathway and the argininolytic capacity of the Antarctic bivalve Laternula elliptica in its main tissues were measured by the specific activity of the enzymes malate dehydrogenase (MDH), citrate synthase (CS) and arginase. The kidney showed the major potential for aerobic ATP-generating pathway and argininolytic capacity. High levels of CS and MDH activities indicated that renal tissue can be involved in activities that require a lot of energy such as excretion of metabolic end products, amino acids catabolism or even gluconeogenic activities related to inter-tissue metabolism. The fact that kidneys are the main site for arginase activity is very unusual for mollusks and could be related to the living habits of L. elliptica. Genetic expression of the L. elliptica renal arginase could be controlling the levels of l-arginine and forming urea in the excretory organ, which may not have its physiological functions directly affected by the seasonal retraction of its siphons. Compared to the bivalve Dreissena polymorpha, renal arginase of L. elliptica is more resistant to inhibition by copper and cadmium. This could be related to naturally high levels of these metals in the Antarctic marine environment and its bioaccumulation in the renal tissue of L. elliptica, as a probable advantage to its environmental adaptation. Different from other Antarctic animals that feed on Krill, the arginase of L. elliptica is much more sensitive to fluoride inhibition. However, diet composition of L. elliptica would be expected to be variable site to site and its high sensitivity to fluoride inhibition may be a matter of concern in areas near ornithogenic soils subjected to ice-melting processes.</t>
  </si>
  <si>
    <t>[Rodrigues, Edson; da Silva Santos, Marcela Rosana; Rodrigues Junior, Edson; Gannabathula, Vani] Univ Taubate, Biochem Lab, Basic Inst Biosci, BR-12030180 Taubate, SP, Brazil; [Lavrado, Helena Passeri] Univ Fed Rio de Janeiro, UFRJ, CCS, BR-21949900 Rio De Janeiro, Brazil</t>
  </si>
  <si>
    <t>Universidade de Taubate; Universidade Federal do Rio de Janeiro</t>
  </si>
  <si>
    <t>Rodrigues, E (corresponding author), Univ Taubate, Biochem Lab, Basic Inst Biosci, Av Tiradentes,500 Ctr, BR-12030180 Taubate, SP, Brazil.</t>
  </si>
  <si>
    <t>edsonrod@unitau.br; hpasseri@biologia.ufrj.br</t>
  </si>
  <si>
    <t>Rodrigues, Edson/C-6792-2015; Lavrado, Helena/M-9737-2014</t>
  </si>
  <si>
    <t>Rodrigues, Edson/0000-0003-3968-6882; Lavrado, Helena/0000-0002-7275-7075</t>
  </si>
  <si>
    <t>Dra Lucia de Siqueira Campos (GEAMB-UFRJ); National Council for Scientific and Technological Development (CNPq); Ministry of Environment (MMA); Secretariat of the Inter-Ministry Commission for Marine Resources (SeCIRM)</t>
  </si>
  <si>
    <t>Dra Lucia de Siqueira Campos (GEAMB-UFRJ); National Council for Scientific and Technological Development (CNPq)(Conselho Nacional de Desenvolvimento Cientifico e Tecnologico (CNPQ)); Ministry of Environment (MMA); Secretariat of the Inter-Ministry Commission for Marine Resources (SeCIRM)</t>
  </si>
  <si>
    <t>We are grateful to the members of GEAMB and Rede 2 for support during the Weld work. We are also indebted to Dra Lucia de Siqueira Campos (GEAMB-UFRJ) who donated the clams for analysis. This research was supported by the National Council for Scientific and Technological Development (CNPq), the Ministry of Environment (MMA) and the Secretariat of the Inter-Ministry Commission for Marine Resources (SeCIRM). This work was carried out at the Brazilian Antarctic Station Comandante Ferraz (EACF) during the XXIV Brazilian Antarctic Expedition. We would like to thank two anonymous referees for valuable comments that improved the manuscript.</t>
  </si>
  <si>
    <t>10.1007/s00300-008-0574-1</t>
  </si>
  <si>
    <t>WOS:000265298800003</t>
  </si>
  <si>
    <t>Rodríguez, E; López-González, PJ; Daly, M</t>
  </si>
  <si>
    <t>Rodriguez, Estefania; Lopez-Gonzalez, Pablo J.; Daly, Marymegan</t>
  </si>
  <si>
    <t>New family of sea anemones (Actiniaria, Acontiaria) from deep polar seas</t>
  </si>
  <si>
    <t>Antipodactidae; Antipodactis; Acontiaria; Deep sea; Antarctica; Arctic; Bipolar</t>
  </si>
  <si>
    <t>TAXONOMIC RELEVANCE; SOUTHERN-OCEAN; CNIDARIA; ANTHOZOA; NEMATOCYSTS; ATLANTIC; ANDEEP; BIODIVERSITY; NOMENCLATURE; HISTORY</t>
  </si>
  <si>
    <t>We describe and illustrate two new species from polar deep seas that belong to a new genus and family. Antipodactidae fam. nov. is characterized by acontia with macrobasic p-amastigophores; this type of nematocyst has never been reported from acontia. Antipodactis gen. nov. is characterized by a column with a distinct scapus and scapulus, cuticle-bearing tenaculi on the scapus, more mesenteries proximally than distally, mesenteries regularly arranged, restricted and reniform retractor musculature, and macrobasic p-amastigophores in the acontia. Antipodactis scotiae sp. nov. and A. awii sp. nov. differ in number of mesenteries, retractor and parietobasilar muscles, cnidae, and geographic distribution. We discuss the familial and generic characters of Antipodactis gen. nov. and its relationship to other families of acontiarian sea anemones: it most closely resembles members of Kadosactidae in terms of anatomy and some aspects of cnidom, and has a cnidom identical to that of Diadumenidae in terms of the types of nematocysts. Because the morphology of nematocysts is critical to the diagnosis of this family, we review and comment on the nomenclature of mastigophores. The macrobasic p-amastigophores of Antipodactidae fam. nov. conform to England's (Hydrobiologia 216/217:691-697, 1991) definition rather than that of Mariscal (Coelenterate Biology. Academic Press, New York, pp 129-178, 1974).</t>
  </si>
  <si>
    <t>[Rodriguez, Estefania; Daly, Marymegan] Ohio State Univ, Dept Ecol Evolut &amp; Organismal Biol, Columbus, OH 43212 USA; [Rodriguez, Estefania; Lopez-Gonzalez, Pablo J.] Univ Seville, Dept Fisiol &amp; Zool, Fac Biol, E-41012 Seville, Spain</t>
  </si>
  <si>
    <t>University System of Ohio; Ohio State University; University of Sevilla</t>
  </si>
  <si>
    <t>Rodríguez, E (corresponding author), Ohio State Univ, Dept Ecol Evolut &amp; Organismal Biol, 1315 Kinnear Rd, Columbus, OH 43212 USA.</t>
  </si>
  <si>
    <t>fani@us.es</t>
  </si>
  <si>
    <t>Daly, Marymegan/F-9178-2011; Lopez-González, Pablo J./Y-6440-2018; Rodríguez, Estefanía/AAK-4634-2021</t>
  </si>
  <si>
    <t>Lopez-González, Pablo J./0000-0002-7348-6270; Rodríguez, Estefanía/0000-0002-5590-6606</t>
  </si>
  <si>
    <t>MCT-CSIC [I3P-BPD2001-1]; Spanish CICYT [REN2003-04236, REN2001-4269-E, CGL2004-20141E]; NSF [EF-0531763]</t>
  </si>
  <si>
    <t>MCT-CSIC; Spanish CICYT(Consejo Interinstitucional de Ciencia y Tecnologia (CICYT)); NSF(National Science Foundation (NSF))</t>
  </si>
  <si>
    <t>Special thanks to Dr. Joseph Maria Gili (Instituto de Ciencias del Mar, Barcelona), Prof. Wolf Arntz (Alfred Wegener Institute, Bremerhaven), and Prof. Angelika Brandt (Zoological Institut and Zoological Museum, Hamburg), for making possible the participation of ER and PJLG in the Antarctic cruises. Thanks to Mercedes Conradi (Universidad de Sevilla) who collected the Antarctic material that started this manuscript, and to Melanie Bergmann (AWI), who provided the material of A. awii sp. nov. We gratefully acknowledge the officers and crew of the R/V Polarstern, and many colleagues on board during the ANDEEP-I cruise for their valuable assistance. Abby Reft (Ohio State University, Columbus) is thanked for her useful comments on cnidae. Thanks to the reviewers Daphne Fautin, Verena Haussermann, and Nadya Sanamyan whose comments greatly improved this manuscript. Support was provided by a MCT-CSIC grant (I3P-BPD2001-1) to ER, and Spanish CICYT projects: REN2003-04236, REN2001-4269-E, and CGL2004-20141E. Additional support was provided by NSF EF-0531763 to MD. This is ANDEEP publication number 112.</t>
  </si>
  <si>
    <t>10.1007/s00300-008-0575-0</t>
  </si>
  <si>
    <t>WOS:000265298800004</t>
  </si>
  <si>
    <t>Dumont, I; Schoemann, V; Lannuzel, D; Chou, L; Tison, JL; Becquevort, S</t>
  </si>
  <si>
    <t>Dumont, I.; Schoemann, V.; Lannuzel, D.; Chou, L.; Tison, J. -L.; Becquevort, S.</t>
  </si>
  <si>
    <t>Distribution and characterization of dissolved and particulate organic matter in Antarctic pack ice</t>
  </si>
  <si>
    <t>Sea ice; Organic carbon; Monosaccharides; Polysaccharides; Amino acids; TEP</t>
  </si>
  <si>
    <t>TRANSPARENT EXOPOLYMER PARTICLES; BAY ROSS-SEA; WEDDELL SEA; CHEMICAL-COMPOSITION; GROWTH EFFICIENCY; BACTERIAL-GROWTH; NITROGEN-CONTENT; AMINO-ACIDS; FOOD WEBS; CARBON</t>
  </si>
  <si>
    <t>Distribution and composition of organic matter were investigated in Antarctic pack ice in early spring and summer. Accumulation of organic compounds was observed with dissolved organic carbon (DOC) and particulate organic carbon (POC) reaching 717 and 470 mu M C, respectively and transparent exopolymeric particles (TEP) up to 3,071 mu g Xanthan gum equivalent l(-1). POC and TEP seemed to be influenced mainly by algae. Particulate saccharides accounted for 0.2-24.1% (mean, 7.8%) of POC. Dissolved total saccharides represented 0.4-29.6% (mean, 9.7%) of DOC, while dissolved free amino acids (DFAA) accounted for only 1% of DOC. Concentrations of TEP were positively correlated with those of saccharides. Monosaccharides (d-MCHO) dominated during winter-early spring, whereas dissolved polysaccharides did in spring-summer. DFAA were strongly correlated with d-MCHO, suggesting a similar pathway of production. The accumulation of monomers in winter is thought to result from limitation of bacterial activities rather than from the nature of the substrates.</t>
  </si>
  <si>
    <t>[Dumont, I.; Schoemann, V.; Becquevort, S.] Univ Libre Bruxelles, Fac Sci, B-1050 Brussels, Belgium; [Lannuzel, D.; Chou, L.] Univ Libre Bruxelles, Lab Oceanog Chim &amp; Geochimie Eaux, Fac Sci, B-1050 Brussels, Belgium; [Tison, J. -L.] Univ Libre Bruxelles, Unit Glaciol, Fac Sci, B-1050 Brussels, Belgium</t>
  </si>
  <si>
    <t>Universite Libre de Bruxelles; Universite Libre de Bruxelles; Universite Libre de Bruxelles</t>
  </si>
  <si>
    <t>Dumont, I (corresponding author), Univ Libre Bruxelles, Fac Sci, Campus Plaine CP 221,Bd Triomphe, B-1050 Brussels, Belgium.</t>
  </si>
  <si>
    <t>idumont@ulb.ac.be</t>
  </si>
  <si>
    <t>lannuzel, delphine/J-7937-2014; Tison, Jean-Louis/F-4065-2015</t>
  </si>
  <si>
    <t>lannuzel, delphine/0000-0001-6154-1837; Tison, Jean-Louis/0000-0002-9758-3454</t>
  </si>
  <si>
    <t>FRIA (Fonds pour la Recherche en Industries Agronomiques); Belgian French Community [ARC-02/7-318287]; European Network of Excellence EUR-OCEANS [511106-2]; Belgian Federal Science Policy Office</t>
  </si>
  <si>
    <t>FRIA (Fonds pour la Recherche en Industries Agronomiques)(Fonds de la Recherche Scientifique - FNRS); Belgian French Community; European Network of Excellence EUR-OCEANS; Belgian Federal Science Policy Office(Belgian Federal Science Policy Office)</t>
  </si>
  <si>
    <t>I. Dumont is supported by a FRIA (Fonds pour la Recherche en Industries Agronomiques) grant. The authors are grateful to the officers and crews of the R. V. Aurora Australis and RV Polarstern for their logistic assistance during the ARISE and ISPOL cruises. We would like to thank the Australian Antarctic Division, especially Ian Allison (Expedition Leader) and Rob Massom (Chief Scientist), for inviting us on the ARISE in the East endeavour and the AWI, especially Michael Spindler, David Thomas and Gerhard Dieckmann for allowing us to take part in the ISPOL campaign. The supports from Bruno Delille and Jeroen de Jong for Weld assistance, from Anne Trevena for her great help in the organization of the ARISE cruise, ice core sub-sampling and salinity measurements are greatly acknowledged. Frederic Brabant is warmly thanked for helping with core handling. This work was carried out in the framework of the Belgian research program Action de Recherche Concertee Sea Ice Biogeochemistry in a CLIMate change perspective (ARC-SIBCLIM) financed by the Belgian French Community under contract no ARC-02/7-318287. This is also a contribution to the European Network of Excellence EUR-OCEANS (contract no 511106-2) and to the BELCANTO project (contracts SD/CA/03A&amp;B) financed by the Belgian Federal Science Policy Office. The present study is a Belgian input to the SOLAS international research initiative.</t>
  </si>
  <si>
    <t>10.1007/s00300-008-0577-y</t>
  </si>
  <si>
    <t>WOS:000265298800006</t>
  </si>
  <si>
    <t>Wright, SW; Ishikawa, A; Marchant, HJ; Davidson, AT; van den Enden, RL; Nash, GV</t>
  </si>
  <si>
    <t>Wright, Simon W.; Ishikawa, Akira; Marchant, Harvey J.; Davidson, Andrew T.; van den Enden, Rick L.; Nash, Geraldine V.</t>
  </si>
  <si>
    <t>Composition and significance of picophytoplankton in Antarctic waters</t>
  </si>
  <si>
    <t>Picophytoplankton; Phytoplankton; Antarctic; Pigments; CHEMTAX; Microscopy</t>
  </si>
  <si>
    <t>SIZE-FRACTIONATED PHYTOPLANKTON; SOUTHERN-OCEAN; COMMUNITY STRUCTURE; PELAGIC ECOSYSTEM; SURFACE WATERS; MARINE; PICOPLANKTON; PRODUCTIVITY; NANOPLANKTON; CAROTENOIDS</t>
  </si>
  <si>
    <t>Filter fractionated picophytoplankton from Antarctic coastal waters (summer 2001) represented only 7-33% of total phytoplankton, even though total stocks were low (average Chl a = 0.32 mu g l(-1), range = 0.13-1.03 mu g l(-1)). Though all cells passed a 2 mu m filter, electron microscopy revealed most cells were over 2 mu m, principally Parmales, Phaeocystis sp., and small diatoms. CHEMTAX analysis of HPLC pigment data suggested type 8 haptophytes (e.g. Phaeocystis sp. plus Parmales and pelagophytes) contributed 7-58% of picoplanktonic chlorophyll a, type 6 haptophytes (e.g. coccolithophorids) 18-59%, diatoms 0-18% (mostly type 2 diatoms, e.g. Pseudonitzschia sp., 0-15%), prasinophytes 0-17%, with cell fragments of cryptophytes 0-40%, and dinoflagellates 0-11%. Only stocks of type 8 haptophytes and prasinophytes differed significantly due to successional changes. Zeaxanthin concentrations exceeded estimates from previous cyanobacterial counts and may derive from non-photosynthetic bacteria.</t>
  </si>
  <si>
    <t>[Wright, Simon W.; Marchant, Harvey J.; Davidson, Andrew T.; van den Enden, Rick L.; Nash, Geraldine V.] Australian Antarctic Div, Kingston, Tas 7050, Australia; [Wright, Simon W.; Marchant, Harvey J.; Davidson, Andrew T.; van den Enden, Rick L.] Antarctic Climate &amp; Ecosyst Cooperat Res Ctr, Hobart, Tas 7001, Australia; [Ishikawa, Akira] Mie Univ, Grad Sch Bioresources, Tsu, Mie 5148507, Japan</t>
  </si>
  <si>
    <t>Australian Antarctic Division; Antarctic Climate &amp; Ecosystems Cooperative Research Centre (ACE CRC); Mie University</t>
  </si>
  <si>
    <t>Wright, SW (corresponding author), Australian Antarctic Div, 203 Channel Highway, Kingston, Tas 7050, Australia.</t>
  </si>
  <si>
    <t>Simon.Wright@aad.gov.au</t>
  </si>
  <si>
    <t>Japan Society for the Promotion of Science (JSPS); Australian Antarctic Division; Australian Government's Cooperative Research Centres Programme</t>
  </si>
  <si>
    <t>Japan Society for the Promotion of Science (JSPS)(Ministry of Education, Culture, Sports, Science and Technology, Japan (MEXT)Japan Society for the Promotion of Science); Australian Antarctic Division; Australian Government's Cooperative Research Centres Programme(Australian GovernmentDepartment of Industry, Innovation and ScienceCooperative Research Centres (CRC) Programme)</t>
  </si>
  <si>
    <t>We are grateful to the captain and crew of the RSV Aurora Australis for their support at sea. We also express our thanks to Australian Antarctic Division staff Dr. K. Westwood for her collaboration in sampling, Ms. F. Scott for her identification of diatoms, to Drs. G. W. Hosie and S. G. Candy for statistical advice, as well as the S-Plus macro used for analysis (SGC), and two anonymous reviewers for their useful suggestions. This study was supported by the Japan Society for the Promotion of Science (JSPS), the Australian Antarctic Division and the Australian Government's Cooperative Research Centres Programme through the Antarctic Climate and Ecosystems Cooperative Research Centre (ACE CRC).</t>
  </si>
  <si>
    <t>10.1007/s00300-009-0582-9</t>
  </si>
  <si>
    <t>WOS:000265298800011</t>
  </si>
  <si>
    <t>Leotta, GA; Piñeyro, P; Serena, S; Vigo, GB</t>
  </si>
  <si>
    <t>Leotta, Gerardo A.; Pineyro, Pablo; Serena, Soledad; Vigo, German B.</t>
  </si>
  <si>
    <t>Prevalence of Edwardsiella tarda in Antarctic wildlife</t>
  </si>
  <si>
    <t>HOPE BAY; ADELIE PENGUINS; HUMAN-DISEASE; INFECTION; PATHOGENS</t>
  </si>
  <si>
    <t>For many years, the Antarctic region has been isolated from human activity. However, there is little data available regarding endemic and exotic diseases. The purpose of this work was to determine the prevalence of Edwardsiella tarda in Antarctic wildlife, including birds, mammals and fish. During the summer of 2000 and 2002 in the Potter Peninsula, and during the summer of 2001 and 2003 in Hope Bay, a total of 1,805 faecal samples from Antarctic animals and 50 infertile eggs of Adelie penguins (Pygoscelis adeliae) were collected in order to isolate E. tarda. The classic Edwardsiella tarda was isolated from 281 (15.1%) of the 1,855 Antarctic wildlife samples. This is the first report of E. tarda isolation from southern giant petrels (Macronectes giganteus), brown skuas (Stercorarius lonnbergi), south polar skuas (Stercorarius maccormicki), kelp gulls (Larus dominicanus), greater sheathbills (Chionis albus), chinstrap penguins (Pygoscelis antarctica), eggs of Adelie penguins and Weddell seals (Leptonychotes weddelli). None of the evaluated animals showed clinical signs of disease. Our results suggest that E. tarda is a common bacterium amongst Antarctic birds and mammals.</t>
  </si>
  <si>
    <t>[Vigo, German B.] Univ Nacl La Plata, Catedra Microbiol, Fac Ciencias Vet, RA-1900 La Plata, Buenos Aires, Argentina; [Leotta, Gerardo A.] Univ Nacl La Plata, Lab Diagnost &amp; Invest Bacteriol, Fac Ciencias Vet, RA-1900 La Plata, Buenos Aires, Argentina; [Pineyro, Pablo] Univ Nacl La Plata, Catedra Pathol Especial, Fac Ciencias Vet, RA-1900 La Plata, Buenos Aires, Argentina; [Serena, Soledad] Univ Nacl La Plata, Catedra Virol, Fac Ciencias Vet, RA-1900 La Plata, Buenos Aires, Argentina</t>
  </si>
  <si>
    <t>National University of La Plata; National University of La Plata; National University of La Plata; National University of La Plata</t>
  </si>
  <si>
    <t>Vigo, GB (corresponding author), Univ Nacl La Plata, Catedra Microbiol, Fac Ciencias Vet, CC 296, RA-1900 La Plata, Buenos Aires, Argentina.</t>
  </si>
  <si>
    <t>gvigo@fcv.unlp.edu.ar</t>
  </si>
  <si>
    <t>10.1007/s00300-009-0610-9</t>
  </si>
  <si>
    <t>WOS:000265298800012</t>
  </si>
  <si>
    <t>Li, AQ; Benoit, JB; Lopez-Martinez, G; Elnitsky, MA; Lee, RE; Denlinger, DL</t>
  </si>
  <si>
    <t>Li, Aiqing; Benoit, Joshua B.; Lopez-Martinez, Giancarlo; Elnitsky, Michael A.; Lee, Richard E., Jr.; Denlinger, David L.</t>
  </si>
  <si>
    <t>Distinct contractile and cytoskeletal protein patterns in the Antarctic midge are elicited by desiccation and rehydration</t>
  </si>
  <si>
    <t>PROTEOMICS</t>
  </si>
  <si>
    <t>Actin; Desiccation; Muscle proteins; Myosin; Rehydration</t>
  </si>
  <si>
    <t>HEAT-SHOCK PROTEINS; FAT-BODY PROTEIN; BELGICA-ANTARCTICA; PROTEOMIC ANALYSIS; FLESH FLY; MUSCLE-CONTRACTION; STRESS-RESPONSE; OSMOTIC-STRESS; DEHYDRATION; ACTIN</t>
  </si>
  <si>
    <t>Desiccation presents a major challenge for the Antarctic midge, Belgica antarctica. In this study, we use proteomic profiling to evaluate protein changes in the larvae elicited by dehydration and rehydration. Larvae were desiccated at 75% relative humidity (RH) for 12 h to achieve a body water loss of 35%, approximately half of the water that can be lost before the larvae succumb to dehydration. To evaluate the rehydration response, larvae were first desiccated, then rehydrated for 6 h at 100% RH and then in water for 6 h. Controls were held continuously at 100% RH. Protein analysis was performed using 2-DE and nanoscale capillary LC/MS/MS. Twenty-four identified proteins changed in abundance in response to desiccation: 16 were more abundant and 8 were less abundant; 84% of these proteins were contractile or cytoskeletal proteins. Thirteen rehydration-regulated proteins were identified: 8 were more abundant and 5 were less abundant, and 69% of these proteins were also contractile or cytoskeletal proteins. Additional proteins responsive to desiccation and rehydration were involved in functions including stress responses, energy metabolism, protein synthesis, glucogenesis and membrane transport. We conclude that the major protein responses elicited by both desiccation and rehydration are linked to body contraction and cytoskeleton rearrangements.</t>
  </si>
  <si>
    <t>[Li, Aiqing; Benoit, Joshua B.; Lopez-Martinez, Giancarlo; Denlinger, David L.] Ohio State Univ, Dept Entomol, Columbus, OH 43210 USA; [Li, Aiqing] Ohio State Univ, Dept Neurosci, Columbus, OH 43210 USA; [Elnitsky, Michael A.; Lee, Richard E., Jr.] Miami Univ, Dept Zool, Oxford, OH 45056 USA</t>
  </si>
  <si>
    <t>University System of Ohio; Ohio State University; University System of Ohio; Ohio State University; University System of Ohio; Miami University</t>
  </si>
  <si>
    <t>Denlinger, DL (corresponding author), Ohio State Univ, Dept Entomol, 400 Aronoff Lab,318 W 12th Ave, Columbus, OH 43210 USA.</t>
  </si>
  <si>
    <t>denlinger.1@osu.edu</t>
  </si>
  <si>
    <t>NSF [OPP-0337656, OPP-0413786]</t>
  </si>
  <si>
    <t>NSF(National Science Foundation (NSF))</t>
  </si>
  <si>
    <t>We thank the support staff at Palmer Station for their assistance in Antarctica, David Mandich of Plant-Microbe Genomics Facility at The Ohio State University for technical assistance with image scanning and Kari Green-Church, OSU Campus Chemical Instrument Center, for assistance with mass spectrometric identification of proteins. This research was supported by NSF grants OPP-0337656 and OPP-0413786.</t>
  </si>
  <si>
    <t>1615-9853</t>
  </si>
  <si>
    <t>1615-9861</t>
  </si>
  <si>
    <t>Proteomics</t>
  </si>
  <si>
    <t>10.1002/pmic.200800850</t>
  </si>
  <si>
    <t>Biochemical Research Methods; Biochemistry &amp; Molecular Biology</t>
  </si>
  <si>
    <t>Biochemistry &amp; Molecular Biology</t>
  </si>
  <si>
    <t>454UI</t>
  </si>
  <si>
    <t>WOS:000266707800015</t>
  </si>
  <si>
    <t>Logares, R; Boltovskoy, A; Bensch, S; Laybourn-Parry, J; Rengefors, K</t>
  </si>
  <si>
    <t>Logares, Ramiro; Boltovskoy, Andres; Bensch, Staffan; Laybourn-Parry, Johanna; Rengefors, Karin</t>
  </si>
  <si>
    <t>Genetic Diversity Patterns in Five Protist Species Occurring in Lakes</t>
  </si>
  <si>
    <t>PROTIST</t>
  </si>
  <si>
    <t>dinoflagellates; lakes; genetic variation; AFLP; ITS</t>
  </si>
  <si>
    <t>FRAGMENT-LENGTH-POLYMORPHISM; INTERNAL TRANSCRIBED SPACER; SEXUAL REPRODUCTION; RIBOSOMAL DNA; INTRASPECIFIC VARIATION; MARINE-PHYTOPLANKTON; POPULATION; DINOFLAGELLATE; DINOPHYCEAE; EVOLUTIONARY</t>
  </si>
  <si>
    <t>Little is known about the extent of the genetic diversity and its structuring patterns in protist species living in lakes. Here, we have investigated the genetic diversity patterns within five dinoflagellate species (Peridinium aciculiferum, Peridinium cinctum, Peridiniopsis borgei, Polarella glacialis, Scrippsiella aff. hangoei) that are present in lakes and sometimes, in marine habitats located in polar and temperate regions. A total of 68 clonal strains were investigated using Amplified Fragment Length Polymorphism (AFLP), a sensitive genetic fingerprinting technique. All used strains within each species had identical ITS nuclear ribosomal DNA sequences, a characteristic that indicates that they likely belong to the same species. We found a wide variability in the genetic diversity among species (between 20% and 90% of polymorphic loci; Nei's gene diversity between 0.08 and 0.37). In some cases, our analyses suggested the presence of different genetically homogeneous subgroups (genetic populations) within the same water body. Thus, it appears that different genetic populations can coexist within the same lake despite the likely occurrence of recombination that tends to homogenize the gene pool. Overall, our results indicated that a large number of dinoflagellate genotypes are present in lake populations, instead of a few dominating ones. In addition, our study shows that protists with identical ITS sequences can harbor considerable amounts of genetic diversity. (C) 2008 Elsevier GmbH. All rights reserved.</t>
  </si>
  <si>
    <t>[Logares, Ramiro; Rengefors, Karin] Lund Univ, Dept Ecol, Limnol Div, SE-22362 Lund, Sweden; [Boltovskoy, Andres] Museo La Plata, Dept Cient Ficol, RA-1900 La Plata, Argentina; [Bensch, Staffan] Lund Univ, Dept Ecol, Anim Ecol Sect, SE-22362 Lund, Sweden; [Laybourn-Parry, Johanna] Univ Tasmania, Hobart, Tas 7001, Australia</t>
  </si>
  <si>
    <t>Lund University; National University of La Plata; Museo La Plata; Lund University; University of Tasmania</t>
  </si>
  <si>
    <t>Logares, R (corresponding author), Uppsala Univ, Dept Ecol &amp; Evolut Limnol, Husargatan 3,Box 573, SE-75123 Uppsala, Sweden.</t>
  </si>
  <si>
    <t>Ramiro.Logares@gmail.com</t>
  </si>
  <si>
    <t>Rengefors, Karin/K-5873-2019; Logares, Ramiro/AAI-2306-2019; Logares, Ramiro/D-5920-2011</t>
  </si>
  <si>
    <t>Logares, Ramiro/0000-0002-8213-0604; Rengefors, Karin/0000-0001-6297-9734</t>
  </si>
  <si>
    <t>Swedish Research Council; Crafoord Foundation; Australian Antarctic Division [ASAC 2353]; Kungliga Fysiografiska Sallskapet i Lund</t>
  </si>
  <si>
    <t>Swedish Research Council(Swedish Research Council); Crafoord Foundation; Australian Antarctic Division; Kungliga Fysiografiska Sallskapet i Lund</t>
  </si>
  <si>
    <t>Financial support was provided by the Swedish Research Council to K. R., the Crafoord Foundation to K. R., the Australian Antarctic Division (AAD; Project ASAC 2353) to J. L-P and the Kungliga Fysiografiska Sallskapet i Lund to R. L. We thank M. Svensson for laboratory assistance. We also thank the AAD staff for all the logistic support provided during our sampling in Antarctica, in particular R. Piacenza, L. Hornsby, M. Wooldrige, and A. Pooley as well as the lab support in Kingston (T. Bailey, A. Davidson). C. Hynes and E. Bell are thanked for their assistance during the field sampling in Antarctica. We thank also the three anonymous reviewers that helped to improve this manuscript.</t>
  </si>
  <si>
    <t>ELSEVIER GMBH</t>
  </si>
  <si>
    <t>MUNICH</t>
  </si>
  <si>
    <t>HACKERBRUCKE 6, 80335 MUNICH, GERMANY</t>
  </si>
  <si>
    <t>1434-4610</t>
  </si>
  <si>
    <t>1618-0941</t>
  </si>
  <si>
    <t>Protist</t>
  </si>
  <si>
    <t>10.1016/j.protis.2008.10.004</t>
  </si>
  <si>
    <t>Microbiology</t>
  </si>
  <si>
    <t>431QW</t>
  </si>
  <si>
    <t>WOS:000265079100010</t>
  </si>
  <si>
    <t>McIntosh, PD; Price, DM; Eberhard, R; Slee, AJ</t>
  </si>
  <si>
    <t>McIntosh, P. D.; Price, D. M.; Eberhard, R.; Slee, A. J.</t>
  </si>
  <si>
    <t>Late Quaternary erosion events in lowland and mid-altitude Tasmania in relation to climate change and first human arrival</t>
  </si>
  <si>
    <t>VOSTOK ICE-CORE; NEW-SOUTH-WALES; WESTERN TASMANIA; LATE PLEISTOCENE; NEW-ZEALAND; LANDSCAPE EVOLUTION; WATER REPELLENCY; HUMAN OCCUPATION; LAST GLACIATION; COASTAL DUNES</t>
  </si>
  <si>
    <t>The establishment of a chronology of landscape-forming events in lowland and mid-altitude Tasmania, essential for assessing the relative importance of climatic and human influences on erosion, and for assessing present erosion risk, has been limited by the small number of ages obtained and limitations of dating methods. In this paper we critically assess previous Tasmanian studies, list published radiocarbon ages considered to be dependable, present new radiocarbon and thermoluminescence (TL) ages for 25 sites around Tasmania, and consider the evidence for the hypotheses that erosion processes at low and mid altitudes have been: (1) purely climatically controlled; and (2) influenced both by climatic and anthropogenic (increased fire frequency) effects. A total of 94 dependable finite ages (calibrated for radiocarbon and 'as measured' for TL and optically stimulated luminescence (OSL) determinations) are listed for deposits comprising dunes, colluvium, alluvium and loess-like aeolian deposits. Two fall in the &gt;100 ka period, 15 fall in the period 65-35 ka, and 77 fall in the period 35-0.3 ka. There was a sustained increase in erosion recorded in the period 35-15 ka, as reflected by a greater number of dated aeolian deposits during this period. We considered three possible biases that may have affected the age distribution obtained: the limitations of radiocarbon dating, sampling bias, and preservation bias. Sampling bias may have favoured more recent dune strata, but radiocarbon dating and preservation biases are unlikely to have significantly distorted the age distribution obtained. Long but intermittent aeolian deposition is recorded at two sites (Southwood B; c. 59-28 ka and Dunlin Dune; c. 29-14 ka) but there is no evidence of regional loess deposits such as found in New Zealand. The timing of increased erosion in Tasmania between 35 and 30 ka approximately coincides with the intermittent ten-fold increase of dust accumulation between 33 and 30 ka in the Antarctic Dome C ice core. The absence of widespread erosion before 35 ka, the abrupt increase of erosion around this time, the frequent association of erosion products with charcoal, the arrival of people in Tasmania at c. 40 cal ka, and the known use of fires by Aborigines to maintain areas of non-climax vegetation suggest that ecosystem disturbance by anthropogenic fires, in a drier climate than that presently prevailing, may have contributed to erosion in lowland and mid-altitude Tasmania after 35 ka. Thus the Tasmanian erosion record provides circumstantial support for the proposition that human dispersal in southeast Australia was accompanied by significant ecological change. (C) 2008 Elsevier Ltd. All rights reserved.</t>
  </si>
  <si>
    <t>[McIntosh, P. D.] Forest Practices Author, Hobart, Tas, Australia; [Price, D. M.] Univ Wollongong, Thermoluminescence Dating Lab, Sch Earth &amp; Environm Sci, Wollongong, NSW 2522, Australia; [Eberhard, R.] Dept Primary Ind &amp; Water, Hobart, Tas, Australia; [Slee, A. J.] Univ Tasmania, Dept Geog &amp; Environm Sci, Hobart, Tas, Australia</t>
  </si>
  <si>
    <t>University of Wollongong; University of Tasmania</t>
  </si>
  <si>
    <t>McIntosh, PD (corresponding author), Forest Practices Author, 30 Patrick St, Hobart, Tas, Australia.</t>
  </si>
  <si>
    <t>peter.mcintosh@fpa.tas.gov.au</t>
  </si>
  <si>
    <t>Slee, Adrian/ABB-2100-2021</t>
  </si>
  <si>
    <t>9-10</t>
  </si>
  <si>
    <t>10.1016/j.quascirev.2008.12.003</t>
  </si>
  <si>
    <t>435QK</t>
  </si>
  <si>
    <t>WOS:000265358200008</t>
  </si>
  <si>
    <t>De Paula, G</t>
  </si>
  <si>
    <t>De Paula, Gabriel</t>
  </si>
  <si>
    <t>The Role of the Military in the Antarctic Policy. Elements for Analysis in the case of Argentina.</t>
  </si>
  <si>
    <t>REVISTA UNISCI</t>
  </si>
  <si>
    <t>Antarctic Continent; Military Forces; International Cooperation</t>
  </si>
  <si>
    <t>In general, in most countries with interests in the Antarctic continent, Military Forces have a logistic role such as supply or personal movements. For example, in some countries as Argentina, the Antarctic Campaign is planned by the Military Forces. In other hand, it is possible that apart from that, a real occupation is in course of development. This is related to the claims of sovereignty postponed by the Antarctic Treaty. We focus on them considering the importance of the legal framework of the Antarctic Treaty and from the Antarctic policy of some countries. Considering the overlapping claims of sovereignty, we specially analyze some components from the Argentinean, the Chilean and the British Antarctic policy. From a military point of view, we examine some aspects from the design of its military force that make them operative for missions in the Antarctic Campaign such as: adaptation, specialization and preparation. Those components are related to the necessary capacity to operate in the Antarctic area. Additionally, we will briefly mention military cooperation emphasizing its logistic component. Finally, we will compare international relations in the Antarctic and Artic continents considering the different actors involved.</t>
  </si>
  <si>
    <t>[De Paula, Gabriel] Univ Del Salvador, Buenos Aires, DF, Argentina</t>
  </si>
  <si>
    <t>De Paula, G (corresponding author), Univ Del Salvador, Buenos Aires, DF, Argentina.</t>
  </si>
  <si>
    <t>depaula@gabriel.net.ar</t>
  </si>
  <si>
    <t>UNIV COMPLUTENSE MADRID, SERVICIO PUBLICACIONES</t>
  </si>
  <si>
    <t>CIUDAD UNIV, OBISPO TREJO 3, MADRID, 28040, SPAIN</t>
  </si>
  <si>
    <t>2386-9453</t>
  </si>
  <si>
    <t>REV UNISCI</t>
  </si>
  <si>
    <t>Rev. UNISCI</t>
  </si>
  <si>
    <t>International Relations</t>
  </si>
  <si>
    <t>Emerging Sources Citation Index (ESCI)</t>
  </si>
  <si>
    <t>V7X2F</t>
  </si>
  <si>
    <t>WOS:000421373200003</t>
  </si>
  <si>
    <t>DongChen, E; Shen, Q; Xu, Y; Chen, G</t>
  </si>
  <si>
    <t>DongChen, E.; Shen Qiang; Xu Ying; Chen Gang</t>
  </si>
  <si>
    <t>High-accuracy topographical information extraction based on fusion of ASTER stereo-data and ICESat/GLAS data in Antarctica</t>
  </si>
  <si>
    <t>SCIENCE IN CHINA SERIES D-EARTH SCIENCES</t>
  </si>
  <si>
    <t>DEM Antarctica; Zhongshan Station; Dome A; ASTER; ICESat; GLAS</t>
  </si>
  <si>
    <t>In order to better support Antarctic inland ice sheet expedition from Zhongshan Station to Dome A, the topographic data are necessary. At present, although the entire Antarctic DEM provided by RAMP (Radarsat Antarctic Mapping Project) was estimated at the highest horizontal (spatial) resolution of about 200 m, the real horizontal resolution of the DEM varies from place to place depending on the density and scale of the original source data. For ice shelves and the inland ice sheet, the horizontal resolution is about 5 km; the vertical accuracy is estimated to be +/- 50 m in interior East Antarctic ice sheet and away from the mountain ranges. Therefore, more accurate topographic data are unavailable in Antarctica. In order to meet the requirements of high-accuracy topographic information for further researches, this paper mainly addresses a fusion study of ASTER stereo pairs and ICESat/GLAS altimetry data for extraction of high-accuracy DEM in East Antarctica, based on the high horizontal resolution (15 m) of ASTER and vertical accuracy (13.8 cm) of ICESat/GLAS. First, some altimetry data were selected as vertical control points to reduce errors of image correlation matching during the extraction of ASTER-based DEM. Second, ice sheet altimetry data derived from ICESat were used to generate DEM ranging from 75A degrees to 81A degrees S because existing ASTER data do not cover this area and high density of the coverage of ICESat altimetry data. Finally, the DEM in coverage of the expedition route was produced. The analysis of result reveals that the DEM accuracy is improved significantly. The absolute vertical accuracy of DEM is higher than 15 m in some cases and higher than 30 m for all the areas along the expedition route except from the 009-001 scene; the interior accuracy is higher than 15 m and higher than 7 m in some cases. It can meet the requirements of topographic map at 1:50000 scale, which is an economic and advantageous method to produce the topographic products.</t>
  </si>
  <si>
    <t>[Shen Qiang] Inst Seismol China Earthquake Adm, Wuhan 430071, Peoples R China; [DongChen, E.; Xu Ying] Wuhan Univ, Chinese Antarctic Ctr Surveying &amp; Mapping, Wuhan 430079, Peoples R China; [DongChen, E.; Xu Ying] Wuhan Univ, State Bur Surveying &amp; Mapping, Key Lab Polar Surveying &amp; Mapping, Wuhan 430079, Peoples R China; [Chen Gang] Univ Calgary, Dept Geog, Calgary, AB T2N 1N4, Canada</t>
  </si>
  <si>
    <t>China Earthquake Administration; Wuhan University; Wuhan University; University of Calgary</t>
  </si>
  <si>
    <t>Shen, Q (corresponding author), Inst Seismol China Earthquake Adm, Wuhan 430071, Peoples R China.</t>
  </si>
  <si>
    <t>cl980606@hotmail.com</t>
  </si>
  <si>
    <t>Chen, Gang/AAG-9414-2020</t>
  </si>
  <si>
    <t>Chen, Gang/0000-0002-7469-3650</t>
  </si>
  <si>
    <t>National Natural Science Foundation [40606002]; Surveying and Mapping in Chinese Antarctic Expedition Area [1469990711109-1]; National Key Technology R D Program [2006BAD18B01]; ICESat/GLAS in National Snow; Ice Data Center (NSIDC)</t>
  </si>
  <si>
    <t>National Natural Science Foundation(National Natural Science Foundation of China (NSFC)); Surveying and Mapping in Chinese Antarctic Expedition Area; National Key Technology R D Program(National Key Technology R&amp;D Program); ICESat/GLAS in National Snow; Ice Data Center (NSIDC)</t>
  </si>
  <si>
    <t>Supported by National Natural Science Foundation (Grant No. 40606002), Surveying and Mapping in Chinese Antarctic Expedition Area (Grant No. 1469990711109-1), National Key Technology R &amp; D Program (Grant No. 2006BAD18B01), and GLA12 dataset of ICESat/GLAS in National Snow and Ice Data Center (NSIDC)</t>
  </si>
  <si>
    <t>1006-9313</t>
  </si>
  <si>
    <t>SCI CHINA SER D</t>
  </si>
  <si>
    <t>Sci. China Ser. D-Earth Sci.</t>
  </si>
  <si>
    <t>10.1007/s11430-009-0055-6</t>
  </si>
  <si>
    <t>443QI</t>
  </si>
  <si>
    <t>WOS:000265924500014</t>
  </si>
  <si>
    <t>Darelius, E; Smedsrud, LH; Osterhus, S; Foldvik, A; Gammelsrod, T</t>
  </si>
  <si>
    <t>Darelius, E.; Smedsrud, L. H.; Osterhus, S.; Foldvik, A.; Gammelsrod, T.</t>
  </si>
  <si>
    <t>Structure and variability of the Filchner overflow plume</t>
  </si>
  <si>
    <t>TELLUS SERIES A-DYNAMIC METEOROLOGY AND OCEANOGRAPHY</t>
  </si>
  <si>
    <t>SLOPING BOTTOM; BAROCLINIC INSTABILITY; LABORATORY OBSERVATIONS; DENSE OVERFLOWS; DENMARK STRAIT; EDDY FORMATION; SHELF WAVES; WATER; CURRENTS; DEEP</t>
  </si>
  <si>
    <t>Properties of the dense ice shelf water plume emerging from the Filchner Depression in the southwestern Weddell Sea are described, using available current meter records and CTD stations. A mean hydrography, based on more than 300 CTD stations gathered over 25 yr points to a cold, relatively thin and vertically well-defined plume east of the two ridges cross-cutting the continental slope about 60 km from the Filchner sill, whereas the dense bottom layer is warmer, more stratified and much thicker west of these ridges. The data partly confirm the three major pathways suggested earlier and agree with recent theories on topographic steering by submarine ridges. A surprisingly high mesoscale variability in the overflow region is documented and discussed. The variability is to a large extent due to three distinct oscillations (with periods of about 35 h, 3 and 6 d) seen in both temperature and velocity records on the slope. The oscillations are episodic, barotropic and have a horizontal scale of similar to 20-40 km across the slope. They are partly geographically separated, with the longer period being stronger on the lower part of the slope and the shorter on the upper part of the slope. Energy levels are lower west of the ridges, and in the Filchner Depression. The observations are discussed in relation to existing theories on eddies, commonly generated in plumes, and continental shelf waves.</t>
  </si>
  <si>
    <t>[Darelius, E.; Foldvik, A.; Gammelsrod, T.] Univ Bergen, Inst Geophys, Bergen, Norway; [Darelius, E.; Smedsrud, L. H.; Osterhus, S.] Bjerknes Ctr Climate Res, Bergen, Norway</t>
  </si>
  <si>
    <t>University of Bergen; Bjerknes Centre for Climate Research</t>
  </si>
  <si>
    <t>Smedsrud, LH (corresponding author), Bjerknes Ctr Climate Res, Bergen, Norway.</t>
  </si>
  <si>
    <t>lars.smedsrud@gfi.uib.no</t>
  </si>
  <si>
    <t>; Darelius, Elin/O-4096-2015</t>
  </si>
  <si>
    <t>Smedsrud, Lars H./0000-0001-7391-0740; Osterhus, Svein/0000-0001-9915-2685; Darelius, Elin/0000-0003-3060-0317</t>
  </si>
  <si>
    <t>Research Council of Norway [Nr:176082]</t>
  </si>
  <si>
    <t>Research Council of Norway(Research Council of Norway)</t>
  </si>
  <si>
    <t>We thank all scientists and crew members who have been involved in the collection and preparation of the data. A special thank to the British Antarctic Survey (BAS), the Alfred Wegener Institute for Polar and Marine Research (AWI), L. Padman and A. Orsi for contributing with data. This is publication A202 in the Bjerknes publication series, and was accomplished as a part of the IPY Bipolar Atlantic Thermohaline Circulation (BIAC) project funded by the Research Council of Norway (Nr:176082). Suggestions and comments from G. Lane-Serff and three anonymous reviewers were greatly appreciated.</t>
  </si>
  <si>
    <t>1600-0870</t>
  </si>
  <si>
    <t>TELLUS A</t>
  </si>
  <si>
    <t>Tellus Ser. A-Dyn. Meteorol. Oceanol.</t>
  </si>
  <si>
    <t>10.1111/j.1600-0870.2009.00391.x</t>
  </si>
  <si>
    <t>Meteorology &amp; Atmospheric Sciences; Oceanography</t>
  </si>
  <si>
    <t>427ZZ</t>
  </si>
  <si>
    <t>WOS:000264818900011</t>
  </si>
  <si>
    <t>Bryzgalo, VA; Ivanova, IM</t>
  </si>
  <si>
    <t>Bryzgalo, V. A.; Ivanova, I. M.</t>
  </si>
  <si>
    <t>Anthropogenic transformations of the hydrological-ecological state of rivers in the Russian Arctic</t>
  </si>
  <si>
    <t>WATER RESOURCES</t>
  </si>
  <si>
    <t>The dynamics of time and space variations in the composition of the aquatic medium is estimated and correlated with the governing factors of anthropogenic impact. The role of anthropogenic component is shown to be determining in the formation of the hydrochemical regime in Russian Arctic rivers.</t>
  </si>
  <si>
    <t>[Bryzgalo, V. A.; Ivanova, I. M.] Arctic &amp; Antarctic Res Inst, St Petersburg 199397, Russia</t>
  </si>
  <si>
    <t>Bryzgalo, VA (corresponding author), Arctic &amp; Antarctic Res Inst, Ul Beringa 38, St Petersburg 199397, Russia.</t>
  </si>
  <si>
    <t>MAIK NAUKA/INTERPERIODICA/SPRINGER</t>
  </si>
  <si>
    <t>233 SPRING ST, NEW YORK, NY 10013-1578 USA</t>
  </si>
  <si>
    <t>0097-8078</t>
  </si>
  <si>
    <t>1608-344X</t>
  </si>
  <si>
    <t>WATER RESOUR+</t>
  </si>
  <si>
    <t>Water Resour.</t>
  </si>
  <si>
    <t>10.1134/S0097807809030026</t>
  </si>
  <si>
    <t>Water Resources</t>
  </si>
  <si>
    <t>447CH</t>
  </si>
  <si>
    <t>WOS:000266168700002</t>
  </si>
  <si>
    <t>Shanklin, J; Moore, C; Colwell, S</t>
  </si>
  <si>
    <t>Shanklin, Jonathan; Moore, Cathy; Colwell, Steve</t>
  </si>
  <si>
    <t>Meteorological observing and climate in the British Antarctic Territory and South Georgia: Part 1</t>
  </si>
  <si>
    <t>[Shanklin, Jonathan; Moore, Cathy; Colwell, Steve] British Antarctic Survey, Cambridge CB3 0ET, England</t>
  </si>
  <si>
    <t>Shanklin, J (corresponding author), British Antarctic Survey, High Cross,Madingley Rd, Cambridge CB3 0ET, England.</t>
  </si>
  <si>
    <t>j.shanklin@bas.ac.uk</t>
  </si>
  <si>
    <t>10.1002/wea.391</t>
  </si>
  <si>
    <t>446KB</t>
  </si>
  <si>
    <t>WOS:000266119400009</t>
  </si>
  <si>
    <t>Shanklin, J</t>
  </si>
  <si>
    <t>Shanklin, Jonathan</t>
  </si>
  <si>
    <t>Super-volcanic eruptions: noctilucent clouds</t>
  </si>
  <si>
    <t>British Antarctic Survey, Cambridge, England</t>
  </si>
  <si>
    <t>Shanklin, J (corresponding author), British Antarctic Survey, Cambridge, England.</t>
  </si>
  <si>
    <t>Natural Environment Research Council [bas010020] Funding Source: researchfish; NERC [bas010020] Funding Source: UKRI</t>
  </si>
  <si>
    <t>JOHN WILEY &amp; SONS LTD</t>
  </si>
  <si>
    <t>CHICHESTER</t>
  </si>
  <si>
    <t>THE ATRIUM, SOUTHERN GATE, CHICHESTER PO19 8SQ, W SUSSEX, ENGLAND</t>
  </si>
  <si>
    <t>10.1002/wea.406</t>
  </si>
  <si>
    <t>WOS:000266119400012</t>
  </si>
  <si>
    <t>Truswell, EM; Macphail, MK</t>
  </si>
  <si>
    <t>Truswell, E. M.; Macphail, M. K.</t>
  </si>
  <si>
    <t>Polar forests on the edge of extinction: what does the fossil spore and pollen evidence from East Antarctica say?</t>
  </si>
  <si>
    <t>AUSTRALIAN SYSTEMATIC BOTANY</t>
  </si>
  <si>
    <t>CARBON-DIOXIDE CONCENTRATIONS; EARLIEST CRETACEOUS STRATA; PLIOCENE SIRIUS GROUP; SEYMOUR-ISLAND; ICE-SHEET; TRANSANTARCTIC MOUNTAINS; EARLY TERTIARY; PRYDZ BAY; STRATIGRAPHIC PALYNOLOGY; EOCENE SEDIMENTS</t>
  </si>
  <si>
    <t>Diverse pollen and spore assemblages, spanning the Late Eocene preglacial-glacial transition, have been recovered from Ocean Drilling Program cores from Prydz Bay, East Antarctica. These microfloras are mostly in situ and provide an unparalleled record of terrestrial plant communities growing in Antarctica during the earliest stages of ice-cap formation. The evidence provides a basis for assessing the phytogeographic relationships of the Antarctic floras with other high-latitude floras in the southern hemisphere, including possible migration routes for some taxa. Preliminary studies (Macphail and Truswell 2004a) suggested the Late Eocene vegetation at Prydz Bay was floristically impoverished rainforest scrub, similar to Nothofagus-gymnosperm communities found near the climatic treeline in Patagonia and Tasmania. Re-evaluation of the microfloras indicates the diversity of shrubs, especially Proteaceae, was underestimated and the Late Eocene vegetation was a mosaic of dwarfed (krumholtz) trees, scleromorphic shrubs and wetland herbs, analogous to the taiga found in the transition zone between the boreal conifer forest and tundra biomes across the Arctic Circle. Microfloras similar to although much less diverse than the Prydz Bay assemblages occur in coreholes from the Ross Sea region on the opposite side of Antarctica. Interpretation of the latter is complicated by reworking and low yields but the combined evidence points to the collapse of taller woody ecosystems during the Eocene-Oligocene transition and their replacement by tundra-like or fell-field vegetation during the Oligocene and Neogene. This temperature-forced regression seems to have been broadly synchronous across the continent. The high-palaeolatitude location (similar to 70 degrees S) means that the Prydz Bay flora was adapted to several months of winter darkness and short-summer growing seasons. The nearest living relatives of identifiable woody taxa suggest year-round high humidity, with an annual precipitation between similar to 1200 and 1500 mm. Palaeotemperatures are more difficult to quantify although the inferred humid microtherm climate is consistent with mean annual temperatures less than 12 degrees C and freezing winters.</t>
  </si>
  <si>
    <t>[Truswell, E. M.] Australian Natl Univ, Res Sch Earth Sci, Canberra, ACT 0200, Australia; [Macphail, M. K.] Australian Natl Univ, Res Sch Pacific &amp; Asian Studies, Dept Archaeol &amp; Nat Hist, Canberra, ACT 0200, Australia</t>
  </si>
  <si>
    <t>Australian National University; Australian National University</t>
  </si>
  <si>
    <t>Truswell, EM (corresponding author), Australian Natl Univ, Res Sch Earth Sci, GPO Box 4, Canberra, ACT 0200, Australia.</t>
  </si>
  <si>
    <t>etruswell@aapt.net.au</t>
  </si>
  <si>
    <t>Truswell, Elizabeth/0000-0003-1848-6961</t>
  </si>
  <si>
    <t>Geoscience Australia; Research School of Earth Sciences at the Australian National University</t>
  </si>
  <si>
    <t>Geoscience Australia; Research School of Earth Sciences at the Australian National University(Australian National University)</t>
  </si>
  <si>
    <t>We are grateful for the support of Geoscience Australia, in particular Dr Philip O'Brien (Co-chief Scientist on the ODP Leg 188) for providing samples, funding the palynogical analysis and publication of colour plates, and for much discussion regarding the geology of the Prydz Bay region. E. M. Truswell is grateful for the support provided by the Research School of Earth Sciences at the Australian National University, particularly that of Dr Patrick De Deckker, during her tenure as a Visiting Fellow. We express our thanks to Professor Geoff Hope (Department of Archaeology and Natural History, ANU) and Drs Dallas Mildenhall and Ian Raine (Geological and Nuclear Sciences, New Zealand) for helpful discussion on Tertiary Antarctica and related matters during many years. Additionally, Dr Christine Cargill (Australian National Botanical Gardens, Canberra) enabled our access to spores from cryptogams held in the ANBG collection.</t>
  </si>
  <si>
    <t>CSIRO PUBLISHING</t>
  </si>
  <si>
    <t>CLAYTON</t>
  </si>
  <si>
    <t>UNIPARK, BLDG 1, LEVEL 1, 195 WELLINGTON RD, LOCKED BAG 10, CLAYTON, VIC 3168, AUSTRALIA</t>
  </si>
  <si>
    <t>1030-1887</t>
  </si>
  <si>
    <t>1446-5701</t>
  </si>
  <si>
    <t>AUST SYST BOT</t>
  </si>
  <si>
    <t>Aust. Syst. Bot.</t>
  </si>
  <si>
    <t>APR 30</t>
  </si>
  <si>
    <t>10.1071/SB08046</t>
  </si>
  <si>
    <t>Plant Sciences; Evolutionary Biology</t>
  </si>
  <si>
    <t>439CD</t>
  </si>
  <si>
    <t>WOS:000265603600001</t>
  </si>
  <si>
    <t>Balco, G; Shuster, DL</t>
  </si>
  <si>
    <t>Balco, Greg; Shuster, David L.</t>
  </si>
  <si>
    <t>Production rate of cosmogenic 21Ne in quartz estimated from 10Be, 26Al, and 21Ne concentrations in slowly eroding Antarctic bedrock surfaces</t>
  </si>
  <si>
    <t>Cosmogenic nuclide geochronology; beryllium-10; aluminum-26; neon-21; Antarctica; production rate calibration</t>
  </si>
  <si>
    <t>NUCLIDE PRODUCTION-RATES; SOUTHERN VICTORIA LAND; DRY-VALLEYS; EXPOSURE AGES; TRANSANTARCTIC-MOUNTAINS; TERRESTRIAL ROCKS; CL-36 PRODUCTION; SIRIUS GROUP; EROSION; HE-3</t>
  </si>
  <si>
    <t>We estimated the production rate of Ne-21 in quartz using a set of samples from slowly eroding sandstone surfaces in the Antarctic Dry Valleys. Geologic evidence as well as cosmogenic Be-10 and Al-26 concentrations indicate that i) these sites have experienced millions of years of surface exposure at low erosion rates, and ii) steady erosion has been sustained long enough that surface Be-10 and Al-26 concentrations have reached equilibrium with the erosion rate. Under these conditions, surface cosmogenic Ne-21 concentrations should be a function only of the erosion rate and the Ne-21 production rate. As the erosion rate can be determined from Be-10 and Al-26 concentrations, this allows an estimate of the Ne-21 production rate. Estimating the reference Ne-21 production rate on this basis, with the assumption that all Ne-21 production is by neutron spallation, yields a poor fit to measured Ne-21 concentrations and a systematic residual that is correlated with the erosion rate of the sample site. The same steady-erosion assumption with a production model that includes production by deeply penetrating muons yields a good fit both to our measurements and to similar, independent, measurements from an Antarctic bedrock core. Both data sets together yield a total reference Ne-21 production rate of 18.3 +/- 0.4 atoms g(-1) a(-1), of which 0.66 +/- 0.10 atoms g(-1) a(-1) is due to muon interactions. (C) 2009 Elsevier B.V. All rights reserved.</t>
  </si>
  <si>
    <t>[Balco, Greg; Shuster, David L.] Berkeley Geochronol Ctr, Berkeley, CA 94709 USA</t>
  </si>
  <si>
    <t>Berkeley Geochronolgy Center</t>
  </si>
  <si>
    <t>Balco, G (corresponding author), Berkeley Geochronol Ctr, 2455 Ridge Rd, Berkeley, CA 94709 USA.</t>
  </si>
  <si>
    <t>balcs@bgc.org</t>
  </si>
  <si>
    <t>Shuster, David L/A-4838-2011</t>
  </si>
  <si>
    <t>National Science Foundation [ANT-0443535]; NSF [ANT-0338224, EAR-0618219]; Ann and Gordon Getty Foundation</t>
  </si>
  <si>
    <t>National Science Foundation(National Science Foundation (NSF)); NSF(National Science Foundation (NSF)); Ann and Gordon Getty Foundation</t>
  </si>
  <si>
    <t>GB was supported by a fellowship from the National Science Foundation, Office of Polar Programs (ANT-0443535) during part of the period of this work. 26Al and 10Be measurements were funded through this project. Additional support for field work was provided through NSF ANT-0338224 (J. Putkonen, PI). Jaakko Putkonen, Dan Morgan, Jon Connolly, Kate Craig, and Nathan Turpen participated in field work and assisted with sample collection. DLS acknowledges support from the NSF MRI program (EAR-0618219) and the Ann and Gordon Getty Foundation. The idea for the 39Ar spiking scheme originated with Ken Farley: Paul Renne provided the irradiated glass that allowed its implementation. We thank Lindsay Schoenbohm for providing 21Ne measurements from the Arena Valley core, as well as Ken Farley and an anonymous reviewer for comprehensive and helpful reviews.</t>
  </si>
  <si>
    <t>10.1016/j.epsl.2009.02.006</t>
  </si>
  <si>
    <t>440TR</t>
  </si>
  <si>
    <t>WOS:000265723100005</t>
  </si>
  <si>
    <t>Chance, R; Baker, AR; Küpper, FC; Hughes, C; Kloareg, B; Malin, G</t>
  </si>
  <si>
    <t>Chance, Rosie; Baker, Alex R.; Kuepper, Frithjof C.; Hughes, Claire; Kloareg, Bernard; Malin, Gill</t>
  </si>
  <si>
    <t>Release and transformations of inorganic iodine by marine macroalgae</t>
  </si>
  <si>
    <t>ESTUARINE COASTAL AND SHELF SCIENCE</t>
  </si>
  <si>
    <t>iodine; iodide; seaweeds; Laminaria sp.; Fucus sp.; biological stress</t>
  </si>
  <si>
    <t>LAMINARIA-DIGITATA; IODATE REDUCTION; DISSOLVED IODATE; SEAWATER; COASTAL; PHYTOPLANKTON; HALOCARBONS; SPECIATION; SEA; ENVIRONMENT</t>
  </si>
  <si>
    <t>A number of field and laboratory studies on the impact of marine macroalgae on dissolved inorganic iodine speciation are presented. Within tidally isolated rock pools, the brown macroalga Fucus serratus was found to both release stored iodide and to facilitate the reduction of iodate to iodide. In contrast, no discernible changes in iodine speciation were observed in rock pools containing green macroalgae of the genus Ulva. Incubation experiments confirmed that the macroalgae Laminaria digitata, E serratus and Kallymenia antarctica release iodide, though the rate of release varied between species and between specimens of the same species. Application of oxidative stress by treatment with cell wall derived oligoguluronate elicitors increased the efflux of iodide by L digitata approximately 20-fold. The release of iodide by macroalgae may impact upon the formation of volatile iodine species (molecular iodine and iodocarbons) that are of importance in the coastal atmosphere. (C) 2009 Elsevier Ltd. All rights reserved.</t>
  </si>
  <si>
    <t>[Chance, Rosie; Baker, Alex R.; Hughes, Claire; Malin, Gill] Univ E Anglia, Lab Global Marine &amp; Atmospher Chem, Sch Environm Sci, Norwich NR4 7TJ, Norfolk, England; [Kuepper, Frithjof C.; Kloareg, Bernard] Univ Paris 06, Biol Stn, UMR Vegetaux Marins &amp; Biomol 7139, CNRS, F-29682 Roscoff, Bretagne, France; [Kuepper, Frithjof C.] Scottish Assoc Marine Sci, Danstaffnage Marine Lab, Oban PA37 1QA, Argyll, Scotland</t>
  </si>
  <si>
    <t>University of East Anglia; Centre National de la Recherche Scientifique (CNRS); Sorbonne Universite; UHI Millennium Institute</t>
  </si>
  <si>
    <t>Chance, R (corresponding author), Univ York, Dept Chem, York YO10 5DD, N Yorkshire, England.</t>
  </si>
  <si>
    <t>rjc508@york.ac.uk</t>
  </si>
  <si>
    <t>Malin, Gill/C-6985-2009; Baker, Alex R/D-1233-2011</t>
  </si>
  <si>
    <t>Kuepper, Frithjof/0000-0003-1273-7109; Chance, Rosie/0000-0002-5906-176X; Malin, Gill/0000-0002-3639-9215; Baker, Alex/0000-0002-8365-8953</t>
  </si>
  <si>
    <t>UK Natural Environment Research Council (NERC) [NER/S/A/2003/11224, GR3/9947, NE/B501039/1, NER/G/S/2003/0024]; Studienstiftung des deutschen Volkes (German Academic Merit Foundation); European Commission; NERC [NE/D006538/1, dml010007, NE/D006546/1] Funding Source: UKRI; Natural Environment Research Council [NE/B501039/1, dml010007, NE/D006538/1, NE/D006546/1] Funding Source: researchfish</t>
  </si>
  <si>
    <t>UK Natural Environment Research Council (NERC)(UK Research &amp; Innovation (UKRI)Natural Environment Research Council (NERC)); Studienstiftung des deutschen Volkes (German Academic Merit Foundation); European Commission(European Union (EU)European Commission Joint Research Centre); NERC(UK Research &amp; Innovation (UKRI)Natural Environment Research Council (NERC)); Natural Environment Research Council(UK Research &amp; Innovation (UKRI)Natural Environment Research Council (NERC))</t>
  </si>
  <si>
    <t>RJC was supported by UK Natural Environment Research Council (NERC) PhD studentship NER/S/A/2003/11224. AB was supported by NERC grant GR3/9947 and GM by a NERC Advanced Fellowship NE/B501039/1. FCK gratefully acknowledges doctoral fellowships from Studienstiftung des deutschen Volkes (German Academic Merit Foundation) and the European Commission (Marie Curie Fellowship, Program MAST-III). CH and RJC conducted Antarctic fieldwork under NERC Antarctic Funding Initiative (AFI) grant NER/G/S/2003/0024 and would like to thank the Rothera dive team for collection of macroalgal specimens and Martin Miller and the AFI office for logistical help and assistance. The authors are also grateful to the EU-PARFORCE (New Particle Formation and Fate in the Coastal Environment) project for their hospitality during the Mace Head campaign and Casey Ryan and family for assistance with the rock pool experiments conducted in Cornwall. Thanks also to the anonymous reviewers, whose comments improved the manuscript.</t>
  </si>
  <si>
    <t>ACADEMIC PRESS LTD- ELSEVIER SCIENCE LTD</t>
  </si>
  <si>
    <t>LONDON</t>
  </si>
  <si>
    <t>24-28 OVAL RD, LONDON NW1 7DX, ENGLAND</t>
  </si>
  <si>
    <t>0272-7714</t>
  </si>
  <si>
    <t>1096-0015</t>
  </si>
  <si>
    <t>ESTUAR COAST SHELF S</t>
  </si>
  <si>
    <t>Estuar. Coast. Shelf Sci.</t>
  </si>
  <si>
    <t>10.1016/j.ecss.2009.02.004</t>
  </si>
  <si>
    <t>438RP</t>
  </si>
  <si>
    <t>WOS:000265573400005</t>
  </si>
  <si>
    <t>McMahon, CR; White, GC</t>
  </si>
  <si>
    <t>McMahon, Clive R.; White, Gary C.</t>
  </si>
  <si>
    <t>Tag loss probabilities are not independent: Assessing and quantifying the assumption of independent tag transition probabilities from direct observations</t>
  </si>
  <si>
    <t>JOURNAL OF EXPERIMENTAL MARINE BIOLOGY AND ECOLOGY</t>
  </si>
  <si>
    <t>Age-specific tag loss; Capture-mark-recapture (CMR); Demography; Mirounga leonina; Mortality bias; Permanent marks</t>
  </si>
  <si>
    <t>SOUTHERN ELEPHANT SEALS; MIROUNGA-LEONINA; 1ST-YEAR SURVIVAL; HOT-IRON; MARK; RECAPTURE; INFERENCE; MODEL; MASS</t>
  </si>
  <si>
    <t>The ability to identify animals individually throughout their lives is a cornerstone of sound population ecology research. However, because not all marks are permanent it is important to accurately account for the loss of marks. To this end, animals are often marked with two marks to limit the chance of the animal being presumed dead i.e. lost to the study by being individually unidentifiable, when actually alive. To account for the eventuality that both marks are lost, mark loss rates are generally assumed to be independent and adjustments to the number of animals alive are made accordingly. This assumption that tags on the same animal are lost independently was tested within the multi-model-inference framework in a study of 5928 branded, tagged and weighed (at weaning) elephant seals at Macquarie Island. Our key finding was that the probability of loosing a second tag after the first had been lost was dependent on the probability of having already lost a first tag and that on average there was a 28.1% greater likelihood of loosing a second tag once the first had been lost. Indeed, there was no support (Delta QAIC(c)&gt;64.5) for models which included this assumption of independence. We found little evidence for differences in the tag loss rates between the sexes (ER = 1.08, i.e. models with and without the gender/sex variable were equivalent). However, we did find that heavier seals were more likely to retain their tags (psi(2:2) and psi(1:1) combined) than lighter seals (0.96 year(-1) and 0.83 year(-1) respectively), and that lighter seals were more likely to move into the zero tag state than heavier seals (psi(2:0) 0.386 year(-1) and 0.187 year(-1) respectively and psi(1:0) 0.121 year(-1) and 0.057 year(-1) respectively). We suggest that tag loss in lighter seals may exhibit a higher degree of dependence than heavier seals. Using age and site specific tag loss estimates are crucial when correcting survival estimates in mark-recapture studies because there are a number of factors that may be responsible for differences in the rates of loss e.g. tag placement and animal condition. Importantly, there is a growing body of evidence, to which this study contributes, showing that the general assumption of independence to calculate double tag loss is flawed, we suggest that where possible permanent methods of marking should be considered ahead of other non-permanent methods. (C) 2009 Published by Elsevier B.V.</t>
  </si>
  <si>
    <t>[McMahon, Clive R.] Charles Darwin Univ, Sch Environm Res, Darwin, NT 0909, Australia; [McMahon, Clive R.] Australian Govt Antarctic Div, Kingston, Tas 7050, Australia; [White, Gary C.] Colorado State Univ, Dept Fish Wildlife &amp; Conservat Biol, Ft Collins, CO 80523 USA</t>
  </si>
  <si>
    <t>Charles Darwin University; Australian Antarctic Division; Colorado State University</t>
  </si>
  <si>
    <t>McMahon, CR (corresponding author), Charles Darwin Univ, Sch Environm Res, Casuarina Campus, Darwin, NT 0909, Australia.</t>
  </si>
  <si>
    <t>clive.mcmahon@cdu.edu.au</t>
  </si>
  <si>
    <t>White, Gary/CAG-1290-2022; McMahon, Clive R/D-5713-2013</t>
  </si>
  <si>
    <t>McMahon, Clive R/0000-0001-5241-8917</t>
  </si>
  <si>
    <t>0022-0981</t>
  </si>
  <si>
    <t>1879-1697</t>
  </si>
  <si>
    <t>J EXP MAR BIOL ECOL</t>
  </si>
  <si>
    <t>J. Exp. Mar. Biol. Ecol.</t>
  </si>
  <si>
    <t>10.1016/j.jembe.2009.02.006</t>
  </si>
  <si>
    <t>Ecology; Marine &amp; Freshwater Biology</t>
  </si>
  <si>
    <t>Environmental Sciences &amp; Ecology; Marine &amp; Freshwater Biology</t>
  </si>
  <si>
    <t>438JW</t>
  </si>
  <si>
    <t>WOS:000265552700005</t>
  </si>
  <si>
    <t>Tverberg, V; Nost, OA</t>
  </si>
  <si>
    <t>Tverberg, V.; Nost, O. A.</t>
  </si>
  <si>
    <t>Eddy overturning across a shelf edge front: Kongsfjorden, west Spitsbergen</t>
  </si>
  <si>
    <t>ANTARCTIC CIRCUMPOLAR CURRENT; RESIDUAL-MEAN VELOCITY; CIRCULATION; OCEAN; TOPOGRAPHY; EQUATIONS; SVALBARD; EDDIES; MODEL; FLOW</t>
  </si>
  <si>
    <t>Eddy overturning across a shelf edge front has been investigated in a simplified model setup comprising an along-slope uniform shelf and slope with a slope current. Results from three model runs are presented, each initiated with and nudged toward a sharp shelf edge front in temperature, salinity, density, and velocity. Data collected off Kongsfjorden at Spitsbergen were used for initiating the model runs. Three distinctly different density fronts were used to initialize the model runs, one with a negative cross-frontal density gradient toward the shelf, one with a positive density gradient, and one with a combination of negative density gradient in the upper water column and a positive in the lower water column. The model results indicate that the initial cross-frontal density gradients determine the eddy overturning direction, acting toward flattened or terrain-following isopycnals. The steady state modeled fronts resemble quite well the observed front structures, as well as temperature and salinity fields. This indicates that eddy overturning plays an important role in cross-frontal exchange of water masses along the shelf edge front off west Spitsbergen. The Eulerian mean cross-slope flow is close to zero, and the corresponding fluxes do not describe the correct vertical distribution.</t>
  </si>
  <si>
    <t>[Tverberg, V.; Nost, O. A.] Norwegian Polar Res Inst, Polar Environm Ctr, N-9296 Tromso, Norway</t>
  </si>
  <si>
    <t>Norwegian Polar Institute</t>
  </si>
  <si>
    <t>Tverberg, V (corresponding author), Norwegian Polar Res Inst, Polar Environm Ctr, N-9296 Tromso, Norway.</t>
  </si>
  <si>
    <t>vigdis.tverberg@npolar.no; ole.anders.nost@npolar.no</t>
  </si>
  <si>
    <t>Tverberg, Vigdis/AAC-8801-2021</t>
  </si>
  <si>
    <t>Tverberg, Vigdis/0000-0001-8065-9988; Nost, Ole Anders/0000-0002-6139-4088</t>
  </si>
  <si>
    <t>Research Council of Norway [165112/S30]</t>
  </si>
  <si>
    <t>Thanks to Frank Nilsen at the University Centre in Svalbard for providing the CTD data from April 2007. The model runs were performed at the Snowstorm cluster at the University of Tromso. This work is a contribution to the Research Council of Norway - funded project MariClim 165112/S30.</t>
  </si>
  <si>
    <t>C04024</t>
  </si>
  <si>
    <t>10.1029/2008JC005106</t>
  </si>
  <si>
    <t>440AT</t>
  </si>
  <si>
    <t>WOS:000265670800002</t>
  </si>
  <si>
    <t>Li, YS; Cole-Dai, JH; Zhou, LY</t>
  </si>
  <si>
    <t>Li, Yuansheng; Cole-Dai, Jihong; Zhou, Liya</t>
  </si>
  <si>
    <t>Glaciochemical evidence in an East Antarctica ice core of a recent (AD 1450-1850) neoglacial episode</t>
  </si>
  <si>
    <t>DRONNING MAUD LAND; HOLOCENE CLIMATE; SOUTH-POLE; EXPLOSIVE VOLCANISM; PALMER DEEP; RECORD; ACCUMULATION; SNOW; DOME; AEROSOL</t>
  </si>
  <si>
    <t>Chemical analysis of a shallow (82.5 m) ice core from a location (DT263) in the essentially unexplored area of Princess Elizabeth Land, East Antarctica, has been used to construct a continuous, high-resolution 780-year (AD 1207-1996) glaciochemical record. During the twentieth century, snow accumulation rates and concentrations of chemical species in snow appear to be stable with short-term variations, indicating relatively stable and warm climatic conditions. The period of AD 1450-1850 in this record is characterized by sharply reduced snow accumulation rates and decreased concentrations of several chemical species that suffer postdepositional losses linked to very low accumulation rates. These characteristics are consistent with colder climatic conditions and suggest that this is likely a neoglacial episode. The timing of this episode coincides with the Little Ice Age (LIA), a relatively cold period in the Northern Hemisphere between the beginning of the fifteenth century and the end of the nineteenth century. Evidence in ice core and sedimentary records also indicates neoglacial conditions in some Southern Hemisphere locations during the general time frame of LIA. The DT263 record, along with a few published ice core records, points to the existence of an LIA-type climatic episode in Antarctica between the fifteenth century and the twentieth century. However, other Antarctic ice core records show no such evidence. Together, these records highlight the regional differences in Holocene climate variations in Antarctica. The DT263 record suggests that colder and drier conditions prevailed during the LIA time period at the eastern Indian Ocean sector of East Antarctica.</t>
  </si>
  <si>
    <t>[Li, Yuansheng] Polar Res Inst China, Shanghai 200136, Peoples R China; [Cole-Dai, Jihong] S Dakota State Univ, Dept Chem &amp; Biochem, Brookings, SD 57007 USA; [Zhou, Liya] Nanjing Univ, Minist Educ, Key Lab Coast &amp; Isl Dev, Sch Geog &amp; Oceanog Sci, Nanjing 210093, Peoples R China</t>
  </si>
  <si>
    <t>Polar Research Institute of China; South Dakota State University; Nanjing University</t>
  </si>
  <si>
    <t>Li, YS (corresponding author), Polar Res Inst China, 451 Jinqiao Rd, Shanghai 200136, Peoples R China.</t>
  </si>
  <si>
    <t>lysh@pric.gov.cn; jihong.cole-dai@sdstate.edu; liyazhou@nju.edu.cn</t>
  </si>
  <si>
    <t>周, 丽敏/JEO-3613-2023; Zhou, Li/GSE-4531-2022; Cole-Dai, Jihong/B-2510-2009</t>
  </si>
  <si>
    <t>Cole-Dai, Jihong/0000-0003-0921-5916</t>
  </si>
  <si>
    <t>Natural Science Foundation of China [NSFC 49973006/D03, NSFC 40773074/D0309, NSFC 40703019/D0309]; Ministry of Science and Technology of China [MSTC 2006BAB18B01]; U.S. National Science Foundation [NSF 0049082, NSF 0087151, NSF 0337933, NSF 0538553]</t>
  </si>
  <si>
    <t>Natural Science Foundation of China(National Natural Science Foundation of China (NSFC)); Ministry of Science and Technology of China(Ministry of Science and Technology, China); U.S. National Science Foundation(National Science Foundation (NSF))</t>
  </si>
  <si>
    <t>We are indebted to members of the CHINARE Third Inland Traverse (1998/1999) team for collecting the ice core and snow samples. We thank three anonymous reviewers for their thoughtful and constructive comments, which helped improve the original manuscript. This research was supported in part by Natural Science Foundation of China grants NSFC 49973006/D03, 40773074/D0309, 40703019/D0309 and Ministry of Science and Technology of China grant MSTC 2006BAB18B01 (Y. Li) and U.S. National Science Foundation grants NSF 0049082, 0087151, 0337933, and 0538553 (J. Cole-Dai).</t>
  </si>
  <si>
    <t>APR 28</t>
  </si>
  <si>
    <t>D08117</t>
  </si>
  <si>
    <t>10.1029/2008JD011091</t>
  </si>
  <si>
    <t>439ZM</t>
  </si>
  <si>
    <t>WOS:000265667200007</t>
  </si>
  <si>
    <t>Gounelle, M; Chaussidon, M; Morbidelli, A; Barrat, JA; Engrand, C; Zolensky, ME; McKeegan, KD</t>
  </si>
  <si>
    <t>Gounelle, Matthieu; Chaussidon, Marc; Morbidelli, Alessandro; Barrat, Jean-Alix; Engrand, Cecile; Zolensky, Michael E.; McKeegan, Kevin D.</t>
  </si>
  <si>
    <t>A unique basaltic micrometeorite expands the inventory of solar system planetary crusts</t>
  </si>
  <si>
    <t>asteroids; cosmic dust; differentiation</t>
  </si>
  <si>
    <t>ANTARCTIC MICROMETEORITES; COSMIC SPHERULES; OXYGEN ISOTOPES; ACCRETION RATE; PARENT BODY; SOUTH-POLE; MAIN BELT; METEORITES; VESTA; COLLECTION</t>
  </si>
  <si>
    <t>Micrometeorites with diameter approximate to 100-200 mu m dominate the flux of extraterrestrial matter on Earth. The vast majority of micrometeorites are chemically, mineralogically, and isotopically related to carbonaceous chondrites, which amount to only 2.5% of meteorite falls. Here, we report the discovery of the first basaltic micrometeorite (MM40). This micrometeorite is unlike any other basalt known in the solar system as revealed by isotopic data, mineral chemistry, and trace element abundances. The discovery of a new basaltic asteroidal surface expands the solar system inventory of planetary crusts and underlines the importance of micrometeorites for sampling the asteroids' surfaces in a way complementary to meteorites, mainly because they do not suffer dynamical biases as meteorites do. The parent asteroid of MM40 has undergone extensive metamorphism, which ended no earlier than 7.9 Myr after solar system formation. Numerical simulations of dust transport dynamics suggest that MM40 might originate from one of the recently discovered basaltic asteroids that are not members of the Vesta family. The ability to retrieve such a wealth of information from this tiny (a few micrograms) sample is auspicious some years before the launch of a Mars sample return mission.</t>
  </si>
  <si>
    <t>[Gounelle, Matthieu] CNRS, UMR 7202, Lab Mineral, F-75005 Paris, France; [Gounelle, Matthieu] CNRS, UMR 7202, Museum Natl Hist Nat, Cosmochim Museum, F-75005 Paris, France; [Chaussidon, Marc] Nancy Univ, CNRS, UPR 2300, Ctr Rech Petrog &amp; Geochim, Notre Dame Des Pauvres, France; [Morbidelli, Alessandro] Observ Cote Azur, F-06304 Nice, France; [Barrat, Jean-Alix] Univ Bretagne Occidentale, Inst Univ Europeen Mer, CNRS, UMR 6538 Domaines Ocean, F-29280 Plouzane, France; [Engrand, Cecile] Univ Paris 11, Ctr Spectrometrie Nucl &amp; Spectrometrie Masse, CNRS, F-91405 Orsay, France; [Zolensky, Michael E.] NASA, Lyndon B Johnson Space Ctr, Houston, TX 77058 USA; [McKeegan, Kevin D.] Univ Calif Los Angeles, Dept Earth &amp; Space Sci, Los Angeles, CA 90095 USA</t>
  </si>
  <si>
    <t>Museum National d'Histoire Naturelle (MNHN); Centre National de la Recherche Scientifique (CNRS); Centre National de la Recherche Scientifique (CNRS); Museum National d'Histoire Naturelle (MNHN); Universite de Lorraine; Centre National de la Recherche Scientifique (CNRS); Universite Cote d'Azur; Observatoire de la Cote d'Azur; Universite de Bretagne Occidentale; Institut Universitaire Europeen de la Mer (IUEM); Centre National de la Recherche Scientifique (CNRS); CNRS - National Institute for Earth Sciences &amp; Astronomy (INSU); Centre National de la Recherche Scientifique (CNRS); Universite Paris Saclay; National Aeronautics &amp; Space Administration (NASA); NASA Johnson Space Center; University of California System; University of California Los Angeles</t>
  </si>
  <si>
    <t>Gounelle, M (corresponding author), CNRS, UMR 7202, Lab Mineral, CP52,57 Rue Cuvier, F-75005 Paris, France.</t>
  </si>
  <si>
    <t>gounelle@mnhn.fr</t>
  </si>
  <si>
    <t>Jean-Alix, BARRAT/F-8035-2012; Chaussidon, Marc/E-7067-2017; McKeegan, Kevin/A-4107-2008; Barrat, Jean Alix/C-8416-2017</t>
  </si>
  <si>
    <t>Zolensky, Michael/0000-0002-3181-1303; McKeegan, Kevin/0000-0002-1827-729X; Barrat, Jean Alix/0000-0003-3158-3109</t>
  </si>
  <si>
    <t>Program National de Planetologie (PNP); Centre National de la Recherche Scientifique [2006-3482]; European Grant ORIGINS [MRTN-CT-2006-035519]; Institut Polaire Francais Paul-Emile Victor (IPEV)</t>
  </si>
  <si>
    <t>Program National de Planetologie (PNP); Centre National de la Recherche Scientifique(Centre National de la Recherche Scientifique (CNRS)); European Grant ORIGINS; Institut Polaire Francais Paul-Emile Victor (IPEV)</t>
  </si>
  <si>
    <t>We thank Michel Maurette and Gero Kurat for their pioneering work on micrometeorites and for fruitful discussions and insights on the origin of this particle, and two anonymous reviewers for their very constructive comments, and for bringing our attention to the basaltic clasts in ordinary chondrites. This work was supported by the Program National de Planetologie (PNP), the France-Etats-Unis fund from Centre National de la Recherche Scientifique [2006-3482], and European Grant ORIGINS [MRTN-CT-2006-035519]. The Institut Polaire Francais Paul-Emile Victor (IPEV) constantly supported the efforts of the Orsay group to collect micrometeorites. This is CRPG contribution # 1989.</t>
  </si>
  <si>
    <t>10.1073/pnas.0900328106</t>
  </si>
  <si>
    <t>438VS</t>
  </si>
  <si>
    <t>Green Submitted, Green Published</t>
  </si>
  <si>
    <t>WOS:000265584500009</t>
  </si>
  <si>
    <t>Murata, A; Kumamoto, Y; Sasaki, K; Watanabe, S; Fukasawa, M</t>
  </si>
  <si>
    <t>Murata, Akihiko; Kumamoto, Yuichiro; Sasaki, Ken-ichi; Watanabe, Shuichi; Fukasawa, Masao</t>
  </si>
  <si>
    <t>Decadal increases of anthropogenic CO2 along 149°E in the western North Pacific</t>
  </si>
  <si>
    <t>INTERMEDIATE WATER; TEMPORAL-CHANGES; OCEAN; PCO(2); OXYGEN; SINK</t>
  </si>
  <si>
    <t>Using high-quality data for dissolved inorganic carbon and the related water properties obtained by two cruises over 12 years (1993-2005), we estimated increases in anthropogenic CO2 (Delta nC(T)(CAL)) along the 149 degrees E meridian (WHP P10) from 4 degrees S to 30 degrees N. Significant Delta nC(T)(CAL) was found down to a maximum depth of about 800 m. In the upper thermocline (25.0- 26.0sq), Delta nC(T)(CAL) was mostly 10(-13) mu mol kg(-1), close to the value expected from recent increases in atmospheric CO2. In the lower thermocline (26.1- 27.5sq), Delta nC(T)(CAL) was 3.5 +/- 0.9 and 4.7 +/- 1.7 mu mol kg(-1) in North Pacific Intermediate Water and Antarctic Intermediate Water, respectively. Water column inventories of Delta nC(T)(CAL) over the 12 years were calculated to be 3.8 +/- 1.2 mol m(-2) (minimum) and 7.3 +/- 2.2 mol m(-2) (maximum) at latitudes 0 degrees-10 degrees N and 24 degrees N-30 degrees N, respectively, showing a distribution pattern similar to that of the long-term anthropogenic CO2 accumulation reported previously. The uptake rate of anthropogenic CO2 along the WHP P10 line over the time period was estimated to be 0.5 +/- 0.1 mol m(-2) a(-1), which is half the rate in the South Pacific (1.0 +/- 0.4 mol m(-2) a(-1)), but equal to that in the South Atlantic (0.6 +/- 0.1 mol m(-2) a(-1)). We discuss the relationships between Delta nC(T)(CAL) and changes in apparent oxygen utilization from the standpoint of physical- biological interactions.</t>
  </si>
  <si>
    <t>[Murata, Akihiko; Kumamoto, Yuichiro; Watanabe, Shuichi; Fukasawa, Masao] Japan Agcy Marine Earth Sci &amp; Technol, Inst Observat Res Global Change, Yokosuka, Kanagawa 2370061, Japan; [Sasaki, Ken-ichi] Japan Agcy Marine Earth Sci &amp; Technol, Mutsu Inst Oceanog, Aomori 0350022, Japan</t>
  </si>
  <si>
    <t>Japan Agency for Marine-Earth Science &amp; Technology (JAMSTEC); Japan Agency for Marine-Earth Science &amp; Technology (JAMSTEC)</t>
  </si>
  <si>
    <t>Murata, A (corresponding author), Japan Agcy Marine Earth Sci &amp; Technol, Inst Observat Res Global Change, 2-15 Natsushima, Yokosuka, Kanagawa 2370061, Japan.</t>
  </si>
  <si>
    <t>murataa@jamstec.go.jp</t>
  </si>
  <si>
    <t>APR 25</t>
  </si>
  <si>
    <t>C04018</t>
  </si>
  <si>
    <t>10.1029/2008JC004920</t>
  </si>
  <si>
    <t>438DX</t>
  </si>
  <si>
    <t>WOS:000265537200004</t>
  </si>
  <si>
    <t>Vihma, T; Johansson, MM; Launiainen, J</t>
  </si>
  <si>
    <t>Vihma, Timo; Johansson, Milla M.; Launiainen, Jouko</t>
  </si>
  <si>
    <t>Radiative and turbulent surface heat fluxes over sea ice in the western Weddell Sea in early summer</t>
  </si>
  <si>
    <t>ARCTIC BOUNDARY-LAYER; ENERGY-BALANCE; BALTIC SEA; STATION-WEDDELL; DIURNAL CYCLE; AIR ADVECTION; BUDGET; SNOW; ANTARCTICA; EXCHANGE</t>
  </si>
  <si>
    <t>The radiative and turbulent heat fluxes between the snow-covered sea ice and the atmosphere were analyzed on the basis of observations during the Ice Station Polarstern (ISPOL) in the western Weddell Sea from 28 November 2004 to 2 January 2005. The net heat flux to the snowpack was 3 +/- 2 W m(-2) (mean +/- standard deviation; defined positive toward snow), consisting of the net shortwave radiation (52 +/- 8 W m(-2)), net longwave radiation (-29 +/- 4 W m-(2)), latent heat flux (-14 +/- 5 W m(-2)), and sensible heat flux (-6 +/- 5 W m(-2)). The snowpack receives heat at daytime while releases heat every night. Snow thinning was due to approximately equal contributions of the increase of snow density, melt, and evaporation. The surface albedo only decreased from 0.9 to 0.8. During a case of cold air advection, the sensible heat flux was even below -50 W m(-2). At night, the snow surface temperature was strongly controlled by the incoming longwave radiation. The diurnal cycle in the downward solar radiation drove diurnal cycles in 14 other variables. Comparisons against observations from the Arctic sea ice in summer indicated that at ISPOL the air was colder, surface albedo was higher, and a larger portion of the absorbed solar radiation was returned to the atmosphere via turbulent heat fluxes. The limited melt allowed larger diurnal cycles. Due to regional differences in atmospheric circulation and ice conditions, the ISPOL results cannot be fully generalized for the entire Antarctic sea ice zone.</t>
  </si>
  <si>
    <t>[Vihma, Timo] Finnish Meteorol Inst, FI-00101 Helsinki, Finland; [Johansson, Milla M.; Launiainen, Jouko] Finnish Inst Marine Res, Helsinki, Finland</t>
  </si>
  <si>
    <t>Finnish Meteorological Institute</t>
  </si>
  <si>
    <t>Vihma, T (corresponding author), Finnish Meteorol Inst, POB 503,Erik Palmenin Aukio 1, FI-00101 Helsinki, Finland.</t>
  </si>
  <si>
    <t>timo.vihma@fmi.fi</t>
  </si>
  <si>
    <t>Vihma, Timo/ABC-9771-2020</t>
  </si>
  <si>
    <t>Johansson, Milla/0000-0002-9566-5149</t>
  </si>
  <si>
    <t>Academy of Finland [78458, 210794]; Finnish Antarctic Research Programme (FINNARP); Academy of Finland (AKA) [210794, 78458] Funding Source: Academy of Finland (AKA)</t>
  </si>
  <si>
    <t>Academy of Finland(Research Council of Finland); Finnish Antarctic Research Programme (FINNARP); Academy of Finland (AKA)(Research Council of Finland)</t>
  </si>
  <si>
    <t>We thank the captain and crew of R/V Polarstern and the other scientists at ISPOL for their continuous support. In particular, Jorg Bareiss, Pekka Kosloff, Marcel Nicolaus, and Sascha Willmes are acknowledged for their collaboration in the field work and data quality control. We thank Christian Haas and another reviewer for their constructive comments on the manuscript, and Roberta Pirazzini for fruitful discussions. The research was funded by the Academy of Finland grants 78458 and 210794, and the Finnish Antarctic Research Programme (FINNARP) supported the field work.</t>
  </si>
  <si>
    <t>C04019</t>
  </si>
  <si>
    <t>10.1029/2008JC004995</t>
  </si>
  <si>
    <t>WOS:000265537200006</t>
  </si>
  <si>
    <t>Lea, MA; Johnson, D; Ream, R; Sterling, J; Melin, S; Gelatt, T</t>
  </si>
  <si>
    <t>Lea, Mary-Anne; Johnson, Devin; Ream, Rolf; Sterling, Jeremy; Melin, Sharon; Gelatt, Tom</t>
  </si>
  <si>
    <t>Extreme weather events influence dispersal of naive northern fur seals</t>
  </si>
  <si>
    <t>BIOLOGY LETTERS</t>
  </si>
  <si>
    <t>migration; Alaska; storms; Bering Sea</t>
  </si>
  <si>
    <t>CALLORHINUS-URSINUS; MIGRATION; PUPS; CAPABILITIES</t>
  </si>
  <si>
    <t>Since 1975, northern fur seal (Callorhinus ursinus) numbers at the Pribilof Islands (PI) in the Bering Sea have declined rapidly for unknown reasons. Migratory dispersal and habitat choice may affect first-year survivorship, thereby contributing to this decline. We compared migratory behaviour of 166 naive pups during 2 years from islands with disparate population trends (increasing: Bogoslof and San Miguel Islands; declining: PI), hypothesizing that climatic conditions at weaning may differentially affect dispersal and survival. Atmospheric conditions (Bering Sea) in autumn 2005-2006 were anomalously cold, while 2006-2007 was considerably warmer and less stormy. In 2005, pups departed earlier at all sites, and the majority of PI pups (68-85%) departed within 1 day of Arctic storms and dispersed quickly, travelling southwards through the Aleutian Islands. Tailwinds enabled faster rates of travel than headwinds, a trend not previously shown for marine mammals. Weather effects were less pronounced at Bogoslof Island (approx. 400 km further south), and, at San Miguel Island, (California) departures were more gradual, and only influenced by wind and air pressure in 2005. We suggest that increasingly variable climatic conditions at weaning, particularly timing, frequency and intensity of autumnal storms in the Bering Sea, may alter timing, direction of dispersal and potentially survival of pups.</t>
  </si>
  <si>
    <t>[Lea, Mary-Anne; Johnson, Devin; Ream, Rolf; Sterling, Jeremy; Melin, Sharon; Gelatt, Tom] Alaska Fisheries Sci Ctr, Natl Marine Mammal Lab, Seattle, WA 98115 USA</t>
  </si>
  <si>
    <t>National Oceanic Atmospheric Admin (NOAA) - USA</t>
  </si>
  <si>
    <t>Lea, MA (corresponding author), Univ Tasmania, Antarctic Wildlife Res Unit, PB5, Hobart, Tas 7000, Australia.</t>
  </si>
  <si>
    <t>ma_lea@utas.edu.au</t>
  </si>
  <si>
    <t>Lea, Mary-Anne/E-9054-2013</t>
  </si>
  <si>
    <t>Lea, Mary-Anne/0000-0001-8318-9299</t>
  </si>
  <si>
    <t>ROYAL SOC</t>
  </si>
  <si>
    <t>6-9 CARLTON HOUSE TERRACE, LONDON SW1Y 5AG, ENGLAND</t>
  </si>
  <si>
    <t>1744-9561</t>
  </si>
  <si>
    <t>1744-957X</t>
  </si>
  <si>
    <t>BIOL LETTERS</t>
  </si>
  <si>
    <t>Biol. Lett.</t>
  </si>
  <si>
    <t>APR 23</t>
  </si>
  <si>
    <t>10.1098/rsbl.2008.0643</t>
  </si>
  <si>
    <t>Biology; Ecology; Evolutionary Biology</t>
  </si>
  <si>
    <t>Life Sciences &amp; Biomedicine - Other Topics; Environmental Sciences &amp; Ecology; Evolutionary Biology</t>
  </si>
  <si>
    <t>421PX</t>
  </si>
  <si>
    <t>Green Published, Green Accepted</t>
  </si>
  <si>
    <t>WOS:000264371900032</t>
  </si>
  <si>
    <t>Atkinson, CP; Wells, NC; Blaker, AT; Sinha, B; Ivchenko, VO</t>
  </si>
  <si>
    <t>Atkinson, C. P.; Wells, N. C.; Blaker, A. T.; Sinha, B.; Ivchenko, V. O.</t>
  </si>
  <si>
    <t>Rapid ocean wave teleconnections linking Antarctic salinity anomalies to the equatorial ocean-atmosphere system</t>
  </si>
  <si>
    <t>GLOBAL TELECONNECTIONS; SEA; OSCILLATION</t>
  </si>
  <si>
    <t>The coupled climate model FORTE is used to investigate rapid ocean teleconnections between the Southern Ocean and equatorial Pacific Ocean. Salinity anomalies located throughout the Southern Ocean generate barotropic signals that propagate along submerged topographic features and result in the growth of baroclinic energy anomalies around Indonesia and the tropical Pacific. Anomalies in the Ross, Bellingshausen and Amundsen Seas exchange the most barotropic kinetic energy between high and low latitudes. In the equatorial Pacific, baroclinic Kelvin waves are excited which propagate eastwards along the thermocline, resulting in SST anomalies in the central and eastern Pacific. SST anomalies are subsequently amplified to magnitudes of 1.25 degrees C by air-sea interaction, which could potentially influence other coupled Pacific phenomena. Citation: Atkinson, C. P., N. C. Wells, A. T. Blaker, B. Sinha, and V. O. Ivchenko (2009), Rapid ocean wave teleconnections linking Antarctic salinity anomalies to the equatorial ocean-atmosphere system, Geophys. Res. Lett., 36, L08603, doi: 10.1029/2008GL036976.</t>
  </si>
  <si>
    <t>[Atkinson, C. P.; Wells, N. C.; Blaker, A. T.; Sinha, B.; Ivchenko, V. O.] Univ Southampton, Natl Oceanog Ctr, Southampton SO14 3ZH, Hants, England</t>
  </si>
  <si>
    <t>NERC National Oceanography Centre; University of Southampton</t>
  </si>
  <si>
    <t>Atkinson, CP (corresponding author), Univ Southampton, Natl Oceanog Ctr, Southampton SO14 3ZH, Hants, England.</t>
  </si>
  <si>
    <t>cpa105@noc.soton.ac.uk</t>
  </si>
  <si>
    <t>Blaker, Adam T/I-8861-2012</t>
  </si>
  <si>
    <t>Blaker, Adam/0000-0001-5454-0131</t>
  </si>
  <si>
    <t>UK NERC based at NOC, Southampton; NERC standard grant award [NE/E0050044/1]; Natural Environment Research Council [soc010011, NE/E005004/1] Funding Source: researchfish; NERC [NE/E005004/1, soc010011] Funding Source: UKRI</t>
  </si>
  <si>
    <t>UK NERC based at NOC, Southampton(UK Research &amp; Innovation (UKRI)Natural Environment Research Council (NERC)); NERC standard grant award(UK Research &amp; Innovation (UKRI)Natural Environment Research Council (NERC)); Natural Environment Research Council(UK Research &amp; Innovation (UKRI)Natural Environment Research Council (NERC)); NERC(UK Research &amp; Innovation (UKRI)Natural Environment Research Council (NERC))</t>
  </si>
  <si>
    <t>CPA was supported by a UK NERC M.Sc. studentship, based at NOC, Southampton. NCW, BS, and VOI were supported by a NERC standard grant award (Ocean teleconnections between Antarctica and the Equatorial Pacific and Atlantic, NE/E0050044/1). ATB was supported by the NERC RAPID Programme. This work complements NERC Core Strategic Programme Oceans 2025.</t>
  </si>
  <si>
    <t>L08603</t>
  </si>
  <si>
    <t>10.1029/2008GL036976</t>
  </si>
  <si>
    <t>438CP</t>
  </si>
  <si>
    <t>WOS:000265533800003</t>
  </si>
  <si>
    <t>Turner, J; Comiso, JC; Marshall, GJ; Lachlan-Cope, TA; Bracegirdle, T; Maksym, T; Meredith, MP; Wang, ZM; Orr, A</t>
  </si>
  <si>
    <t>Turner, John; Comiso, Josefino C.; Marshall, Gareth J.; Lachlan-Cope, Tom A.; Bracegirdle, Tom; Maksym, Ted; Meredith, Michael P.; Wang, Zhaomin; Orr, Andrew</t>
  </si>
  <si>
    <t>Non-annular atmospheric circulation change induced by stratospheric ozone depletion and its role in the recent increase of Antarctic sea ice extent</t>
  </si>
  <si>
    <t>VARIABILITY; TRENDS; FLOW</t>
  </si>
  <si>
    <t>Based on a new analysis of passive microwave satellite data, we demonstrate that the annual mean extent of Antarctic sea ice has increased at a statistically significant rate of 0.97% dec(-1) since the late 1970s. The largest increase has been in autumn when there has been a dipole of significant positive and negative trends in the Ross and Amundsen-Bellingshausen Seas respectively. The autumn increase in the Ross Sea sector is primarily a result of stronger cyclonic atmospheric flow over the Amundsen Sea. Model experiments suggest that the trend towards stronger cyclonic circulation is mainly a result of stratospheric ozone depletion, which has strengthened autumn wind speeds around the continent, deepening the Amundsen Sea Low through flow separation around the high coastal orography. However, statistics derived from a climate model control run suggest that the observed sea ice increase might still be within the range of natural climate variability. Citation: Turner, J., J. C. Comiso, G. J. Marshall, T. A. Lachlan-Cope, T. Bracegirdle, T. Maksym, M. P. Meredith, Z. Wang, and A. Orr (2009), Non-annular atmospheric circulation change induced by stratospheric ozone depletion and its role in the recent increase of Antarctic sea ice extent, Geophys. Res. Lett., 36, L08502, doi: 10.1029/2009GL037524.</t>
  </si>
  <si>
    <t>[Turner, John; Marshall, Gareth J.; Lachlan-Cope, Tom A.; Bracegirdle, Tom; Maksym, Ted; Meredith, Michael P.; Wang, Zhaomin; Orr, Andrew] British Antarctic Survey, Natl Environm Res Council, Cambridge CB3 0E7, England; [Comiso, Josefino C.] NASA, Goddard Space Flight Ctr, Greenbelt, MD 20771 USA</t>
  </si>
  <si>
    <t>UK Research &amp; Innovation (UKRI); Natural Environment Research Council (NERC); NERC British Antarctic Survey; National Aeronautics &amp; Space Administration (NASA); NASA Goddard Space Flight Center</t>
  </si>
  <si>
    <t>Turner, J (corresponding author), British Antarctic Survey, Natl Environm Res Council, Madingley Rd, Cambridge CB3 0E7, England.</t>
  </si>
  <si>
    <t>jtu@bas.ac.uk</t>
  </si>
  <si>
    <t>Bracegirdle, Tom/AAD-6060-2020</t>
  </si>
  <si>
    <t>Bracegirdle, Thomas/0000-0002-8868-4739; Meredith, Michael/0000-0002-7342-7756; Turner, John/0000-0002-6111-5122</t>
  </si>
  <si>
    <t>Natural Environment Research Council [bas0100023] Funding Source: researchfish; NERC [bas0100023] Funding Source: UKRI</t>
  </si>
  <si>
    <t>L08502</t>
  </si>
  <si>
    <t>10.1029/2009GL037524</t>
  </si>
  <si>
    <t>WOS:000265533800005</t>
  </si>
  <si>
    <t>Dunshea, G</t>
  </si>
  <si>
    <t>Dunshea, Glenn</t>
  </si>
  <si>
    <t>DNA-Based Diet Analysis for Any Predator</t>
  </si>
  <si>
    <t>PLOS ONE</t>
  </si>
  <si>
    <t>POLYMERASE-CHAIN-REACTION; GUT CONTENTS; PREY DNA; PCR; SOFTWARE; IDENTIFICATION; SEQUENCES; PRIMERS; RESTRICTION; PSEUDOGENES</t>
  </si>
  <si>
    <t>Background: Prey DNA from diet samples can be used as a dietary marker; yet current methods for prey detection require a priori diet knowledge and/or are designed ad hoc, limiting their scope. I present a general approach to detect diverse prey in the feces or gut contents of predators. Methodology/Principal Findings: In the example outlined, I take advantage of the restriction site for the endonuclease Pac I which is present in 16S mtDNA of most Odontoceti mammals, but absent from most other relevant non-mammalian chordates and invertebrates. Thus in DNA extracted from feces of these mammalian predators Pac I will cleave and exclude predator DNA from a small region targeted by novel universal primers, while most prey DNA remain intact allowing prey selective PCR. The method was optimized using scat samples from captive bottlenose dolphins (Tursiops truncatus) fed a diet of 6-10 prey species from three phlya. Up to five prey from two phyla were detected in a single scat and all but one minor prey item (2% of the overall diet) were detected across all samples. The same method was applied to scat samples from free-ranging bottlenose dolphins; up to seven prey taxa were detected in a single scat and 13 prey taxa from eight teleost families were identified in total. Conclusions/Significance: Data and further examples are provided to facilitate rapid transfer of this approach to any predator. This methodology should prove useful to zoologists using DNA-based diet techniques in a wide variety of study systems.</t>
  </si>
  <si>
    <t>Dunshea, G (corresponding author), Univ Tasmania, Antarctic Wildlife Res Unit, Sch Zool, Hobart, Tas, Australia.</t>
  </si>
  <si>
    <t>glenn.dunshea@aad.gov.au</t>
  </si>
  <si>
    <t>Dunshea, Glenn/0000-0002-8683-0181</t>
  </si>
  <si>
    <t>PUBLIC LIBRARY SCIENCE</t>
  </si>
  <si>
    <t>SAN FRANCISCO</t>
  </si>
  <si>
    <t>1160 BATTERY STREET, STE 100, SAN FRANCISCO, CA 94111 USA</t>
  </si>
  <si>
    <t>1932-6203</t>
  </si>
  <si>
    <t>PLoS One</t>
  </si>
  <si>
    <t>e5252</t>
  </si>
  <si>
    <t>10.1371/journal.pone.0005252</t>
  </si>
  <si>
    <t>437VE</t>
  </si>
  <si>
    <t>gold, Green Published</t>
  </si>
  <si>
    <t>WOS:000265514200002</t>
  </si>
  <si>
    <t>Lee, JE; Janion, C; Marais, E; van Vuuren, BJ; Chown, SL</t>
  </si>
  <si>
    <t>Lee, Jennifer E.; Janion, Charlene; Marais, Elrike; van Vuuren, Bettine Jansen; Chown, Steven L.</t>
  </si>
  <si>
    <t>Physiological tolerances account for range limits and abundance structure in an invasive slug</t>
  </si>
  <si>
    <t>PROCEEDINGS OF THE ROYAL SOCIETY B-BIOLOGICAL SCIENCES</t>
  </si>
  <si>
    <t>abundance structure; desiccation resistance; range margins; salinity tolerance; thermal biology</t>
  </si>
  <si>
    <t>SUB-ANTARCTIC MARION; HOLLY LEAF-MINER; PRINCE-EDWARD-ISLANDS; SPECIES BORDERS; CLIMATE-CHANGE; EVOLUTIONARY RESPONSES; BIOTIC INTERACTIONS; THERMAL TOLERANCES; COLD-HARDINESS; ECOLOGY</t>
  </si>
  <si>
    <t>Despite the importance of understanding the mechanisms underlying range limits and abundance structure, few studies have sought to do so. Here we use a terrestrial slug species, Deroceras panormitanum, that has invaded a remote, largely predator-free, Southern Ocean island as a model system to do so. Across Marion Island, slug density does not conform to an abundant centre distribution. Rather, abundance structure is characterized by patches and gaps. These are associated with this desiccation-sensitive species' preference for biotic and drainage line habitats that share few characteristics except for their high humidity below the vegetation surface. The coastal range margin has a threshold form, rapidly rising from zero to high density. Slugs do not occur where soil-exchangeable Na values are higher than 3000 mg kg(-1), and in laboratory experiments, survival is high below this value but negligible above it. Upper elevation range margins are a function of the inability of this species to survive temperatures below an absolute limit of -6.4 degrees C, which is regularly exceeded at 200 m altitude, above which slug density declines to zero. However, the linear decline in density from the coastal peak is probably also a function of a decline in performance or time available for activity. This is probably associated with an altitudinal decline in mean annual soil temperature. These findings support previous predictions made regarding the form of density change when substrate or climatic factors set range limits.</t>
  </si>
  <si>
    <t>[Lee, Jennifer E.; Janion, Charlene; Marais, Elrike; van Vuuren, Bettine Jansen; Chown, Steven L.] Univ Stellenbosch, Ctr Invas Biol, Dept Bot &amp; Zool, ZA-7602 Matieland, South Africa</t>
  </si>
  <si>
    <t>Stellenbosch University</t>
  </si>
  <si>
    <t>Chown, SL (corresponding author), Univ Stellenbosch, Ctr Invas Biol, Dept Bot &amp; Zool, Private Bag 11, ZA-7602 Matieland, South Africa.</t>
  </si>
  <si>
    <t>slchown@sun.ac.za</t>
  </si>
  <si>
    <t>Jansen van Vuuren, Bettine/E-6227-2013; Chown, Steven/ABD-7646-2021; Chown, Steven/H-3347-2011</t>
  </si>
  <si>
    <t>Jansen van Vuuren, Bettine/0000-0002-5334-5358; Janion-Scheepers, Charlene/0000-0001-5942-7912; Chown, Steven/0000-0001-6069-5105</t>
  </si>
  <si>
    <t>South African National Antarctic</t>
  </si>
  <si>
    <t>We thank Erika Nortje for assistance, Saskia Goldberg for the LLT data and Melodie McGeoch and three anonymous referees for their comments on a previous version of the manuscript. The South African National Antarctic Programme provides the support for work at Marion Island.</t>
  </si>
  <si>
    <t>0962-8452</t>
  </si>
  <si>
    <t>P ROY SOC B-BIOL SCI</t>
  </si>
  <si>
    <t>Proc. R. Soc. B-Biol. Sci.</t>
  </si>
  <si>
    <t>APR 22</t>
  </si>
  <si>
    <t>10.1098/rspb.2008.1240</t>
  </si>
  <si>
    <t>421IF</t>
  </si>
  <si>
    <t>WOS:000264351900010</t>
  </si>
  <si>
    <t>Ault, TR; Cole, JE; Evans, MN; Barnett, H; Abram, NJ; Tudhope, AW; Linsley, BK</t>
  </si>
  <si>
    <t>Ault, Toby R.; Cole, Julia E.; Evans, Michael N.; Barnett, Heidi; Abram, Nerilie J.; Tudhope, Alexander W.; Linsley, Braddock K.</t>
  </si>
  <si>
    <t>Intensified decadal variability in tropical climate during the late 19th century</t>
  </si>
  <si>
    <t>SEA-SURFACE TEMPERATURE; INTERDECADAL VARIABILITY; SOUTHERN-OSCILLATION; EL-NINO; PACIFIC; CORAL; ENSO; CIRCULATION; RECORDS</t>
  </si>
  <si>
    <t>To evaluate and extend the record of decadal climate variability, we present a synthesis of 23 coral oxygen isotope records from the tropical Indo-Pacific that extends back to A. D. 1850. Principal components analysis (PCA) on detrended records reveals a leading pattern of variance with significant interannual (3 - 5 year) and decadal (9 - 14 year) variability. The temporal evolution and spatial pattern of this variability closely resembles the El Nino/Southern Oscillation (ENSO) pattern across both time scales, suggesting that this decadal tropical variability is fundamentally related to ENSO. The 19th century experienced stronger decadal tropical climate variability, compared to the 20th. Decadal variability in the tropical oceans thus remains underestimated by analysis of direct observations. Citation: Ault, T. R., J. E. Cole, M. N. Evans, H. Barnett, N. J. Abram, A. W. Tudhope, and B. K. Linsley (2009), Intensified decadal variability in tropical climate during the late 19th century, Geophys. Res. Lett., 36, L08602, doi: 10.1029/2008GL036924.</t>
  </si>
  <si>
    <t>[Ault, Toby R.; Cole, Julia E.; Evans, Michael N.; Barnett, Heidi] Univ Arizona, Dept Geosci, Tucson, AZ 85721 USA; [Cole, Julia E.; Evans, Michael N.] Univ Arizona, Dept Atmospher Sci, Tucson, AZ USA; [Evans, Michael N.] Univ Arizona, Tree Ring Res Lab, Tucson, AZ 85721 USA; [Abram, Nerilie J.] British Antarctic Survey, Nat Environm Res Council, Cambridge CB3 0ET, England; [Tudhope, Alexander W.] Univ Edinburgh, Sch Geosci, Edinburgh EH9 3JW, Midlothian, Scotland; [Linsley, Braddock K.] SUNY Albany, Dept Earth &amp; Atmospher Sci, Albany, NY 12222 USA</t>
  </si>
  <si>
    <t>University of Arizona; University of Arizona; University of Arizona; UK Research &amp; Innovation (UKRI); Natural Environment Research Council (NERC); NERC British Antarctic Survey; University of Edinburgh; State University of New York (SUNY) System; State University of New York (SUNY) Albany</t>
  </si>
  <si>
    <t>Ault, TR (corresponding author), Univ Arizona, Dept Geosci, 1040 E 4th St, Tucson, AZ 85721 USA.</t>
  </si>
  <si>
    <t>tault@geo.arizona.edu</t>
  </si>
  <si>
    <t>Abram, Nerilie/AAT-5171-2021; Cole, Julia/ABA-5759-2020</t>
  </si>
  <si>
    <t>Cole, Julia/0000-0002-3389-7809; Linsley, Braddock/0000-0003-2085-0662; Abram, Nerilie/0000-0003-1246-2344; Evans, Michael Neil/0000-0003-3727-6898</t>
  </si>
  <si>
    <t>NOAA's Paleoclimatology program [NA03OAR4310152]; NSF/ATM03 [49356]; NSF graduate research fellowship program; NERC [bas0100024, bas0100023] Funding Source: UKRI; Natural Environment Research Council [NER/T/S/2002/00982, NER/T/S/2002/00443, bas0100023, bas0100024] Funding Source: researchfish</t>
  </si>
  <si>
    <t>NOAA's Paleoclimatology program(National Oceanic Atmospheric Admin (NOAA) - USA); NSF/ATM03; NSF graduate research fellowship program(National Science Foundation (NSF)); NERC(UK Research &amp; Innovation (UKRI)Natural Environment Research Council (NERC)); Natural Environment Research Council(UK Research &amp; Innovation (UKRI)Natural Environment Research Council (NERC))</t>
  </si>
  <si>
    <t>We thank Andrew C. Comrie, Tom D. Damassa, Michael E. Mann, Joellen L. Russell, Jonathan T. Overpeck, and Vikram Mehta for helpful comments and support on this project. We also appreciate the assistance of Yves M. Tourre, Warren B. White and Ted Walker who kindly shared data from their analysis of instrumental sea surface temperature records. This research was supported by NOAA's Paleoclimatology program (OAR/CCDD grant NA03OAR4310152 to JEC), NSF/ATM03 (grant 49356 to MNE), and the NSF graduate research fellowship program (to T. Ault).</t>
  </si>
  <si>
    <t>APR 21</t>
  </si>
  <si>
    <t>L08602</t>
  </si>
  <si>
    <t>10.1029/2008GL036924</t>
  </si>
  <si>
    <t>438CL</t>
  </si>
  <si>
    <t>Green Published, Green Accepted, Bronze</t>
  </si>
  <si>
    <t>WOS:000265533400001</t>
  </si>
  <si>
    <t>Makarevich, RA; Kellerman, AC; Bogdanova, YV; Koustov, AV</t>
  </si>
  <si>
    <t>Makarevich, R. A.; Kellerman, A. C.; Bogdanova, Y. V.; Koustov, A. V.</t>
  </si>
  <si>
    <t>Time evolution of the subauroral electric fields: A case study during a sequence of two substorms</t>
  </si>
  <si>
    <t>ION DRIFTS; E-REGION; POLARIZATION STREAMS; PLASMA DRIFT; HF RADAR; F-REGION; SUPERDARN; MIDLATITUDE; CONVECTION; CONJUGATE</t>
  </si>
  <si>
    <t>The temporal evolution of the subauroral polarization stream (SAPS) is investigated using the Doppler velocity observations by the Unwin HF radar in conjunction with the simultaneously observed auroral luminosity and plasma convection reversal regions. The event under study of 14 December 2004, 1000-1600 UT, occurred during geomagnetically quiet conditions when a sequence of two substorms separated by similar to 2 hours was observed by the IMAGE satellite. It is shown that the SAPS appeared shortly after the first substorm onset and continued to dominate the westward plasma convection at subauroral magnetic latitudes 59 degrees-63 degrees S for similar to 6 hours. An unexpected exception occurred near the second substorm onset time when a narrow channel of weaker SAPS westward convection became embedded in the slow eastward drifting plasma for a short similar to 25-min period, which was attributed to the equatorward expansion of the dawn convection cell during the growth and expansion phases of the second substorm. Another remarkable plasma convection feature was observed in the same 25-min period similar to 5 degrees poleward of SAPS; this was a narrow mirror'' channel of the eastward drifting plasma parallel to the main SAPS channel. It is argued that the latter feature may also be caused by the equatorward expanding dawn convection cell whose streamlines become compressed by and aligned with the SAPS poleward edge. A possible relationship between the SAPS intensity and its position relative to the auroral oval is also investigated. The results suggest that the magnetosphere-ionosphere feedback processes within SAPS become more effective as the equatorward edge of the eastward convection region retreats poleward with the SAPS position much less affected by the auroral dynamics.</t>
  </si>
  <si>
    <t>[Makarevich, R. A.; Kellerman, A. C.; Bogdanova, Y. V.] La Trobe Univ, Dept Phys, Bundoora, Vic 3086, Australia; [Koustov, A. V.] Univ Saskatchewan, Inst Space &amp; Atmospher Studies, Saskatoon, SK S7N 5E2, Canada</t>
  </si>
  <si>
    <t>La Trobe University; University of Saskatchewan</t>
  </si>
  <si>
    <t>Makarevich, RA (corresponding author), La Trobe Univ, Dept Phys, Bundoora, Vic 3086, Australia.</t>
  </si>
  <si>
    <t>r.makarevich@latrobe.edu.au</t>
  </si>
  <si>
    <t>Bogdanova, Yulia/AAV-1615-2020; Makarevich, Roman/B-9539-2009; Kellerman, Adam/AEX-6248-2022; Makarevich, Roman/H-4542-2013</t>
  </si>
  <si>
    <t>Bogdanova, Yulia/0000-0002-1356-0598; Kellerman, Adam/0000-0002-2315-936X;</t>
  </si>
  <si>
    <t>Australian Research Council Discovery [DP0770366]; Australian Antarctic Science grant program; Science and Technology Facilities Council [PP/E001173/1] Funding Source: researchfish; Australian Research Council [DP0770366] Funding Source: Australian Research Council; STFC [PP/E001173/1] Funding Source: UKRI</t>
  </si>
  <si>
    <t>Australian Research Council Discovery(Australian Research Council); Australian Antarctic Science grant program; Science and Technology Facilities Council(UK Research &amp; Innovation (UKRI)Science &amp; Technology Facilities Council (STFC)); Australian Research Council(Australian Research Council); STFC(UK Research &amp; Innovation (UKRI)Science &amp; Technology Facilities Council (STFC))</t>
  </si>
  <si>
    <t>This research was supported by the Australian Research Council Discovery grant to R. A. M. (project DP0770366). TIGER is supported by the Australian Antarctic Science grant program and a consortium of institutions: La Trobe University, University of Newcastle, Monash University, Australian Government Antarctic Division, ISR Division DSTO, and IPS Radio and Space Services. Additional funding toward construction of the TIGER radars was received from the ARC, U. S. Air Force Office of Scientific Research, British Antarctic Survey, and RLM Systems Pty Ltd, Australia. The authors gratefully acknowledge H. U. Frey of the Space Sciences Lab at the University of California at Berkeley for providing the IMAGE FUV data, the Center for Space Sciences at the University of Texas at Dallas and the U. S. Air Force for the DMSP thermal plasma data, and N. F. Ness of BRI and CDAWeb for the ACE magnetic field data.</t>
  </si>
  <si>
    <t>APR 18</t>
  </si>
  <si>
    <t>A04312</t>
  </si>
  <si>
    <t>10.1029/2008JA013944</t>
  </si>
  <si>
    <t>435GN</t>
  </si>
  <si>
    <t>WOS:000265332200004</t>
  </si>
  <si>
    <t>Mikucki, JA; Pearson, A; Johnston, DT; Turchyn, AV; Farquhar, J; Schrag, DP; Anbar, AD; Priscu, JC; Lee, PA</t>
  </si>
  <si>
    <t>Mikucki, Jill A.; Pearson, Ann; Johnston, David T.; Turchyn, Alexandra V.; Farquhar, James; Schrag, Daniel P.; Anbar, Ariel D.; Priscu, John C.; Lee, Peter A.</t>
  </si>
  <si>
    <t>A Contemporary Microbially Maintained Subglacial Ferrous Ocean</t>
  </si>
  <si>
    <t>TAYLOR GLACIER; DRY VALLEYS; SULFUR; OXYGEN; SULFATE; EXCHANGE; REDOX; WATER; MODEL; ICE</t>
  </si>
  <si>
    <t>An active microbial assemblage cycles sulfur in a sulfate-rich, ancient marine brine beneath Taylor Glacier, an outlet glacier of the East Antarctic Ice Sheet, with Fe(III) serving as the terminal electron acceptor. Isotopic measurements of sulfate, water, carbonate, and ferrous iron and functional gene analyses of adenosine 5'-phosphosulfate reductase imply that a microbial consortium facilitates a catalytic sulfur cycle. These metabolic pathways result from a limited organic carbon supply because of the absence of contemporary photosynthesis, yielding a subglacial ferrous brine that is anoxic but not sulfidic. Coupled biogeochemical processes below the glacier enable subglacial microbes to grow in extended isolation, demonstrating how analogous organic-starved systems, such as Neoproterozoic oceans, accumulated Fe(II) despite the presence of an active sulfur cycle.</t>
  </si>
  <si>
    <t>[Mikucki, Jill A.; Pearson, Ann; Schrag, Daniel P.] Harvard Univ, Dept Earth &amp; Planetary Sci, Cambridge, MA 02138 USA; [Johnston, David T.] Harvard Univ, Dept Organism &amp; Evolutionary Biol, Cambridge, MA 02138 USA; [Turchyn, Alexandra V.] Univ Cambridge, Dept Earth Sci, Cambridge CB2 3EQ, England; [Farquhar, James] Univ Maryland, Dept Geol, College Pk, MD 20742 USA; [Anbar, Ariel D.] Arizona State Univ, Sch Earth &amp; Space Explorat, Tempe, AZ 85287 USA; [Anbar, Ariel D.] Arizona State Univ, Dept Chem &amp; Biochem, Tempe, AZ 85287 USA; [Priscu, John C.] Montana State Univ, Dept Land Resources &amp; Environm Sci, Bozeman, MT 59717 USA; [Lee, Peter A.] Coll Charleston, Hollings Marine Lab, Charleston, SC 29412 USA</t>
  </si>
  <si>
    <t>Harvard University; Harvard University; University of Cambridge; University System of Maryland; University of Maryland College Park; Arizona State University; Arizona State University-Tempe; Arizona State University; Arizona State University-Tempe; Montana State University System; Montana State University Bozeman; College of Charleston</t>
  </si>
  <si>
    <t>Mikucki, JA (corresponding author), Dartmouth Coll, Dept Earth Sci, Hanover, NH 03755 USA.</t>
  </si>
  <si>
    <t>jill.a.mikucki@dartmouth.edu</t>
  </si>
  <si>
    <t>Pearson, Ann/A-6723-2009; Johnston, David T/A-9796-2010</t>
  </si>
  <si>
    <t>Pearson, Ann/0000-0003-2785-8405; Johnston, David/0000-0002-2487-1084</t>
  </si>
  <si>
    <t>NSF Polar postdoctoral fellowship [OPP-0528710]; NSF [EAR-0311937, OPP-432595, OPP-0631494, OPP-0338097, OCE-0728683]; Canadian Institute for Advanced Research; Harvard Microbial Sciences Initiative; NASA [NNX07AV51G]</t>
  </si>
  <si>
    <t>NSF Polar postdoctoral fellowship; NSF(National Science Foundation (NSF)); Canadian Institute for Advanced Research(Canadian Institute for Advanced Research (CIFAR)); Harvard Microbial Sciences Initiative; NASA(National Aeronautics &amp; Space Administration (NASA))</t>
  </si>
  <si>
    <t>G. Eischeld and S. Fawcett assisted with oxygen isotope measurements, A. Masterson assisted with sulfur isotope measurements, and G. Gordon assisted with iron isotope measurements. We are grateful for assistance from the Crary Laboratory, Petroleum Helicopters Incorporated, and S. Carter. We would like to extend a special thanks to McMurdo personnel B. Peace and W. Hayworth. Discussions with H. Keys, M. Tranter, K. Welch, W. B. Lyons, W. Hamilton, F. MacDonald, S. Shah, and A. Knoll were helpful in formulating the ideas presented. The comments of three anonymous reviewers and A. J. Kaufman greatly improved the manuscript. This research was funded by an NSF Polar postdoctoral fellowship (OPP-0528710) to J.A.M. Additional support was provided by NSF grants EAR-0311937 (A.P.), OPP-432595 and OPP-0631494 (J.C.P.), and OPP-0338097 and OCE-0728683 (awarded to G. R. DiTullio) (P.A.L.); Canadian Institute for Advanced Research (A.V.T.); Harvard Microbial Sciences Initiative; and NASA (NNX07AV51G) (D.T.J.). DNA sequences have been submitted to GenBank with accession numbers FJ389341 to FJ389351.</t>
  </si>
  <si>
    <t>APR 17</t>
  </si>
  <si>
    <t>10.1126/science.1167350</t>
  </si>
  <si>
    <t>433QT</t>
  </si>
  <si>
    <t>WOS:000265221600045</t>
  </si>
  <si>
    <t>Thomas, ER; Wolff, EW; Mulvaney, R; Johnsen, SJ; Steffensen, JP; Arrowsmith, C</t>
  </si>
  <si>
    <t>Thomas, Elizabeth R.; Wolff, Eric W.; Mulvaney, Robert; Johnsen, Sigfus J.; Steffensen, Jorgen P.; Arrowsmith, Carol</t>
  </si>
  <si>
    <t>Anatomy of a Dansgaard-Oeschger warming transition: High-resolution analysis of the North Greenland Ice Core Project ice core</t>
  </si>
  <si>
    <t>ABRUPT CLIMATE-CHANGE; LAST GLACIAL PERIOD; ATLANTIC THERMOHALINE CIRCULATION; MILLENNIAL-SCALE CHANGES; SANTA-BARBARA BASIN; PAST 110,000 YEARS; DEUTERIUM-EXCESS; ATMOSPHERIC CIRCULATION; OCEAN CIRCULATION; TROPICAL ATLANTIC</t>
  </si>
  <si>
    <t>Large and abrupt temperature oscillations during the last glacial period, known as Dansgaard-Oeschger (DO) events, are clearly observed in the Greenland ice core record. Here we present a new high-resolution chemical (2 mm) and stable isotope (20 mm) record from the North Greenland Ice Core Project (NGRIP) ice core at the onset of one of the most prominent DO events of the last glacial, DO-8, observed similar to 38,000 years ago. The unique, subannual-resolution NGRIP record provides a true sequence of change during a DO warming with detailed annual layer counting of very high depth resolution geochemical measurements used to determine the exact duration of the transition. The continental ions, indicative of long-range atmospheric loading and dustiness from East Asia, are the first to change, followed by the snow accumulation, the moisture source conditions, and finally the atmospheric temperature in Greenland. The sequence of events shows that atmospheric and oceanic source and circulation changes preceded the DO warming by several years.</t>
  </si>
  <si>
    <t>[Thomas, Elizabeth R.; Wolff, Eric W.; Mulvaney, Robert] British Antarctic Survey, Nat Environm Res Council, Cambridge CB3 0ET, England; [Johnsen, Sigfus J.; Steffensen, Jorgen P.] Univ Copenhagen, Ctr Ice &amp; Climate, Niels Bohr Inst Astron Phys &amp; Geophys, DK-2100 Copenhagen, Denmark; [Arrowsmith, Carol] British Geol Survey, Kingsley Dunham Ctr, NERC Isotope Geosci Lab, Nottingham NG12 5GG, England</t>
  </si>
  <si>
    <t>UK Research &amp; Innovation (UKRI); Natural Environment Research Council (NERC); NERC British Antarctic Survey; University of Copenhagen; Niels Bohr Institute; UK Research &amp; Innovation (UKRI); Natural Environment Research Council (NERC); NERC British Geological Survey</t>
  </si>
  <si>
    <t>Thomas, ER (corresponding author), British Antarctic Survey, Nat Environm Res Council, Madingley Rd, Cambridge CB3 0ET, England.</t>
  </si>
  <si>
    <t>lith@bas.ac.uk</t>
  </si>
  <si>
    <t>Wolff, Eric W/D-7925-2014; Steffensen, Jorgen Peder/JFS-7831-2023; Thomas, Elizabeth Ruth/ADF-3660-2022; Mulvaney, Robert/K-3929-2012</t>
  </si>
  <si>
    <t>Wolff, Eric W/0000-0002-5914-8531; Steffensen, Jorgen Peder/0000-0002-5516-1093; Thomas, Elizabeth Ruth/0000-0002-3010-6493; Arrowsmith, Carol/0000-0003-3849-5179; Mulvaney, Robert/0000-0002-5372-8148</t>
  </si>
  <si>
    <t>NERC [bas010016, nigl010001, bgs04003] Funding Source: UKRI; Natural Environment Research Council [bgs04003, bas010016, nigl010001, NER/T/S/2002/00430] Funding Source: researchfish</t>
  </si>
  <si>
    <t>APR 16</t>
  </si>
  <si>
    <t>D08102</t>
  </si>
  <si>
    <t>10.1029/2008JD011215</t>
  </si>
  <si>
    <t>435FL</t>
  </si>
  <si>
    <t>WOS:000265329200003</t>
  </si>
  <si>
    <t>Danis, B; Griffiths, H</t>
  </si>
  <si>
    <t>Danis, Bruno; Griffiths, Huw</t>
  </si>
  <si>
    <t>Polar science: bid for freely accessible biodiversity archive</t>
  </si>
  <si>
    <t>NATURE</t>
  </si>
  <si>
    <t>[Danis, Bruno] Royal Belgian Inst Nat Sci, B-1000 Brussels, Belgium; [Griffiths, Huw] British Antarctic Survey, NERC, Cambridge CB3 0ET, England</t>
  </si>
  <si>
    <t>Royal Belgian Institute of Natural Sciences; UK Research &amp; Innovation (UKRI); Natural Environment Research Council (NERC); NERC British Antarctic Survey</t>
  </si>
  <si>
    <t>Danis, B (corresponding author), Royal Belgian Inst Nat Sci, 29 Rue Vautier, B-1000 Brussels, Belgium.</t>
  </si>
  <si>
    <t>bruno.danis@scarmarbin.be</t>
  </si>
  <si>
    <t>Griffiths, Huw J/D-4234-2009; Danis, Bruno/AAS-8444-2021</t>
  </si>
  <si>
    <t>Griffiths, Huw J/0000-0003-1764-223X; Danis, Bruno/0000-0002-9037-7623</t>
  </si>
  <si>
    <t>NATURE PUBLISHING GROUP</t>
  </si>
  <si>
    <t>MACMILLAN BUILDING, 4 CRINAN ST, LONDON N1 9XW, ENGLAND</t>
  </si>
  <si>
    <t>0028-0836</t>
  </si>
  <si>
    <t>Nature</t>
  </si>
  <si>
    <t>10.1038/458830b</t>
  </si>
  <si>
    <t>433CS</t>
  </si>
  <si>
    <t>WOS:000265182500016</t>
  </si>
  <si>
    <t>Scambos, T; Fricker, HA; Liu, CC; Bohlander, J; Fastook, J; Sargent, A; Massom, R; Wu, AM</t>
  </si>
  <si>
    <t>Scambos, Ted; Fricker, Helen Amanda; Liu, Cheng-Chien; Bohlander, Jennifer; Fastook, James; Sargent, Aitbala; Massom, Robert; Wu, An-Ming</t>
  </si>
  <si>
    <t>Ice shelf disintegration by plate bending and hydro-fracture: Satellite observations and model results of the 2008 Wilkins ice shelf break-ups</t>
  </si>
  <si>
    <t>Antarctica; ice shelves; Wilkins ice shelf; climate change; Formosat-2; ice modeling; ice shelf break-up</t>
  </si>
  <si>
    <t>COLLAPSE; RETREAT</t>
  </si>
  <si>
    <t>Satellite remote sensing observations of three break-up events in 2008 for the Wilkins Ice Shelf (28 February to 6 March, 27 May to 31 May, and 28 June to mid-July) provide unprecedented detail of ice shelf calving during rapid break-up. The observations reveal that the Wilkins break-ups occur through a distinctive type of shelf calving, which we term 'disintegration', as well as more typical rifting and calving. Here we focus on the disintegration process, which is characterized by repeated rapid fracturing that creates narrow ice-edge-parallel blocks, with subsequent block toppling and fragmentation forming an expanding iceberg and ice rubble mass. We use these data to develop and test a model of floating ice plate disintegration in which ice plate bending stresses at the ice front arising from buoyancy forces can lead to runaway calving when free (mobile) water is available. High-resolution satellite images and laser altimetry of the first break-up event provide details of fracture spacings, ice thicknesses, and plate bending profiles that agree well with our model predictions. We suggest that surface or near-surface meltwater is the main pre-condition for disintegration, and that hydro-fracture is the main mechanism. Brine layers from near-waterline brine infiltration can support a similar process, but this is less effective unless regional ice stress patterns contribute to the net stress available at the crack tip for fracturing. A combination of brine-enhanced fracturing and changing internal net extensional stresses was the likely mechanism behind the latter two Wilkins events. (C) 2008 Elsevier B.V. All rights reserved.</t>
  </si>
  <si>
    <t>[Scambos, Ted; Bohlander, Jennifer] Univ Colorado, Natl Snow &amp; Ice Data Ctr, Boulder, CO 80309 USA; [Fricker, Helen Amanda] Univ Calif San Diego, Scripps Inst Oceanog, La Jolla, CA 92093 USA; [Liu, Cheng-Chien] Natl Cheng Kung Univ, Dept Earth Sci, Earth Dynam Syst Res Ctr, Inst Satellite Informat Earth Environm, Tainan 701, Taiwan; [Fastook, James; Sargent, Aitbala] Univ Maine, Quaternay Inst, Orono, ME 04469 USA; [Fastook, James; Sargent, Aitbala] Univ Maine, Dept Comp Sci, Orono, ME 04469 USA; [Massom, Robert] Univ Tasmania, Australian Antarctic Div, Hobart, Tas 7001, Australia; [Massom, Robert] Univ Tasmania, Antarctic Climate &amp; Ecosyst Cooperat Res Ctr, Hobart, Tas 7001, Australia; [Wu, An-Ming] Natl Space Org, Hsinchi, Taiwan</t>
  </si>
  <si>
    <t>University of Colorado System; University of Colorado Boulder; University of California System; University of California San Diego; Scripps Institution of Oceanography; National Cheng Kung University; University of Maine System; University of Maine Orono; University of Maine System; University of Maine Orono; Australian Antarctic Division; University of Tasmania; University of Tasmania; Antarctic Climate &amp; Ecosystems Cooperative Research Centre (ACE CRC)</t>
  </si>
  <si>
    <t>Scambos, T (corresponding author), Univ Colorado, Natl Snow &amp; Ice Data Ctr, Boulder, CO 80309 USA.</t>
  </si>
  <si>
    <t>teds@nsidc.colorado.edu</t>
  </si>
  <si>
    <t>Scambos, Ted A/B-1856-2009</t>
  </si>
  <si>
    <t>Liu, Cheng-Chien/0000-0002-5074-7124; Fastook, James/0000-0003-3900-671X; SCAMBOS, Ted A./0000-0003-4268-6322; Fricker, Helen Amanda/0000-0002-0921-1432; Massom, Robert/0000-0003-1533-5084</t>
  </si>
  <si>
    <t>NASA Cryospheric Sciences [NNG06GA69G, NNX06AD40G]; NSF-OPP [ANT-0732921]; Australian Government's Cooperative Research Centres Programme through the Antarctic Climate and Ecosystems Cooperative Research Centre; AAS Project [3024]</t>
  </si>
  <si>
    <t>NASA Cryospheric Sciences(National Aeronautics &amp; Space Administration (NASA)); NSF-OPP(National Science Foundation (NSF)); Australian Government's Cooperative Research Centres Programme through the Antarctic Climate and Ecosystems Cooperative Research Centre(Australian GovernmentDepartment of Industry, Innovation and ScienceCooperative Research Centres (CRC) Programme); AAS Project</t>
  </si>
  <si>
    <t>We thank two anonymous reviewers for their comprehensive and thoughtful reviews, and the editor for his assistance. NASA's ICES at Science Project and NSIDC provided the ICESat data. Dr. David Long maintains the satellite backscatter data archive used for the determination of the rnelt seasons. Taiwan's National Space Organization (NSPO) is thanked for rapid approval of image acquisitions during the WIS collapse. Collaborative discussions with Douglas MacAyeal, Angelika Humbert, Matthias Braun, and Eric Rignot are greatly appreciated. This work was funded by NASA Cryospheric Sciences grant NNG06GA69G (Scambos), NNX06AD40G (Fricker), and by NSF-OPP grant ANT-0732921 (Scambos). For RM, this work was supported by the Australian Government's Cooperative Research Centres Programme through the Antarctic Climate and Ecosystems Cooperative Research Centre (ACE CRC), and by AAS Project 3024.</t>
  </si>
  <si>
    <t>APR 15</t>
  </si>
  <si>
    <t>10.1016/j.epsl.2008.12.027</t>
  </si>
  <si>
    <t>438ZE</t>
  </si>
  <si>
    <t>WOS:000265594800003</t>
  </si>
  <si>
    <t>Rickli, J; Frank, M; Halliday, AN</t>
  </si>
  <si>
    <t>Rickli, Joerg; Frank, Martin; Halliday, Alex N.</t>
  </si>
  <si>
    <t>The hafnium-neodymium isotopic composition of Atlantic seawater</t>
  </si>
  <si>
    <t>hafnium isotopes; neodymium isotopes; seawater array; weathering; water mass tracing</t>
  </si>
  <si>
    <t>RARE-EARTH-ELEMENTS; OCEAN FERROMANGANESE CRUSTS; NORTH-ATLANTIC; PACIFIC-OCEAN; MARINE-SEDIMENTS; MEDITERRANEAN OUTFLOW; DISSOLVED ZIRCONIUM; MASS-SPECTROMETRY; CIRCULATION MODEL; RESIDENCE TIME</t>
  </si>
  <si>
    <t>The first full water column hafnium isotopic compositions of Atlantic seawater have been obtained at seven locations from the Labrador Sea to the Drake Passage. Despite subpicomolar concentrations in seawater, a precision of the Hf isotopic measurements of &lt;03 epsilon(Hf) units was achieved. An overall epsilon(Hf) range between -3.1 in the Labrador Sea and +4.4 in Antarctic bottom water was determined, the distribution of which broadly reflects continental weathering inputs. Within particular water column profiles, significant differences of up to 4 epsilon(Hf) Units occur. Combined with Nd isotope data of the same samples, it is evident that the Hf isotopic composition of seawater is too radiogenic for a given Nd isotopic composition and that the largest difference between expected and measured Hf isotopic compositions in seawater occurs near the oldest continental crust in the Labrador Sea. This corroborates the previous proposition, which was mainly based on ferromanganese crust data, that the Hf isotopic composition of seawater is controlled by incongruent weathering of continental crust and possibly, to some extent, by hydrothermal contributions. Hafnium concentrations in the ocean do not increase along the deep ocean conveyer indicating an oceanic residence time of only a few hundred years, which is significantly shorter than previously assumed. The Hf isotopic composition of past seawater can therefore serve as a proxy for short distance, basin scale mixing processes and the regime and intensity of nearby continental weathering processes. (C) 2009 Elsevier B.V. All rights reserved.</t>
  </si>
  <si>
    <t>[Rickli, Joerg] ETH, Inst Isotope Geochem &amp; Mineral Resources, CH-8092 Zurich, Switzerland; [Frank, Martin] Leibniz Inst Marine Sci, IFM, GEOMAR, D-24148 Kiel, Germany; [Halliday, Alex N.] Univ Oxford, Dept Earth Sci, Oxford OX1 3PR, England</t>
  </si>
  <si>
    <t>Swiss Federal Institutes of Technology Domain; ETH Zurich; Helmholtz Association; GEOMAR Helmholtz Center for Ocean Research Kiel; University of Oxford</t>
  </si>
  <si>
    <t>Rickli, J (corresponding author), ETH, Inst Isotope Geochem &amp; Mineral Resources, CH-8092 Zurich, Switzerland.</t>
  </si>
  <si>
    <t>rickli@erdw.ethz.ch</t>
  </si>
  <si>
    <t>Rickli, Jorg/0000-0001-8186-2750; Frank, Martin/0000-0002-8606-4421</t>
  </si>
  <si>
    <t>SNF; ETH</t>
  </si>
  <si>
    <t>SNF; ETH(ETH Zurich)</t>
  </si>
  <si>
    <t>B. Zimmermann and M. Gutjahr are acknowledged for the initial laboratory support, F. Oberli and S. Aciego for support with MC-ICP-MS. We thank the ANT XXIII/1 crew of RV Polarstern for their support to collect samples during the first cruise dedicated to the international GEOTRACES program. We are grateful to all those who provided samples and hydrographic data: G. Budeus and K. Hans (CTD and bottle data, ANT XXIII/1; AWI Bremerhaven), G. Kattner and K. Ludwichowski (nutrients, ANT XXIII/1; AWI Bremerhaven), M. Rutgers van der Loeff (AWI Bremerhaven), Ch. Provost (CTD data, ANT XXIII/3), V. Garcon (nutrients, ANT XXIII/3) and J. Fischer (IFM-GEOMAR). We thank Derek Vance and one anonymous reviewer for their insightful comments. This study was supported by a grant from the SNF and by ETH.</t>
  </si>
  <si>
    <t>10.1016/j.epsl.2009.01.026</t>
  </si>
  <si>
    <t>WOS:000265594800009</t>
  </si>
  <si>
    <t>Jung, SJA; Kroon, D; Ganssen, G; Peeters, F; Ganeshram, R</t>
  </si>
  <si>
    <t>Jung, Simon J. A.; Kroon, Dick; Ganssen, Gerald; Peeters, Frank; Ganeshram, Raja</t>
  </si>
  <si>
    <t>Enhanced Arabian Sea intermediate water flow during glacial North Atlantic cold phases</t>
  </si>
  <si>
    <t>AAIW; Arabian Sea; bipolar seesaw; asynchronous; millennial-scale; intermediate water</t>
  </si>
  <si>
    <t>CLIMATE-CHANGE; THERMOHALINE CIRCULATION; SCALE; GREENLAND; OCEAN; MASSES; ICE</t>
  </si>
  <si>
    <t>During the last glacial period, polar ice cores indicate climate asynchrony between the poles at the millennial time-scale. Yet, surface ocean circulation in large parts of the globe varied in tune with Greenland temperature fluctuations suggesting that any anti-phase behavior to a substantial degree must lie in the deeper global ocean circulation which is poorly understood outside the Atlantic Ocean. Here we present data from the north-western Indian Ocean which indicate that the timing of maxima in northward extensions of glacial Antarctic Intermediate Water (GAAIW) coincides with dramatically reduced thermohaline overturn in the North Atlantic associated with the Heinrich-ice Surge events (HE). The repeated expansion of the GAAIW during HEs, recorded far north of the equator in the Arabian Sea, suggests that southern hemisphere driven intermediate water mass variability forms an integral part of the inter-hemisphere asynchronous climate change behavior at the millennial time-scale. Crown Copyright (C) 2009 Published by Elsevier B.V. All rights reserved.</t>
  </si>
  <si>
    <t>[Jung, Simon J. A.; Kroon, Dick; Ganeshram, Raja] Grant Inst, Sch Geosci, Edinburgh EH9 3JW, Midlothian, Scotland; [Jung, Simon J. A.; Kroon, Dick; Ganssen, Gerald; Peeters, Frank] Free Univ Amsterdam, Fac Earth &amp; Life Sci, Dept Paleoecol &amp; Paleoclimatol, NL-1081 HV Amsterdam, Netherlands</t>
  </si>
  <si>
    <t>University of Edinburgh; Vrije Universiteit Amsterdam</t>
  </si>
  <si>
    <t>Jung, SJA (corresponding author), Grant Inst, Sch Geosci, Kings Buildings,W Mains Rd, Edinburgh EH9 3JW, Midlothian, Scotland.</t>
  </si>
  <si>
    <t>simonjung@ed.ac.uk</t>
  </si>
  <si>
    <t>Ganeshram, Raja S/JPX-5314-2023</t>
  </si>
  <si>
    <t>Peeters, Frank J.C./0000-0002-5678-9288</t>
  </si>
  <si>
    <t>Vrije Universiteit Amsterdam; Netherlands Science Foundation (NWO); European Science Foundation (ESF-project VAMOC); National Enviromental Research Council [924.0501]; NERC Radiocarbon Laboratory; NERC [NE/G000980/1] Funding Source: UKRI; Natural Environment Research Council [NE/G000980/1] Funding Source: researchfish</t>
  </si>
  <si>
    <t>Vrije Universiteit Amsterdam; Netherlands Science Foundation (NWO)(Netherlands Organization for Scientific Research (NWO)); European Science Foundation (ESF-project VAMOC)(European Science Foundation (ESF)); National Enviromental Research Council; NERC Radiocarbon Laboratory; NERC(UK Research &amp; Innovation (UKRI)Natural Environment Research Council (NERC)); Natural Environment Research Council(UK Research &amp; Innovation (UKRI)Natural Environment Research Council (NERC))</t>
  </si>
  <si>
    <t>We thank Kate Darling for constructive comments on the manuscript. We thank a number of anonymous reviewers for helping improving the manuscript. The present study was generously supported by the Vrije Universiteit Amsterdam, the Netherlands Science Foundation (NWO) and the European Science Foundation (ESF-project VAMOC). AMS14C dates for Core NIOP 905 were funded by the Vrije Universiteit Amsterdam. Additional dates were funded by the National Enviromental Research Council (allocation number 924.0501) and provided by the NERC Radiocarbon Laboratory.</t>
  </si>
  <si>
    <t>10.1016/j.epsl.2009.01.037</t>
  </si>
  <si>
    <t>WOS:000265594800020</t>
  </si>
  <si>
    <t>Bouvier, A; Blichert-Toft, J; Albarède, F</t>
  </si>
  <si>
    <t>Bouvier, Audrey; Blichert-Toft, Janne; Albarede, Francis</t>
  </si>
  <si>
    <t>Martian meteorite chronology and the evolution of the interior of Mars</t>
  </si>
  <si>
    <t>Mars; SNC meteorites; ALH 84001; Pb-Pb dating; Nd-142; planetary differentiation</t>
  </si>
  <si>
    <t>ISOTOPIC SYSTEMATICS; SNC METEORITES; SM-ND; DIFFERENTIATION HISTORY; LEAD SYSTEMATICS; THERMAL HISTORY; TRACE-ELEMENTS; PB SYSTEMATICS; FORMATION AGES; SOLAR-SYSTEM</t>
  </si>
  <si>
    <t>The Earth, Moon, and Mars are the only three planets for which satellite and ground observations can be confronted with extensive chronological and geochemical observations of rock samples. Here we use new Pb isotope data on shergottites, nakhlites, Chassigny, and the ALH 84001 orthopyroxenite to reassess chronological evidence and discuss its bearing on the evolution of the interior of Mars. We find that the depleted shergottites formed at 4.3 Ga, i.e., similar to 170 Ma after the last equilibration of pyroxene-rich cumulates with the magma ocean, while the younger enriched and intermediate shergottites, as well as ALH 84001, formed similar to 200 Ma later at similar to 4.1 Ga, after the residual part of the mantle had been largely mixed back into these cumulates. We also demonstrate that the Th/U ratios inferred from Pb isotopes require shergottite ages older than similar to 4.0 Ga. We finally reexamine the implications of this new chronological framework for the interpretation of Nd-142 and W-182 anomalies in Martian meteorites. We conclude that shergottites represent samples that derived from a volcanic basement subsequently shattered by the similar to 3.9 Ga Late Heavy Bombardment (LHB). Although the magmatic activity of Mars had strongly declined by the time of the LHB, the new chronology of Martian meteorites proposed here allows the Martian mantle to be convective until today. The 1.3 Ga old emplacement of nakhlites and chassignites corresponds to decompression melting of ilmenite-rich mantle domains and not to renewed global magmatic activity of the planet. With the exception of this event, the history of the interior of Mars therefore somewhat resembles that of the Moon. (C) 2009 Elsevier B.V. All rights reserved.</t>
  </si>
  <si>
    <t>[Bouvier, Audrey] Arizona State Univ, Sch Earth &amp; Space Explorat, Tempe, AZ 85287 USA; [Bouvier, Audrey; Blichert-Toft, Janne; Albarede, Francis] Ecole Normale Super Lyon, CNRS, UMR 5570, F-69364 Lyon 07, France</t>
  </si>
  <si>
    <t>Arizona State University; Arizona State University-Tempe; Ecole Normale Superieure de Lyon (ENS de LYON); Centre National de la Recherche Scientifique (CNRS)</t>
  </si>
  <si>
    <t>Bouvier, A (corresponding author), Arizona State Univ, Sch Earth &amp; Space Explorat, Tempe, AZ 85287 USA.</t>
  </si>
  <si>
    <t>audrey.bouvier@asu.edu</t>
  </si>
  <si>
    <t>Bouvier, Audrey/A-3035-2011; Albarede, Francis/A-8871-2011; Blichert-Toft, Janne/C-8280-2012</t>
  </si>
  <si>
    <t>Albarede, Francis/0000-0003-1994-1428; Bouvier, Audrey/0000-0002-8303-3419; Blichert-Toft, Janne/0000-0002-4932-4079</t>
  </si>
  <si>
    <t>French Agence Nationale de la Recherche</t>
  </si>
  <si>
    <t>French Agence Nationale de la Recherche(Agence Nationale de la Recherche (ANR))</t>
  </si>
  <si>
    <t>We are grateful for the meteorite allocations (Philippe Gillet, Bertrand Van de Moortele, Jean-Alix Barrat, Consortium Theodore Monod of the Centre National d'Etudes Spatiales, Museum National d'Histoire Naturelle de Paris, National Institute for Polar Research, and US Antarctic Search Meteorite Program) and the steady financial support from the French Programme National de Planetologie. We likewise acknowledge financial support from the French Agence Nationale de la Recherche. Comments by several anonymous reviewers and the editor Rick Carlson helped improve the manuscript. We are also indebted to Philippe Telouk and Chantal Douchet for their assistance during the mass spectrometry and laboratory work.</t>
  </si>
  <si>
    <t>10.1016/j.epsl.2009.01.042</t>
  </si>
  <si>
    <t>WOS:000265594800027</t>
  </si>
  <si>
    <t>Isla, E; Gerdes, D; Palanques, A; Gili, JM; Arntz, WE; König-Langlo, G</t>
  </si>
  <si>
    <t>Isla, E.; Gerdes, D.; Palanques, A.; Gili, J. -M.; Arntz, W. E.; Koenig-Langlo, G.</t>
  </si>
  <si>
    <t>Downward particle fluxes, wind and a phytoplankton bloom over a polar continental shelf: A stormy impulse for the biological pump</t>
  </si>
  <si>
    <t>MARINE GEOLOGY</t>
  </si>
  <si>
    <t>sediment traps; organic carbon; biogenic silica; faecal pellets; particle fluxes; phytoplankton bloom</t>
  </si>
  <si>
    <t>EASTERN WEDDELL SEA; SHORT-TERM VARIATIONS; MARGINAL ICE-ZONE; PARTICULATE MATTER; ROSS SEA; WESTERN BRANSFIELD; ANTARCTIC COASTAL; BENTHIC-BIOMASS; SOUTHERN-OCEAN; WATER COLUMN</t>
  </si>
  <si>
    <t>Downward particle fluxes were collected on two sites on the Antarctic continental shelf (407 m to 491 m depth) during 30 days in the austral spring and summer 2003-2004. The sampling period included the onset and demise of a phytoplankton bloom and the occurrence of a storm. The calm period previous to the storm enabled the phytoplankton to flourish and set conditions for a bloom. The storm enhanced mixing, production and particle aggregation that increased the transport of organic matter to the seabed. The wind-induced particle pulse represented 53% (306 mg OC m(-2) and 826 mg bSi m(-2)) of the total mass flux collected during the study period at midwater column (179 m depth). Close to the seabed (28 m above the seafloor) the sample corresponding to the period of the highest flux in the upper trap was lost; however, high OC and bSi fluxes (279 mg OC m(-2) and 901 mg bSi m(-2)) Were still collected three days after. These fluxes were 42% and 30% of the respective fluxes collected at this depth throughout the study. Diatom aggregates and faecal pellets were the main vehicles for the transport of organic matter. Faecal pellets and for aminifera tests were ubiquitous in the traps; however, ellipsoidal faecal pellets were only present in the deeper traps where in some periods were more abundant than the faecal strings. Comparatively smaller particle fluxes than in other Antarctic settings during the same season were found and the differences attributed to the denser sea ice coverage (&gt;60%) observed during the present study. The chemical quality and the magnitude of the particle fluxes suggest that the phytoplankton bloom and the storm developed at least over a 75 km long area. The coincidence of these events produced in three days organic carbon and biogenic silica pulses over an area of at least 805 km(2) of the continental shelf that may have amounted 85 to 225 tons and 308 to 725 tons, respectively. The occurrence of storms (&gt;15 m s(-1)) during the spring-summer season in the last 20 years averaged 12 events per season, suggesting that the action of the wind could be very important in the development of organic matter-rich green mats on the sea floor. (C) 2009 Elsevier B.V. All rights reserved.</t>
  </si>
  <si>
    <t>[Isla, E.; Palanques, A.; Gili, J. -M.] CSIC, Inst Ciencies Mar, E-08003 Barcelona, Spain; [Gerdes, D.; Arntz, W. E.] Alfred Wegener Inst Polar &amp; Marine Res, D-27568 Bremerhaven, Germany; [Koenig-Langlo, G.] Alfred Wegener Inst Polar &amp; Marine Res, D-27570 Bremerhaven, Germany</t>
  </si>
  <si>
    <t>Consejo Superior de Investigaciones Cientificas (CSIC); CSIC - Centro Mediterraneo de Investigaciones Marinas y Ambientales (CMIMA); CSIC - Instituto de Ciencias del Mar (ICM); Helmholtz Association; Alfred Wegener Institute, Helmholtz Centre for Polar &amp; Marine Research; Helmholtz Association; Alfred Wegener Institute, Helmholtz Centre for Polar &amp; Marine Research</t>
  </si>
  <si>
    <t>Isla, E (corresponding author), CSIC, Inst Ciencies Mar, Passeig Maritim Barceloneta 37-49, E-08003 Barcelona, Spain.</t>
  </si>
  <si>
    <t>isla@icm.csic.es</t>
  </si>
  <si>
    <t>Palanques, Albert/C-2661-2013; Konig-Langlo, Gert/K-5048-2012</t>
  </si>
  <si>
    <t>Isla, Enrique/0000-0003-4959-6936; Palanques, Albert/0000-0003-2544-2342; Konig-Langlo, Gert/0000-0002-6100-4107</t>
  </si>
  <si>
    <t>Spanish Ministry of Education and Science [REN2003-04236]</t>
  </si>
  <si>
    <t>Spanish Ministry of Education and Science(Spanish Government)</t>
  </si>
  <si>
    <t>The authors wish to thank the RIV Polarstern Captain and crew for their assistance and Harald Bohlmann for his collaboration with the moored instruments. The present work was partially funded by the Spanish Ministry of Education and Science through the project FILANT (REN2003-04236). This article benefited from the comments and suggestions of two anonymous referees.</t>
  </si>
  <si>
    <t>0025-3227</t>
  </si>
  <si>
    <t>1872-6151</t>
  </si>
  <si>
    <t>MAR GEOL</t>
  </si>
  <si>
    <t>Mar. Geol.</t>
  </si>
  <si>
    <t>10.1016/j.margeo.2008.12.011</t>
  </si>
  <si>
    <t>Geosciences, Multidisciplinary; Oceanography</t>
  </si>
  <si>
    <t>Geology; Oceanography</t>
  </si>
  <si>
    <t>433LY</t>
  </si>
  <si>
    <t>WOS:000265206500005</t>
  </si>
  <si>
    <t>Dickinson, JA; Harb, N; Portner, RA; Daczko, NR</t>
  </si>
  <si>
    <t>Dickinson, J. A.; Harb, N.; Portner, R. A.; Daczko, N. R.</t>
  </si>
  <si>
    <t>Glassy fragmental rocks of Macquarie Island (Southern Ocean): Mechanism of formation and deposition</t>
  </si>
  <si>
    <t>SEDIMENTARY GEOLOGY</t>
  </si>
  <si>
    <t>Australia-Pacific plate boundary; Hyaloclastite; Volcanogenic; Sedimentary; Breccia</t>
  </si>
  <si>
    <t>PACIFIC PLATE BOUNDARY; ARC SW PACIFIC; VOLCANICLASTIC DEPOSITS; INTRAGLACIAL VOLCANOES; DEBRIS AVALANCHE; KILAUEA-VOLCANO; RIDGE COMPLEX; LAVA FLOWS; SUBMARINE; AUSTRALIA</t>
  </si>
  <si>
    <t>Glassy fragmental rocks are interlayered with pillow basalt and tabular basalt on Macquarie Island (54 degrees 30' S, 158 degrees 54' E). These facies formed along the Proto-Macquarie Spreading Ridge between 6 and 12 Ma and have since been uplifted and exposed on the apex of the Macquarie Ridge Complex. Through a combination of field and microscopic analyses, we investigate the submarine production, transportation, deposition and lithification of basalt and sideromelane clasts within a spreading-ridge environment. The findings of this study indicate that these glassy grains form predominantly by cooling-contraction granulation of pillow lava rinds while crystalline basalt clasts are derived from the fragmentation of pillows along concentric and radial cooling joints. Hyaloclastite breccias consist of crystalline volcanic clasts in a matrix of glassy fragments, and are termed pillow-fragment breccias when clasts; identifiable as pillows account for &gt;25% of the cobble-sized fraction. This glassy fragmental sediment was transported predominantly by short-lived grain flows and deposited as a result of syn-eruptive talus accumulation. The above interpretations culminate in the production of a depositional model: these glassy fragmental rocks formed on the slopes of pillow cones following gravitational collapse of a destabilised cone flank along the Proto-Macquarie Spreading Ridge. Scanning electron microscopy reveals that palagonite alteration rims on glassy grains lithify the sediment. The findings may be used as an analogue for the formation of glassy fragmental rocks along past and present mid-oceanic ridges. (C) 2009 Elsevier B.V. All rights reserved.</t>
  </si>
  <si>
    <t>[Dickinson, J. A.; Harb, N.; Portner, R. A.; Daczko, N. R.] Macquarie Univ, GEMOC ARC Natl Key Ctr, Dept Earth &amp; Planetary Sci, N Ryde, NSW 2109, Australia</t>
  </si>
  <si>
    <t>Macquarie University</t>
  </si>
  <si>
    <t>Portner, RA (corresponding author), Macquarie Univ, GEMOC ARC Natl Key Ctr, Dept Earth &amp; Planetary Sci, N Ryde, NSW 2109, Australia.</t>
  </si>
  <si>
    <t>rportner@els.mq.edu.au</t>
  </si>
  <si>
    <t>GAU, geochemist/H-1985-2016</t>
  </si>
  <si>
    <t>Portner, Ryan/0000-0003-4821-8204; Daczko, Nathan/0000-0002-3737-3818</t>
  </si>
  <si>
    <t>Australian Research Council [DP0663373]; ARC LIEF and DEST Systemic Infrastructure Grants, Macquarie University and industry; Australian Research Council [DP0663373] Funding Source: Australian Research Council</t>
  </si>
  <si>
    <t>Australian Research Council(Australian Research Council); ARC LIEF and DEST Systemic Infrastructure Grants, Macquarie University and industry(Australian Research Council); Australian Research Council(Australian Research Council)</t>
  </si>
  <si>
    <t>Australian Research Council funding to NRD and JAD (DP0663373) provided financial support to conduct this research. The Australian Antarctic Division (AAD) and Antarctic Research Assessment Committee (ARAC) funded the fieldwork and provided logistical support on Macquarie Island (Science Project 2515). We thank the Tasmanian Parks and Wildlife Service for the permission to visit and the sample localities on Macquarie Island. NH thanks the expeditioners of the 56th ANARE and especially Ryan Portner for their assistance in the field. Critical reviews by Kurt Panter and John Smellie, and careful editorial work improved an earlier version of this manuscript. This study used instrumentation [and/or geochemical laboratories] funded by ARC LIEF and DEST Systemic Infrastructure Grants, Macquarie University and industry. This is contribution no. 561 from the ARC GEMOC National Key Centre (www.es.mq.edu.au/GEMOC/).</t>
  </si>
  <si>
    <t>0037-0738</t>
  </si>
  <si>
    <t>1879-0968</t>
  </si>
  <si>
    <t>SEDIMENT GEOL</t>
  </si>
  <si>
    <t>Sediment. Geol.</t>
  </si>
  <si>
    <t>3-4</t>
  </si>
  <si>
    <t>10.1016/j.sedgeo.2009.02.001</t>
  </si>
  <si>
    <t>467IC</t>
  </si>
  <si>
    <t>WOS:000267731000003</t>
  </si>
  <si>
    <t>Martin, C; Hindmarsh, RCA; Navarro, FJ</t>
  </si>
  <si>
    <t>Martin, Carlos; Hindmarsh, Richard C. A.; Navarro, Francisco J.</t>
  </si>
  <si>
    <t>On the effects of divide migration, along-ridge flow, and basal sliding on isochrones near an ice divide</t>
  </si>
  <si>
    <t>WEST ANTARCTICA; SIPLE-DOME; ACCUMULATION PATTERN; DEVIATORIC STRESS; SHEET; DEFORMATION; SENSITIVITY; GRADIENTS; GLACIERS; VELOCITY</t>
  </si>
  <si>
    <t>Radar layer geometry in divide areas is strongly influenced by the operation of the Raymond effect, which causes upwarping of the layers as a consequence of the nonlinear rheology of ice. The detailed geometry of these layers is known to store a record of change in the cryosphere, of local thinning, and of the age of formation of the divide and has been surmised to provide information about lateral motion of divides. Such lateral motion can be caused by changes in flanking ice streams, and the divide area thereby contains a record of ice stream dynamics. It has also been suggested that a large perturbation of divide position will obliterate the cumulative effects of the operation of the Raymond mechanism, leading to the disappearance of Raymond bumps. Since the Raymond effect has a strong influence on the age-depth relation in ice cores, knowledge of whether its operation is localized (leading to strong bump formation) or distributed is crucial in the interpretation of ice cores. The detailed evolution of ice divide radar layer geometry remains poorly understood. Employing a full thermomechanically coupled transient model, we qualitatively explore the effect of divide migration on radar layer geometry. Certain qualitative features emerge which can be used to infer history of cryosphere change, in particular, in areas distant from the usual sites of geological dating. There remains uncertainty about the influence of sliding on the operation of the Raymond effect. Under certain conditions, the existence of sliding can damp or eliminate the operation of the Raymond effect. If this is generally true, then dating of ice divides may simply be a date for the freezing of the divide bottom. We show that sliding does not necessarily eliminate the formation of bumps. Dates of divide formation are likely to be dates for the location of the ridge at a particular spot. Raymond bump evolution is weakened by flow along the ridge. We explore quantitatively the strength of this effect, using a scaling analysis to show that the weakening can efficiently be described by one parameter, the ratio of along-ridge slope to a measure of the across-divide curvature.</t>
  </si>
  <si>
    <t>[Martin, Carlos; Hindmarsh, Richard C. A.] British Antarctic Survey, NERC, Div Phys Sci, Cambridge CB3 0ET, England; [Navarro, Francisco J.] Univ Politecn Madrid, Dept Matemat Aplicada, ETSI Telecomunicac, E-28040 Madrid, Spain</t>
  </si>
  <si>
    <t>UK Research &amp; Innovation (UKRI); Natural Environment Research Council (NERC); NERC British Antarctic Survey; Universidad Politecnica de Madrid</t>
  </si>
  <si>
    <t>Martin, C (corresponding author), British Antarctic Survey, NERC, Div Phys Sci, High Cross,Madingley Rd, Cambridge CB3 0ET, England.</t>
  </si>
  <si>
    <t>cama@bas.ac.uk; rcah@bas.ac.uk; fnv@mat.upm.es</t>
  </si>
  <si>
    <t>Hindmarsh, Richard/N-1195-2019; Navarro, Francisco/L-2941-2014; Martin, Carlos/S-2778-2018</t>
  </si>
  <si>
    <t>Hindmarsh, Richard/0000-0003-1633-2416; Navarro, Francisco/0000-0002-5147-0067; Martin, Carlos/0000-0002-2661-169X</t>
  </si>
  <si>
    <t>U.K. Natural Environment Research Council; Spanish National Plan for R and D [CGL2005-05483]; NERC [bas010018] Funding Source: UKRI; Natural Environment Research Council [bas010018] Funding Source: researchfish</t>
  </si>
  <si>
    <t>U.K. Natural Environment Research Council(UK Research &amp; Innovation (UKRI)Natural Environment Research Council (NERC)); Spanish National Plan for R and D; NERC(UK Research &amp; Innovation (UKRI)Natural Environment Research Council (NERC)); Natural Environment Research Council(UK Research &amp; Innovation (UKRI)Natural Environment Research Council (NERC))</t>
  </si>
  <si>
    <t>This work was funded by the U.K. Natural Environment Research Council and the Spanish National Plan for R and D (project CGL2005-05483). We are grateful to the Editor Michael Church, to the Scientific Editor Tavi Murray, to Gwendolyn J.-MC Leysinger Vieli, and to two anonymous reviewers for their helpful comments and positive discussion.</t>
  </si>
  <si>
    <t>APR 14</t>
  </si>
  <si>
    <t>F02006</t>
  </si>
  <si>
    <t>10.1029/2008JF001025</t>
  </si>
  <si>
    <t>435FU</t>
  </si>
  <si>
    <t>WOS:000265330100001</t>
  </si>
  <si>
    <t>Rosenthal, JJC; Seibel, BA; Dymowska, A; Bezanilla, F</t>
  </si>
  <si>
    <t>Rosenthal, Joshua J. C.; Seibel, Brad A.; Dymowska, Agnieszka; Bezanilla, Francisco</t>
  </si>
  <si>
    <t>Trade-off between aerobic capacity and locomotor capability in an Antarctic pteropod</t>
  </si>
  <si>
    <t>Antarctica; Clione antarctica; Clione limacina; temperature adaptation; mitochondria</t>
  </si>
  <si>
    <t>MOLLUSK CLIONE-LIMACINA; PATTERN GENERATOR; PERFORMANCE; NEURONS; DESIGN; FISHES; SYSTEM</t>
  </si>
  <si>
    <t>At - 1.8 degrees C, the waters of Antarctica pose a formidable physiological barrier for most ectotherms. The few taxa that inhabit this zone have presumably made specific adjustments to their neuromuscular function and have enhanced their metabolic capacity. However, support for this assertion is equivocal and the details of specific compensations are largely unknown. This can generally be attributed to the fact that most Antarctic organisms are either too distantly related to their temperate relatives to permit direct comparisons ( e. g., notothenioid fishes) or because they are not amenable to neuromuscular recording. Here, as a comparative model, we take advantage of 2 pelagic molluscs in the genus Clione to conduct a broadly integrative investigation on neuromuscular adaptation to the extreme cold. We find that for the Antarctic congener aerobic capacity is enhanced, but at a cost. To support a striking proliferation of mitochondria, the Antarctic species has shed a 2-gear swim system and the associated specialized neuromuscular components, resulting in greatly reduced scope for locomotor activity. These results suggest that polar animals have undergone substantial tissue-level reorganizations to accommodate their environment, which may reduce their capacity to acclimate to a changing climate.</t>
  </si>
  <si>
    <t>[Rosenthal, Joshua J. C.] Univ Puerto Rico, Inst Neurobiol, San Juan, PR 00901 USA; [Rosenthal, Joshua J. C.] Univ Puerto Rico, Dept Biochem, San Juan, PR 00901 USA; [Seibel, Brad A.; Dymowska, Agnieszka] Univ Rhode Isl, Dept Biol Sci, Kingston, RI 02881 USA; [Dymowska, Agnieszka] Univ Alberta, Dept Biol Sci, Ctr Biol Sci, Edmonton, AB T6G 2E9, Canada; [Bezanilla, Francisco] Univ Chicago, Dept Biochem &amp; Mol Biol, Chicago, IL 60637 USA</t>
  </si>
  <si>
    <t>University of Puerto Rico; University of Puerto Rico; University of Rhode Island; University of Alberta; University of Chicago</t>
  </si>
  <si>
    <t>Rosenthal, JJC (corresponding author), Univ Puerto Rico, Inst Neurobiol, Med Sci Campus, San Juan, PR 00901 USA.</t>
  </si>
  <si>
    <t>rosenthal.joshua@gmail.com; seibel@uri.edu; fbezanilla@uchicago.edu</t>
  </si>
  <si>
    <t>NSF OPP [9980360, 0538479]; NSF IBN [0344070]; NIH GM [30376]; University of Rhode Island Council for Research; Division Of Integrative Organismal Systems; Direct For Biological Sciences [0344070] Funding Source: National Science Foundation; Office of Polar Programs (OPP); Directorate For Geosciences [9980360] Funding Source: National Science Foundation; Office of Polar Programs (OPP); Directorate For Geosciences [0538479] Funding Source: National Science Foundation</t>
  </si>
  <si>
    <t>NSF OPP(National Science Foundation (NSF)NSF - Directorate for Geosciences (GEO)); NSF IBN(National Science Foundation (NSF)); NIH GM(United States Department of Health &amp; Human ServicesNational Institutes of Health (NIH) - USA); University of Rhode Island Council for Research; Division Of Integrative Organismal Systems; Direct For Biological Sciences(National Science Foundation (NSF)NSF - Directorate for Biological Sciences (BIO)NSF - Division of Integrative Organismal Systems (IOS)); Office of Polar Programs (OPP); Directorate For Geosciences(National Science Foundation (NSF)NSF - Directorate for Geosciences (GEO)); Office of Polar Programs (OPP); Directorate For Geosciences(National Science Foundation (NSF)NSF - Directorate for Geosciences (GEO))</t>
  </si>
  <si>
    <t>We thank the staff at McMurdo Station, Antarctica, and the Marine Institute of Memorial University, Newfoundland, for excellent support. This work was supported by NSF OPP Awards 9980360 and 0538479, NSF IBN Award 0344070, NIH GM Award 30376, and the University of Rhode Island Council for Research.</t>
  </si>
  <si>
    <t>10.1073/pnas.0901321106</t>
  </si>
  <si>
    <t>433AB</t>
  </si>
  <si>
    <t>WOS:000265174600031</t>
  </si>
  <si>
    <t>Azevedo, F; Hajdu, E; Willenz, P; Klautau, M</t>
  </si>
  <si>
    <t>Azevedo, Fernanda; Hajdu, Eduardo; Willenz, Philippe; Klautau, Michelle</t>
  </si>
  <si>
    <t>New records of Calcareous sponges (Porifera, Calcarea) from the Chilean coast</t>
  </si>
  <si>
    <t>Calcarea; Chile; Sponges; taxonomy</t>
  </si>
  <si>
    <t>CLATHRINA PORIFERA; GENUS CLATHRINA; SP-NOV; POECILOSCLERIDA; DEMOSPONGIAE; PACIFIC; REVISION; ATLANTIC</t>
  </si>
  <si>
    <t>The present study is part of a large international effort to inventory the markedly underestimated sponge diversity in the coastal south-eastern Pacific, and figure its biotic affinities with neighbouring faunas in the Antarctic peninsula, in the south-western Atlantic and in the tropical eastern Pacific. Collections were assembled between 2003 and 2007 from 20 Chilean localities, at depths varying from 8 to 35 m. Thirty nine specimens of calcareous sponges were collected totalling 7 species which are described here, 6 being new to science. Four species belong to Calcinea (Clathrina antofagastensis sp. nov., Clathrina fjordica sp. nov., Guancha ramosa sp. nov., and Leucaltis nuda sp. nov.), and 3 to Calcaronea (Leucosolenia australis, Sycon huinayense sp. nov., and Sycettusa chilensis sp. nov.).</t>
  </si>
  <si>
    <t>[Azevedo, Fernanda; Klautau, Michelle] Univ Fed Rio de Janeiro, Inst Biol, Dept Zool, BR-21941590 Rio De Janeiro, Brazil; [Hajdu, Eduardo] Univ Fed Rio de Janeiro, Museu Nacl, Dept Invertebrados, BR-20940040 Rio De Janeiro, Brazil; [Willenz, Philippe] Royal Belgian Inst Nat Sci, Dept Invertebrates, B-1000 Brussels, Belgium</t>
  </si>
  <si>
    <t>Universidade Federal do Rio de Janeiro; Universidade Federal do Rio de Janeiro; Royal Belgian Institute of Natural Sciences</t>
  </si>
  <si>
    <t>Klautau, M (corresponding author), Univ Fed Rio de Janeiro, Inst Biol, Dept Zool, Av Brigadeiro Trompowski S-N, BR-21941590 Rio De Janeiro, Brazil.</t>
  </si>
  <si>
    <t>fernanda@biologia.ufrj.br; hajdu@acd.ufrj.br; philippe.willenz@naturalsciences.be; mklautau@biologia.ufrj.br</t>
  </si>
  <si>
    <t>Azevedo, Fernanda/K-3162-2012; Hajdu, Eduardo/C-3863-2009; Klautau, Michelle/I-2041-2012</t>
  </si>
  <si>
    <t>Hajdu, Eduardo/0000-0002-8760-9403; Azevedo, Fernanda/0000-0003-2510-305X</t>
  </si>
  <si>
    <t>433EZ</t>
  </si>
  <si>
    <t>WOS:000265188400001</t>
  </si>
  <si>
    <t>Miyagawa, K; Sasaki, T; Nakane, H; Petropavlovskikh, I; Evans, RD</t>
  </si>
  <si>
    <t>Miyagawa, Koji; Sasaki, Tom; Nakane, Hideaki; Petropavlovskikh, Irina; Evans, Robert D.</t>
  </si>
  <si>
    <t>Reevaluation of long-term Umkehr data and ozone profiles at Japanese stations</t>
  </si>
  <si>
    <t>DIFFERENTIAL-ABSORPTION LIDAR; ALGORITHM; TSUKUBA; DIOXIDE; TRENDS</t>
  </si>
  <si>
    <t>Umkehr observations have been routinely conducted at Japanese stations, Sapporo, Tsukuba, Kagoshima, and Naha, and the Antarctic station, Syowa, for more than 50 years. Umkehr data are a valuable source of information on long-term changes in the ozone vertical profile; however, the Umkehr record at Japanese stations has evident discontinuities. The majority of the discontinuities are related to the exchange of instruments for calibration (for total ozone measurements) and the replacement of instruments. These discontinuities may be related to the difference in instrument characteristics. In this article, reevaluation of the long-term Umkehr data in Japanese network is done by assessment of instrument-related changes in compared N values that exhibit solar zenith angle and total ozone dependence in addition to the step changes. The systematic errors are evaluated by simultaneous intercomparisons of each instrument with the reference instrument. Through this reevaluation, most discontinuities in a station's Umkehr time series are successfully corrected, and new sets of ozone vertical profiles are derived. The ozone profiles retrieved by two available Umkehr retrieval algorithms are compared with ozonesonde observations at every station and ozone lidar observations at Tsukuba. ne results show that the revised Umkehr ozone profiles show improved consistency with both types of auxiliary ozone observations as compared to the old data sets, especially with regard to ozonesonde observations (difference of less than 5%). Trend analyses of the revised Umkehr ozone profile time series show a significant decrease in stratospheric ozone over Japan during the 1980s. It also varies between stations, with Naha showing the least significant trend among Japanese stations and Sapporo exhibiting as much as 6% of ozone decline per decade. In addition, a positive and statistically significant trend is detected in tropospheric ozone column it Naha (similar to 5.5% per decade) and Tsukuba (similar to 3.5% per decade) stations over the last 20 years, but no significant trend is observed over Sapporo.</t>
  </si>
  <si>
    <t>[Miyagawa, Koji] Japan Meteorol Agcy, Tsukuba, Ibaraki 3050052, Japan; [Evans, Robert D.] NOAA, ESRL, OAR, Climate Monitoring Div, Boulder, CO 80305 USA; [Nakane, Hideaki] Natl Inst Environm Studies, Tsukuba, Ibaraki 3050053, Japan; [Petropavlovskikh, Irina] Univ Colorado, Cooperat Inst Res Environm Sci, Boulder, CO 80309 USA; [Sasaki, Tom] Japan Meteorol Agcy, Utsunomiya, Tochigi 3200845, Japan</t>
  </si>
  <si>
    <t>Japan Meteorological Agency; National Oceanic Atmospheric Admin (NOAA) - USA; National Institute for Environmental Studies - Japan; University of Colorado System; University of Colorado Boulder; Japan Meteorological Agency</t>
  </si>
  <si>
    <t>Miyagawa, K (corresponding author), Japan Meteorol Agcy, Tsukuba, Ibaraki 3050052, Japan.</t>
  </si>
  <si>
    <t>miyagawa@met.kishou.go.jp; tsasaki@met.kishou.go.jp; nakane18@nies.go.jp; irina.petro@noaa.gov; robert.d.evans@noaa.gov</t>
  </si>
  <si>
    <t>Evans, Robert/D-4731-2016</t>
  </si>
  <si>
    <t>Evans, Robert/0000-0002-8693-9769; PETROPAVLOVSKIKH, IRINA/0000-0001-5352-1369; Nakane, Hideaki/0000-0002-9032-6105</t>
  </si>
  <si>
    <t>APR 8</t>
  </si>
  <si>
    <t>D07108</t>
  </si>
  <si>
    <t>10.1029/2008JD010658</t>
  </si>
  <si>
    <t>431YZ</t>
  </si>
  <si>
    <t>WOS:000265102000001</t>
  </si>
  <si>
    <t>Glavin, DP; Dworkin, JP</t>
  </si>
  <si>
    <t>Glavin, Daniel P.; Dworkin, Jason P.</t>
  </si>
  <si>
    <t>Enrichment of the amino acid L-isovaline by aqueous alteration on CI and CM meteorite parent bodies</t>
  </si>
  <si>
    <t>enantiomeric excess; homochirality; origin of life; carbonaceous chondrite</t>
  </si>
  <si>
    <t>STAR-FORMATION REGIONS; MURCHISON METEORITE; CARBONACEOUS CHONDRITES; ASYMMETRIC AUTOCATALYSIS; CIRCULAR-POLARIZATION; ORGANIC-COMPOUNDS; HOMOCHIRALITY; ORIGIN; AMPLIFICATION; MINERALOGY</t>
  </si>
  <si>
    <t>The distribution and enantiomeric composition of the 5-carbon (C(5)) amino acids found in CI-, CM-, and CR-type carbonaceous meteorites were investigated by using liquid chromatography fluorescence detection/TOF-MS coupled with o-phthaldialdehyde/N-acetyl- L-cysteine derivatization. A large L-enantiomeric excess (ee) of the alpha-methyl amino acid isovaline was found in the CM meteorite Murchison (L(ee) = 18.5 +/- 2.6%) and the CI meteorite Orgueil (L(ee) = 15.2 +/- 4.0%). The measured value for Murchison is the largest enantiomeric excess in any meteorite reported to date, and the Orgueil measurement of an isovaline excess has not been reported previously for this or any CI meteorite. The L-isovaline enrichments in these two carbonaceous meteorites cannot be the result of interference from other C(5) amino acid isomers present in the samples, analytical biases, or terrestrial amino acid contamination. We observed no L-isovaline enrichment for the most primitive unaltered Antarctic CR meteorites EET 92042 and QUE 99177. These results are inconsistent with UV circularly polarized light as the primary mechanism for L-isovaline enrichment and indicate that amplification of a small initial isovaline asymmetry in Murchison and Orgueil occurred during an extended aqueous alteration phase on the meteorite parent bodies. The large asymmetry in isovaline and other alpha-dialkyl amino acids found in altered CI and CM meteorites suggests that amino acids delivered by asteroids, comets, and their fragments would have biased the Earth's prebiotic organic inventory with left-handed molecules before the origin of life.</t>
  </si>
  <si>
    <t>[Glavin, Daniel P.; Dworkin, Jason P.] NASA, Goddard Space Flight Ctr, Greenbelt, MD 20771 USA</t>
  </si>
  <si>
    <t>National Aeronautics &amp; Space Administration (NASA); NASA Goddard Space Flight Center</t>
  </si>
  <si>
    <t>Glavin, DP (corresponding author), NASA, Goddard Space Flight Ctr, Greenbelt, MD 20771 USA.</t>
  </si>
  <si>
    <t>daniel.p.glavin@nasa.gov</t>
  </si>
  <si>
    <t>Glavin, Daniel P/D-6194-2012; Dworkin, Jason P./C-9417-2012</t>
  </si>
  <si>
    <t>Glavin, Daniel P/0000-0001-7779-7765; Dworkin, Jason P./0000-0002-3961-8997</t>
  </si>
  <si>
    <t>National Aeronautics and Space Administration Astrobiology Institute; National Aeronautics and Space Administration Cosmo-chemistry; Astrobiology: Exobiology and Evolutionary Biology programs</t>
  </si>
  <si>
    <t>National Aeronautics and Space Administration Astrobiology Institute; National Aeronautics and Space Administration Cosmo-chemistry(National Aeronautics &amp; Space Administration (NASA)); Astrobiology: Exobiology and Evolutionary Biology programs</t>
  </si>
  <si>
    <t>We thank K. Righter, T. McCoy, L. Welzenbach, and P. Ehrenfreund for providing the meteorite samples used in this study; S. Pizzarello, S. Miller, S. Davies, R. Duke, and R. Hudson for several amino acid standards; A. Lewis for optimizing the LC analytical separation conditions; M. Martin for help optimizing the QqQ-MS conditions; C. Alexander and L. Chizmadia for helpful discussions; O. Botta for assistance with the meteorite extractions; and A. Schwartz and an anonymous reviewer for helpful comments. Funding support was received from the National Aeronautics and Space Administration Astrobiology Institute and the National Aeronautics and Space Administration Cosmo-chemistry and Astrobiology: Exobiology and Evolutionary Biology programs.</t>
  </si>
  <si>
    <t>APR 7</t>
  </si>
  <si>
    <t>10.1073/pnas.0811618106</t>
  </si>
  <si>
    <t>430CX</t>
  </si>
  <si>
    <t>WOS:000264967500008</t>
  </si>
  <si>
    <t>Guilford, T; Meade, J; Willis, J; Phillips, RA; Boyle, D; Roberts, S; Collett, M; Freeman, R; Perrins, CM</t>
  </si>
  <si>
    <t>Guilford, T.; Meade, J.; Willis, J.; Phillips, R. A.; Boyle, D.; Roberts, S.; Collett, M.; Freeman, R.; Perrins, C. M.</t>
  </si>
  <si>
    <t>Migration and stopover in a small pelagic seabird, the Manx shearwater Puffinus puffinus: insights from machine learning</t>
  </si>
  <si>
    <t>geolocator tracking technology; tracking pelagic seabirds; Bayesian machine learning; migration; Manx shearwater; spatial ecology</t>
  </si>
  <si>
    <t>ALBATROSSES; GEOLOCATION; OCEAN</t>
  </si>
  <si>
    <t>The migratory movements of seabirds (especially smaller species) remain poorly understood, despite their role as harvesters of marine ecosystems on a global scale and their potential as indicators of ocean health. Here we report a successful attempt, using miniature archival light loggers (geolocators), to elucidate the migratory behaviour of the Manx shearwater Puffinus puffinus, a small (400 g) Northern Hemisphere breeding procellariform that undertakes a trans-equatorial, trans-Atlantic migration. We provide details of over-wintering areas, of previously unobserved marine stopover behaviour, and the long-distance movements of females during their pre-laying exodus. Using salt-water immersion data from a subset of loggers, we introduce a method of behaviour classification based on Bayesian machine learning techniques. We used both supervised and unsupervised machine learning to classify each bird's daily activity based on simple properties of the immersion data. We show that robust activity states emerge, characteristic of summer feeding, winter feeding and active migration. These can be used to classify probable behaviour throughout the annual cycle, highlighting the likely functional significance of stopovers as refuelling stages.</t>
  </si>
  <si>
    <t>[Guilford, T.; Collett, M.] Univ Oxford, Dept Zool, Anim Behav Res Grp, Oxford OX1 3PS, England; [Meade, J.] Univ Sheffield, Dept Anim &amp; Plant Sci, Sheffield S10 2TN, S Yorkshire, England; [Willis, J.; Roberts, S.] Univ Oxford, Dept Engn Sci, Oxford OX1 3PJ, England; [Phillips, R. A.] NERC, British Antarctic Survey, Cambridge CB3 0ET, England; [Freeman, R.] Microsoft Res, Computat Ecol &amp; Environm Sci, Cambridge CB3 0FB, England; [Perrins, C. M.] Univ Oxford, Dept Zool, Edward Grey Inst Field Ornithol, Oxford OX1 3PS, England</t>
  </si>
  <si>
    <t>University of Oxford; University of Sheffield; University of Oxford; UK Research &amp; Innovation (UKRI); Natural Environment Research Council (NERC); NERC British Antarctic Survey; Microsoft; University of Oxford</t>
  </si>
  <si>
    <t>Guilford, T (corresponding author), Univ Oxford, Dept Zool, Anim Behav Res Grp, S Parks Rd, Oxford OX1 3PS, England.</t>
  </si>
  <si>
    <t>tim.guilford@zoo.ox.ac.uk</t>
  </si>
  <si>
    <t>Meade, Jessica/A-6411-2013; Meade, Jessica/O-7771-2019</t>
  </si>
  <si>
    <t>Willis, Jay/0000-0003-0701-7262; Freeman, Robin/0000-0002-0560-8942</t>
  </si>
  <si>
    <t>Engineering and Physical Sciences Research Council [GR/R93261/01] Funding Source: researchfish; Natural Environment Research Council [bas010017] Funding Source: researchfish; NERC [bas010017] Funding Source: UKRI</t>
  </si>
  <si>
    <t>Engineering and Physical Sciences Research Council(UK Research &amp; Innovation (UKRI)Engineering &amp; Physical Sciences Research Council (EPSRC)); Natural Environment Research Council(UK Research &amp; Innovation (UKRI)Natural Environment Research Council (NERC)); NERC(UK Research &amp; Innovation (UKRI)Natural Environment Research Council (NERC))</t>
  </si>
  <si>
    <t>1471-2945</t>
  </si>
  <si>
    <t>10.1098/rspb.2008.1577</t>
  </si>
  <si>
    <t>421IE</t>
  </si>
  <si>
    <t>WOS:000264351800004</t>
  </si>
  <si>
    <t>Nisbet, RER; Fisher, R; Nimmo, RH; Bendall, DS; Crill, PM; Gallego-Sala, AV; Hornibrook, ERC; López-Juez, E; Lowry, D; Nisbet, PBR; Shuckburgh, EF; Sriskantharajah, S; Howe, CJ; Nisbet, EG</t>
  </si>
  <si>
    <t>Nisbet, R. E. R.; Fisher, R.; Nimmo, R. H.; Bendall, D. S.; Crill, P. M.; Gallego-Sala, A. V.; Hornibrook, E. R. C.; Lopez-Juez, E.; Lowry, D.; Nisbet, P. B. R.; Shuckburgh, E. F.; Sriskantharajah, S.; Howe, C. J.; Nisbet, E. G.</t>
  </si>
  <si>
    <t>Emission of methane from plants</t>
  </si>
  <si>
    <t>methane; methanogenesis; plant; satellite</t>
  </si>
  <si>
    <t>TERRESTRIAL PLANTS; FOREST SOILS; ATMOSPHERE; TRANSPORT; ECOSYSTEM; BACTERIA</t>
  </si>
  <si>
    <t>It has been proposed that plants are capable of producing methane by a novel and unidentified biochemical pathway. Emission of methane with an apparently biological origin was recorded from both whole plants and detached leaves. This was the first report of methanogenesis in an aerobic setting, and was estimated to account for 10-45 per cent of the global methane source. Here, we show that plants do not contain a known biochemical pathway to synthesize methane. However, under high UV stress conditions, there may be spontaneous breakdown of plant material, which releases methane. In addition, plants take up and transpire water containing dissolved methane, leading to the observation that methane is released. Together with a new analysis of global methane levels from satellite retrievals, we conclude that plants are not a major source of the global methane production.</t>
  </si>
  <si>
    <t>[Nisbet, R. E. R.; Nimmo, R. H.; Bendall, D. S.; Howe, C. J.] Univ Cambridge, Dept Biochem, Cambridge CB2 1QW, England; [Fisher, R.; Lowry, D.; Nisbet, P. B. R.; Sriskantharajah, S.; Nisbet, E. G.] Univ London, Dept Earth Sci, Egham TW20 0EX, Surrey, England; [Lopez-Juez, E.] Univ London, Sch Biol Sci, Egham TW20 0EX, Surrey, England; [Crill, P. M.] Univ Stockholm, Dept Geol &amp; Geochem, S-10691 Stockholm, Sweden; [Gallego-Sala, A. V.; Hornibrook, E. R. C.] Univ Bristol, Bristol Biogeochem Res Ctr, Dept Earth Sci, Bristol BS8 1RJ, Avon, England; [Nisbet, P. B. R.] Univ Oxford, Dept Phys, Clarendon Lab, Oxford OX1 3PU, England; [Shuckburgh, E. F.] British Antarctic Survey, Cambridge CB3 0ET, England</t>
  </si>
  <si>
    <t>University of Cambridge; University of London; Royal Holloway University London; University of London; Royal Holloway University London; Stockholm University; University of Bristol; University of Oxford; UK Research &amp; Innovation (UKRI); Natural Environment Research Council (NERC); NERC British Antarctic Survey</t>
  </si>
  <si>
    <t>Nisbet, RER (corresponding author), Univ S Australia, Sch Pharm &amp; Med Sci, Adelaide, SA 5000, Australia.</t>
  </si>
  <si>
    <t>rern2@mole.bio.cam.ac.uk</t>
  </si>
  <si>
    <t>Juez, Enrique Lopez-/Y-4845-2018; Lowry, David/JCE-0619-2023; Gallego-Sala, Angela/G-8770-2012; Hornibrook, Edward RC/D-2837-2013; Fisher, Rebecca/AAA-5352-2022; Howe, Chris/KEH-4381-2024; Crill, Patrick/ABC-1357-2021; Lowry, David/GXG-1235-2022; Nisbet, Ellen/A-5584-2010</t>
  </si>
  <si>
    <t>Juez, Enrique Lopez-/0000-0003-4150-6625; Gallego-Sala, Angela/0000-0002-7483-7773; Nisbet, Ellen/0000-0003-4487-196X; Shuckburgh, Emily/0000-0001-9206-3444; Nisbet-Jones, Peter/0000-0003-3332-9905; Hornibrook, Edward/0000-0003-4678-0180; Crill, Patrick/0000-0003-1110-3059; LOWRY, DAVID/0000-0002-8535-0346; Fisher, Rebecca/0000-0002-9262-5467</t>
  </si>
  <si>
    <t>NERC [bas010013, NE/D009642/1, NE/F020937/1, bas0100028] Funding Source: UKRI; Natural Environment Research Council [NE/F020937/1, bas0100028, NE/D009642/1, bas010013] Funding Source: researchfish</t>
  </si>
  <si>
    <t>1471-2954</t>
  </si>
  <si>
    <t>10.1098/rspb.2008.1731</t>
  </si>
  <si>
    <t>WOS:000264351800019</t>
  </si>
  <si>
    <t>Vilella, C; Miralles, D; Altadill, D; Acosta, F; Solé, JG; Torta, JM; Pijoan, JL</t>
  </si>
  <si>
    <t>Vilella, C.; Miralles, D.; Altadill, D.; Acosta, F.; Sole, J. G.; Torta, J. M.; Pijoan, J. L.</t>
  </si>
  <si>
    <t>Vertical and oblique ionospheric soundings over a very long multihop HF radio link from polar to midlatitudes: Results and relationships</t>
  </si>
  <si>
    <t>RADIO SCIENCE</t>
  </si>
  <si>
    <t>MULTIPATH SPREAD; IONOSONDE; DOPPLER</t>
  </si>
  <si>
    <t>A vertical incidence sounder (VIS) was installed at the Spanish Antarctic Base (62.7 degrees S, 299.6 degrees E) during the Antarctic summer survey 2004-2005. In addition, an oblique sounding (OS) system for HF communications between Antarctica and Spain (12,700 km) has been operated during the Antarctic summers since December 2003. OS results are compared to Rec533 model and to VIS data obtained from stations located along the radio path, including VIS stations at the emitter and receiver sites. The results presented in this paper show the potential of this infrastructure for ionospheric monitoring and research purposes at and from polar regions. The results also show that relevant information (e. g., maximum received frequency) of very long range radio links can be obtained from appropriate VIS stations along the path.</t>
  </si>
  <si>
    <t>[Vilella, C.; Miralles, D.; Acosta, F.; Pijoan, J. L.] Grp Recerca Electromagnetisme &amp; Comunicac, E-08022 La Salle, Spain; [Altadill, D.; Sole, J. G.; Torta, J. M.] Univ Ramon Llull, CSIC, Observ Ebro, E-43520 Roquetes, Spain; [Vilella, C.; Miralles, D.; Acosta, F.; Pijoan, J. L.] Univ Ramon Llull, E-08022 Barcelona, Spain</t>
  </si>
  <si>
    <t>Universitat Ramon Llull; Ebre Observatory; Consejo Superior de Investigaciones Cientificas (CSIC); Universitat Ramon Llull</t>
  </si>
  <si>
    <t>Vilella, C (corresponding author), Grp Recerca Electromagnetisme &amp; Comunicac, E-08022 La Salle, Spain.</t>
  </si>
  <si>
    <t>carlesv@salle.url.edu</t>
  </si>
  <si>
    <t>Torta, Joan Miquel/C-7614-2014; Altadill, David/K-9309-2014; Pijoan, Joan Lluis/S-3319-2018</t>
  </si>
  <si>
    <t>Torta, Joan Miquel/0000-0002-4340-7308; Altadill, David/0000-0001-7730-385X; Pijoan, Joan Lluis/0000-0002-1796-8216</t>
  </si>
  <si>
    <t>Spanish projects [REN2003-08376-C02, CGL2006-12437-C02]</t>
  </si>
  <si>
    <t>Spanish projects(Spanish Government)</t>
  </si>
  <si>
    <t>This work has been supported by Spanish projects REN2003-08376-C02 and CGL2006-12437-C02. The authors wish to express their gratitude to C. Bianchi, and E. Zuccheretti from the INGV, Italy, to S. Marsal, J. J. Curto, O. Cid, G. Sanchez, M. Ibanez and J. Segui from the Ebro Observatory, and to S. Graells, D. Badia, P. Bergada, M. Deumal, J. R. Regue, R. Aquilue, I. Gutierrez and J. Mauricio, from Enginyeria i Arquitectura La Salle, for their technical support. The Unidad de Tecnologias Marinas is acknowledged for their logistic support. The authors would also like to thank the reviewers for their detailed and useful comments.</t>
  </si>
  <si>
    <t>0048-6604</t>
  </si>
  <si>
    <t>1944-799X</t>
  </si>
  <si>
    <t>RADIO SCI</t>
  </si>
  <si>
    <t>Radio Sci.</t>
  </si>
  <si>
    <t>RS2014</t>
  </si>
  <si>
    <t>10.1029/2008RS004001</t>
  </si>
  <si>
    <t>Astronomy &amp; Astrophysics; Geochemistry &amp; Geophysics; Meteorology &amp; Atmospheric Sciences; Remote Sensing; Telecommunications</t>
  </si>
  <si>
    <t>432AI</t>
  </si>
  <si>
    <t>WOS:000265105500001</t>
  </si>
  <si>
    <t>Clilverd, MA; Seppälä, A; Rodger, CJ; Mlynczak, MG; Kozyra, JU</t>
  </si>
  <si>
    <t>Clilverd, Mark A.; Seppala, Annika; Rodger, Craig J.; Mlynczak, Martin G.; Kozyra, Janet U.</t>
  </si>
  <si>
    <t>Additional stratospheric NOx production by relativistic electron precipitation during the 2004 spring NOx descent event</t>
  </si>
  <si>
    <t>ODD NITROGEN; MIDDLE ATMOSPHERE; MODEL; THERMOSPHERE; CHEMISTRY</t>
  </si>
  <si>
    <t>We analyze in detail the February 2004 Global Ozone Monitoring by Occultation of Stars (GOMOS) NO2 observations in the northern polar latitudes during the springtime descent of NOx from the mesosphere into the stratosphere. We combine GOMOS observations with SABER-observed NO 5.3 mu m radiated power and an AARDDVARK-derived radio wave index (RWI) to describe the impact of the 11 February geomagnetic storm. Energetic electron precipitation generated some additional NOx, supplementing the original amounts that were already descending. At altitudes of 50-70 km, GOMOS observations of NO2 showed a delayed response to the geomagnetic storm, with NO2 being generated 3 days after the start of the storm. The delayed response and duration of NO2 production was found to be consistent with the increase in the flux of relativistic electrons measured by GOES at geostationary orbit and by POES through relativistic electron contamination of the &gt;16 MeV proton channel. Using the Sodankyla Ion and Neutral Chemistry model (SIC), we found that a good fit to the observed NO2 mixing ratios at the peak of the geomagnetic storm effect was produced by a monoenergetic 1.25 MeV electron beam with a flux of similar to 0.3 x10(6) el cm(-2) sr(-1) s(-1) keV(-1) or with a hard'' electron spectra taken from Gaines et al. (1995) but with fluxes enhanced by a factor of 15, i.e., 8 x 10(4) el cm(-2) sr(-1) s(-1) for 2-6 MeV. Prior to the storm the descending NO2 had average mixing ratio values of similar to 150 ppbv. The geomagnetic storm-induced relativistic electron precipitation event doubled the amount of NOx descending into the stratosphere to similar to 300 ppbv after the storm.</t>
  </si>
  <si>
    <t>[Clilverd, Mark A.] British Antarctic Survey, NERC, Div Phys Sci, Cambridge CB3 0ET, England; [Kozyra, Janet U.] Univ Michigan, Dept Atmospher Ocean &amp; Space Sci, Coll Engn, Ann Arbor, MI 48109 USA; [Mlynczak, Martin G.] NASA, Langley Res Ctr, Hampton, VA 23681 USA; [Rodger, Craig J.] Univ Otago, Dept Phys, Dunedin, New Zealand; [Seppala, Annika] Finnish Meteorol Inst, FIN-00101 Helsinki, Finland</t>
  </si>
  <si>
    <t>UK Research &amp; Innovation (UKRI); Natural Environment Research Council (NERC); NERC British Antarctic Survey; University of Michigan System; University of Michigan; National Aeronautics &amp; Space Administration (NASA); NASA Langley Research Center; University of Otago; Finnish Meteorological Institute</t>
  </si>
  <si>
    <t>Clilverd, MA (corresponding author), British Antarctic Survey, NERC, Div Phys Sci, High Cross,Madingley Rd, Cambridge CB3 0ET, England.</t>
  </si>
  <si>
    <t>macl@bas.ac.uk; annika.seppala@fmi.fi; crodger@physics.otago.ac.nz; martin.g.mlynczak@nasa.gov; jukozyra@umich.edu</t>
  </si>
  <si>
    <t>Mlynczak, Martin/K-3396-2012; Seppälä, Annika/C-8031-2014; Rodger, Craig/A-1501-2011</t>
  </si>
  <si>
    <t>Seppälä, Annika/0000-0002-5028-8220; Rodger, Craig J./0000-0002-6770-2707</t>
  </si>
  <si>
    <t>Academy of Finland; NERC [bas0100023] Funding Source: UKRI; Natural Environment Research Council [bas0100023] Funding Source: researchfish</t>
  </si>
  <si>
    <t>Academy of Finland(Research Council of Finland); NERC(UK Research &amp; Innovation (UKRI)Natural Environment Research Council (NERC)); Natural Environment Research Council(UK Research &amp; Innovation (UKRI)Natural Environment Research Council (NERC))</t>
  </si>
  <si>
    <t>M. A. C. would like to thank Glenda Harden at BAS for her valuable support in the development of this work. A. S. thanks the Academy of Finland for their support though the EPPIC project. The authors would like to thank the SABER and GOMOS science teams for useful and informative discussions regarding this work. We are grateful to NASA and the National Oceanic and Atmospheric Administration (NOAA) for the observations provided by the Polar Operational Environmental Satellite (POES) and Geostationary Operational Environmental Satellite Program (GOES) programs.</t>
  </si>
  <si>
    <t>APR 3</t>
  </si>
  <si>
    <t>A04305</t>
  </si>
  <si>
    <t>10.1029/2008JA013472</t>
  </si>
  <si>
    <t>428RE</t>
  </si>
  <si>
    <t>Green Accepted, Green Submitted, Green Published, Bronze</t>
  </si>
  <si>
    <t>WOS:000264866100001</t>
  </si>
  <si>
    <t>Sikes, EL; Howard, WR; Samson, CR; Mahan, TS; Robertson, LG; Volkman, JK</t>
  </si>
  <si>
    <t>Sikes, E. L.; Howard, W. R.; Samson, C. R.; Mahan, T. S.; Robertson, L. G.; Volkman, J. K.</t>
  </si>
  <si>
    <t>Southern Ocean seasonal temperature and Subtropical Front movement on the South Tasman Rise in the late Quaternary</t>
  </si>
  <si>
    <t>SEA-SURFACE TEMPERATURE; ALKENONE UNSATURATION RATIOS; SEDIMENT TRAPS; INDIAN-OCEAN; SW PACIFIC; PALEOTEMPERATURE ESTIMATION; FORAMINIFERAL FLUX; CHATHAM RISE; NEW-ZEALAND; ATLANTIC</t>
  </si>
  <si>
    <t>The Subtropical Front (STF) marking the northern boundary of the Southern Ocean has a steep gradient in sea surface temperature (SST) of approximately 4 degrees C over 0.5 degrees of latitude. Presently, in the region south of Tasmania, the STF lies nominally at 47 degrees S in the summer and 45 degrees S in the winter. We present here SST reconstructions in a latitudinal transect of cores across the South Tasman Rise, southeast of Australia, during the late Quaternary. SST reconstructions are based on two paleotemperature proxies, alkenones and faunal assemblages, which are used to assess past changes in SST in spring and summer. The north-south alignment in core locations allows reconstruction of movement of the STF over the last 100 ka. Surface water temperatures during the last glaciation in this region were similar to 4 degrees C colder than today. Additional temperature changes greater in magnitude than 4 degrees C seen in individual cores can be attributed to changes in the water mass overlying the core site caused by the movement of the front across that location. During the penultimate interglacial, SST was similar to 2 degrees C warmer and the STF was largely positioned south of 47 degrees S. Movement of the STF to the north occurred during cool climate periods such as the last marine isotope stages 3 and 4. In the last glaciation, the front was at its farthest north position, becoming pinned against the Tasmanian landmass. It moved south by 4 degrees latitude to 47 degrees S in summer during the deglaciation but remained north of 45 degrees S in spring throughout the early deglaciation. After 11 ka B. P. inferred invigoration of the East Australia Current appears to have pushed the STF seasonally south of the East Tasman Plateau, until after 6 ka B. P. when it achieved its present configuration.</t>
  </si>
  <si>
    <t>[Sikes, E. L.; Mahan, T. S.] Rutgers State Univ, Inst Marine &amp; Coastal Sci, New Brunswick, NJ 08901 USA; [Howard, W. R.; Samson, C. R.] Univ Tasmania, Inst Antarctic &amp; So Ocean Studies, Hobart, Tas 7001, Australia; [Howard, W. R.; Robertson, L. G.] Cooperat Res Ctr Antarctic &amp; So Ocean Environm, Hobart, Tas 7001, Australia; [Mahan, T. S.] Calif State Univ Sacramento, Dept Geol, Sacramento, CA 95819 USA; [Volkman, J. K.] CSIRO Marine &amp; Atmospher Res, Hobart, Tas 7001, Australia</t>
  </si>
  <si>
    <t>Rutgers University System; Rutgers University New Brunswick; University of Tasmania; California State University System; California State University Sacramento; Commonwealth Scientific &amp; Industrial Research Organisation (CSIRO)</t>
  </si>
  <si>
    <t>Sikes, EL (corresponding author), Rutgers State Univ, Inst Marine &amp; Coastal Sci, 71 Dudley Rd, New Brunswick, NJ 08901 USA.</t>
  </si>
  <si>
    <t>sikes@marine.rutgers.edu</t>
  </si>
  <si>
    <t>Sikes, Elisabeth/HPE-8194-2023; Volkman, John K/A-6592-2008</t>
  </si>
  <si>
    <t>Sikes, Elisabeth/0000-0003-2900-3283</t>
  </si>
  <si>
    <t>NSF [OCE0340676]; AINSE [95/R155 AMS, 96/190R AMS]; NSF REU [OCE-0353779]</t>
  </si>
  <si>
    <t>NSF(National Science Foundation (NSF)); AINSE; NSF REU(National Science Foundation (NSF)NSF - Office of the Director (OD))</t>
  </si>
  <si>
    <t>We thank the crew of the R/V Rig Seismic and Chief Scientist N. Exon for their assistance and support in sample collection. Special thanks go to Dan McCorkle for his exemplary efforts as stand-in Chief Paleoscientist and corer extraordinaire on RS Cruise 147 for a very pregnant E. L. S. Natalie Goodkin, Melanie Newell, and Matt Makou provided help in sample processing and shipping. This work was supported in part by NSF grant OCE0340676 (to E. L. S.). Radiocarbon dating was funded by AINSE projects 95/R155 AMS and 96/190R AMS to E. L. S. and C. R. S. while at the University of Tasmania. T. S. M. was supported by an NSF REU fellowship (OCE-0353779) while at Rutgers University.</t>
  </si>
  <si>
    <t>PA2201</t>
  </si>
  <si>
    <t>10.1029/2008PA001659</t>
  </si>
  <si>
    <t>428RH</t>
  </si>
  <si>
    <t>WOS:000264866500001</t>
  </si>
  <si>
    <t>Abrahamsen, EP; Meredith, MP; Falkner, KK; Torres-Valdes, S; Leng, MJ; Alkire, MB; Bacon, S; Laxon, SW; Polyakov, I; Ivanov, V</t>
  </si>
  <si>
    <t>Abrahamsen, E. Povl; Meredith, Michael P.; Falkner, Kelly Kenison; Torres-Valdes, Sinhue; Leng, Melanie J.; Alkire, Matthew B.; Bacon, Sheldon; Laxon, Seymour W.; Polyakov, Igor; Ivanov, Vladimir</t>
  </si>
  <si>
    <t>Tracer-derived freshwater composition of the Siberian continental shelf and slope following the extreme Arctic summer of 2007</t>
  </si>
  <si>
    <t>DISSOLVED BARIUM; RIVER-RUNOFF; HALOCLINE; OCEAN; TRANSPORT; LAYER; SEA</t>
  </si>
  <si>
    <t>We investigate the freshwater composition of the shelf and slope of the Arctic Ocean north of the New Siberian Islands using geochemical tracer data (delta O-18, Ba, and PO4*) collected following the extreme summer of 2007. We find that the anomalous wind patterns that partly explained the sea ice minimum at this time also led to significant quantities of Pacific-derived surface water in the westernmost part of the Makarov Basin. We also find larger quantities of meteoric water near Lomonosov Ridge than were found in 1995. Dissolved barium is depleted in the upper layers in one region of our study area, probably as a result of biological activity in open waters. Increasingly ice-free conditions compromise the quantitative use of barium as a tracer of river water in the Arctic Ocean. Citation: Abrahamsen, E. P., M. P. Meredith, K. K. Falkner, S. Torres-Valdes, M. J. Leng, M. B. Alkire, S. Bacon, S. W. Laxon, I. Polyakov, and V. Ivanov (2009), Tracer-derived freshwater composition of the Siberian continental shelf and slope following the extreme Arctic summer of 2007, Geophys. Res. Lett., 36, L07602, doi:10.1029/2009GL037341.</t>
  </si>
  <si>
    <t>[Abrahamsen, E. Povl; Meredith, Michael P.] British Antarctic Survey, Nat Environm Res Council, Cambridge CB3 0ET, England; [Falkner, Kelly Kenison; Alkire, Matthew B.] Oregon State Univ, Coll Ocean &amp; Atmospher Sci, Corvallis, OR 97331 USA; [Torres-Valdes, Sinhue; Bacon, Sheldon] Natl Oceanog Ctr, Southampton SO14 3ZH, Hants, England; [Ivanov, Vladimir] Scottish Assoc Marine Sci, Oban PA37 1QA, Argyll, Scotland; [Laxon, Seymour W.] UCL, Ctr Polar Observat &amp; Modelling, London WC1E 6BT, England; [Leng, Melanie J.] British Geol Survey, NERC Isotope Geosciences Lab, Keyworth NG12 5GG, Notts, England; [Polyakov, Igor] Univ Alaska Fairbanks, Int Arctic Res Ctr, Fairbanks, AK 99775 USA</t>
  </si>
  <si>
    <t>UK Research &amp; Innovation (UKRI); Natural Environment Research Council (NERC); NERC British Antarctic Survey; Oregon State University; NERC National Oceanography Centre; UHI Millennium Institute; University of London; University College London; UK Research &amp; Innovation (UKRI); Natural Environment Research Council (NERC); NERC British Geological Survey; University of Alaska System; University of Alaska Fairbanks</t>
  </si>
  <si>
    <t>Abrahamsen, EP (corresponding author), British Antarctic Survey, Nat Environm Res Council, Madingley Rd, Cambridge CB3 0ET, England.</t>
  </si>
  <si>
    <t>epab@bas.ac.uk</t>
  </si>
  <si>
    <t>Laxon, Seymour/C-1644-2008; Ivanov, Vladimir/J-5979-2014; Ivanov, Vladimir/AAX-6830-2020; Torres-Valdés, Sinhué/O-6436-2019; Bacon, Sheldon/B-1519-2013; Abrahamsen, Povl/B-2140-2008; Torres Valdés, Sinhué/A-1435-2013</t>
  </si>
  <si>
    <t>Ivanov, Vladimir/0000-0003-2569-6027; Torres-Valdés, Sinhué/0000-0003-2749-4170; Bacon, Sheldon/0000-0002-2471-9373; Abrahamsen, Povl/0000-0001-5924-5350; Torres Valdés, Sinhué/0000-0003-2749-4170; Leng, Melanie/0000-0003-1115-5166; Meredith, Michael/0000-0002-7342-7756</t>
  </si>
  <si>
    <t>Natural Environment Research Council; US NSF [0352984, 0634122]; Directorate For Geosciences; Division Of Ocean Sciences [0352984] Funding Source: National Science Foundation; Natural Environment Research Council [dml010002, bas0100028, nigl010001, bas010013, bgs04003, soc010007] Funding Source: researchfish; NERC [bas0100028, soc010007, dml010002, bas010013, nigl010001, bgs04003] Funding Source: UKRI</t>
  </si>
  <si>
    <t>Natural Environment Research Council(UK Research &amp; Innovation (UKRI)Natural Environment Research Council (NERC)); US NSF(National Science Foundation (NSF));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</si>
  <si>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This work was funded by the Natural Environment Research Council through the ASBO IPY consortium grant. K. Falkner and M. Alkire acknowledge support from the US NSF Office of Polar Programs under grants 0352984 and 0634122. We wish to thank the NABOS program and collaborators at AARI for their contributions to the cruise, and the captain and crew of the Viktor Buynitskiy for their assistance.</t>
  </si>
  <si>
    <t>APR 2</t>
  </si>
  <si>
    <t>L07602</t>
  </si>
  <si>
    <t>10.1029/2009GL037341</t>
  </si>
  <si>
    <t>428PF</t>
  </si>
  <si>
    <t>Green Accepted, Green Published</t>
  </si>
  <si>
    <t>WOS:000264860400005</t>
  </si>
  <si>
    <t>Hock, R; de Woul, M; Radic, V; Dyurgerov, M</t>
  </si>
  <si>
    <t>Hock, Regine; de Woul, Mattias; Radic, Valentina; Dyurgerov, Mark</t>
  </si>
  <si>
    <t>Mountain glaciers and ice caps around Antarctica make a large sea-level rise contribution</t>
  </si>
  <si>
    <t>MASS-BALANCE; CLIMATE-CHANGE; SENSITIVITY; SURFACE</t>
  </si>
  <si>
    <t>The Intergovernmental Panel on Climate Change (IPCC) estimates that the sum of all contributions to sea-level rise for the period 1961-2004 was 1.1 +/- 0.5 mm a(-1), leaving 0.7 +/- 0.7 of the 1.8 +/- 0.5 mm a(-1) observed sea-level rise unexplained. Here, we compute the global surface mass balance of all mountain glaciers and ice caps (MG&amp;IC), and find that part of this much-discussed gap can be attributed to a larger contribution than previously assumed from mass loss of MG&amp;IC, especially those around the Antarctic Peninsula. We estimate global surface mass loss of all MG&amp;IC as 0.79 +/- 0.34 mm a(-1) sea-level equivalent (SLE) compared to IPCC's 0.50 +/- 0.18 mm a(-1). The Antarctic MG&amp;IC contributed 28% of the global estimate due to exceptional warming around the Antarctic Peninsula and high sensitivities to temperature similar to those we find in Iceland, Patagonia and Alaska. Citation: Hock, R., M. de Woul, V. Radic, and M. Dyurgerov (2009), Mountain glaciers and ice caps around Antarctica make a large sea-level rise contribution, Geophys. Res. Lett., 36, L07501, doi:10.1029/2008GL037020.</t>
  </si>
  <si>
    <t>[Hock, Regine; Radic, Valentina] Univ Alaska Fairbanks, Inst Geophys, Fairbanks, AK 99775 USA; [de Woul, Mattias; Dyurgerov, Mark] Stockholm Univ, Dept Phys Geog &amp; Quaternary Geol, SE-10691 Stockholm, Sweden; [Hock, Regine] Uppsala Univ, Dept Earth Sci, Uppsala, Sweden</t>
  </si>
  <si>
    <t>University of Alaska System; University of Alaska Fairbanks; Stockholm University; Uppsala University</t>
  </si>
  <si>
    <t>Hock, R (corresponding author), Univ Alaska Fairbanks, Inst Geophys, Fairbanks, AK 99775 USA.</t>
  </si>
  <si>
    <t>regine.hock@gi.alaska.edu</t>
  </si>
  <si>
    <t>Hock, Regine/C-6179-2013; Hock, Regine/JTT-4089-2023</t>
  </si>
  <si>
    <t>Radic, Valentina/0000-0002-1185-0751; Hock, Regine/0000-0001-8336-9441</t>
  </si>
  <si>
    <t>FORMAS, Sweden [21.4/2005-0387]</t>
  </si>
  <si>
    <t>FORMAS, Sweden(Swedish Research Council Formas)</t>
  </si>
  <si>
    <t>This work was supported by FORMAS, Sweden (project 21.4/2005-0387). A. Mercer helped to compile the glacier grid. We thank A. Arendt, W. Harrison, A. Rasmussen and M. Truffer and the reviewers G. Cogley and W. Haeberli for constructive comments on the manuscript.</t>
  </si>
  <si>
    <t>L07501</t>
  </si>
  <si>
    <t>10.1029/2008GL037020</t>
  </si>
  <si>
    <t>WOS:000264860400003</t>
  </si>
  <si>
    <t>Rauch, JN; Pacyna, JM</t>
  </si>
  <si>
    <t>Rauch, Jason N.; Pacyna, Jozef M.</t>
  </si>
  <si>
    <t>Earth's global Ag, Al, Cr, Cu, Fe, Ni, Pb, and Zn cycles</t>
  </si>
  <si>
    <t>GLOBAL BIOGEOCHEMICAL CYCLES</t>
  </si>
  <si>
    <t>TRACE-ELEMENT CONCENTRATIONS; WATER TREATMENT-PLANT; VOSTOK ANTARCTIC ICE; URBAN WASTE-WATER; HEAVY-METALS; CHEMICAL-COMPOSITION; CONTINENTAL-CRUST; MULTILEVEL CYCLE; SEWAGE SLUDGES; GREENLAND ICE</t>
  </si>
  <si>
    <t>The stocks and flows of the global silver, aluminum, chromium, copper, iron, nickel, lead, and zinc cycles quantify over 98% of the total mass of metal mobilized by human activity at the turn of the 21st century. Iron and aluminum, representing &gt;95% by mass of all metals mined, are for the first time assessed for global anthropogenic emissions to air, water, and land. Anthropogenic activity has significantly perturbed Earth's natural biogeochemical cycles, attested by the grand nutrient'' cycles of carbon, nitrogen, phosphorous, and sulfur and further revealed here by the anthrobiogeochemical'' cycles of metals. We demonstrate that humans today mobilize about half the metal mass of these global elemental metal cycles.</t>
  </si>
  <si>
    <t>[Rauch, Jason N.] Yale Univ, Yale Sch Forestry &amp; Environm Studies, New Haven, CT 06511 USA; [Pacyna, Jozef M.] Norwegian Inst Air Res, N-2027 Kjeller, Norway; [Pacyna, Jozef M.] Gdansk Univ Technol, Fac Chem, PL-80952 Gdansk, Poland</t>
  </si>
  <si>
    <t>Yale University; NILU; Fahrenheit Universities; Gdansk University of Technology</t>
  </si>
  <si>
    <t>Rauch, JN (corresponding author), Yale Univ, Yale Sch Forestry &amp; Environm Studies, New Haven, CT 06511 USA.</t>
  </si>
  <si>
    <t>jason.rauch@yale.edu</t>
  </si>
  <si>
    <t>0886-6236</t>
  </si>
  <si>
    <t>1944-9224</t>
  </si>
  <si>
    <t>GLOBAL BIOGEOCHEM CY</t>
  </si>
  <si>
    <t>Glob. Biogeochem. Cycle</t>
  </si>
  <si>
    <t>GB2001</t>
  </si>
  <si>
    <t>10.1029/2008GB003376</t>
  </si>
  <si>
    <t>Environmental Sciences; Geosciences, Multidisciplinary; Meteorology &amp; Atmospheric Sciences</t>
  </si>
  <si>
    <t>Environmental Sciences &amp; Ecology; Geology; Meteorology &amp; Atmospheric Sciences</t>
  </si>
  <si>
    <t>428PJ</t>
  </si>
  <si>
    <t>WOS:000264860800001</t>
  </si>
  <si>
    <t>Boehm, F; Clarke, K; Edge, R; Fernandez, E; Navaratnam, S; Quilhot, W; Rancan, F; Truscott, TG</t>
  </si>
  <si>
    <t>Boehm, Fritz; Clarke, Kristy; Edge, Ruth; Fernandez, Ernesto; Navaratnam, Suppiah; Quilhot, Wanda; Rancan, Fiorenza; Truscott, T. George</t>
  </si>
  <si>
    <t>Lichens - Photophysical studies of potential new sunscreens</t>
  </si>
  <si>
    <t>JOURNAL OF PHOTOCHEMISTRY AND PHOTOBIOLOGY B-BIOLOGY</t>
  </si>
  <si>
    <t>Lichens; Pulse radiolysis; Laser flash photolysis; Sunscreens; Free radicals; Singlet oxygen</t>
  </si>
  <si>
    <t>LASER FLASH-PHOTOLYSIS; TRIPLET-STATES; PROTECTION; OXYGEN</t>
  </si>
  <si>
    <t>Fundamental photophysical properties have been obtained for six polyaromatics, calycine, usnic acid, vicanicine, 1-Cl-pannerine and epiphorelic acids I and II, extracted from Antarctic lichens - potential future sunscreens. None of the lichen compounds produced a measurable amount of triplet states and the singlet oxygen quantum yield was also very low ranging from 0.003 to 0.06. However, three exhibited triplet energy levels which may be above that of thymine. The radical cations of calycine and usnic acid were generated via Pulse radiolysis and were observed to be quenched by vitamin C, vitamin E and Trolox. (C) 2008 Elsevier B.V. All rights reserved.</t>
  </si>
  <si>
    <t>[Clarke, Kristy; Truscott, T. George] Univ Keele, Chem Sect, Sch Phys &amp; Geog Sci, Keele ST5 5BG, Staffs, England; [Boehm, Fritz; Rancan, Fiorenza] Humboldt Univ, Dept Dermatol, D-10117 Berlin, Germany; [Edge, Ruth] Univ Manchester, Sch Chem, Manchester M13 9PL, Lancs, England; [Fernandez, Ernesto; Quilhot, Wanda] Univ Valparaiso, Chem &amp; Pharm Sch, Valparaiso, Chile; [Navaratnam, Suppiah] STFC Daresbury Lab, Daresbury WA4 4AD, England; [Navaratnam, Suppiah] Univ Salford, Biosci Res Inst, Salford M5 4WT, Lancs, England</t>
  </si>
  <si>
    <t>Keele University; Humboldt University of Berlin; University of Manchester; Universidad de Valparaiso; STFC Daresbury Laboratory; University of Salford</t>
  </si>
  <si>
    <t>Truscott, TG (corresponding author), Univ Keele, Chem Sect, Sch Phys &amp; Geog Sci, Keele ST5 5BG, Staffs, England.</t>
  </si>
  <si>
    <t>ruth.edge@manchester.ac.uk; cha3l@keele.ac.uk</t>
  </si>
  <si>
    <t>Edge, Ruth/J-5268-2019</t>
  </si>
  <si>
    <t>Edge, Ruth/0000-0002-9144-041X; Rancan, Fiorenza/0000-0003-3903-3240</t>
  </si>
  <si>
    <t>ELSEVIER SCIENCE SA</t>
  </si>
  <si>
    <t>LAUSANNE</t>
  </si>
  <si>
    <t>PO BOX 564, 1001 LAUSANNE, SWITZERLAND</t>
  </si>
  <si>
    <t>1011-1344</t>
  </si>
  <si>
    <t>J PHOTOCH PHOTOBIO B</t>
  </si>
  <si>
    <t>J. Photochem. Photobiol. B-Biol.</t>
  </si>
  <si>
    <t>10.1016/j.jphotobiol.2008.12.008</t>
  </si>
  <si>
    <t>Biochemistry &amp; Molecular Biology; Biophysics</t>
  </si>
  <si>
    <t>429WA</t>
  </si>
  <si>
    <t>WOS:000264949600007</t>
  </si>
  <si>
    <t>Clilverd, MA; Rodger, CJ; Thomson, NR; Brundell, JB; Ulich, T; Lichtenberger, J; Cobbett, N; Collier, AB; Menk, FW; Seppälä, A; Verronen, PT; Turunen, E</t>
  </si>
  <si>
    <t>Clilverd, Mark A.; Rodger, Craig J.; Thomson, Neil R.; Brundell, James B.; Ulich, Thomas; Lichtenberger, Janos; Cobbett, Neil; Collier, Andrew B.; Menk, Frederick W.; Seppala, Annika; Verronen, Pekka T.; Turunen, Esa</t>
  </si>
  <si>
    <t>Remote sensing space weather events: Antarctic-Arctic Radiation-belt (Dynamic) Deposition-VLF Atmospheric Research Konsortium network</t>
  </si>
  <si>
    <t>SPACE WEATHER-THE INTERNATIONAL JOURNAL OF RESEARCH AND APPLICATIONS</t>
  </si>
  <si>
    <t>LONG RADIO WAVES; RELATIVISTIC ELECTRON MICROBURSTS; FIELDS REFLEXION COEFFICIENTS; SOLAR PROTON EVENTS; LOWER IONOSPHERE; NUMERICAL CALCULATION; PARTICLE EVENTS; ODD NITROGEN; PRECIPITATION; AMPLITUDE</t>
  </si>
  <si>
    <t>The Antarctic-Arctic Radiation-belt ( Dynamic) Deposition-VLF Atmospheric Research Konsortium (AARDDVARK) provides a network of continuous long-range observations of the lower ionosphere in the polar regions. Our ultimate aim is to develop the network of sensors to detect changes in ionization levels from similar to 30-90 km altitude, globally, continuously, and with high time resolution, with the goal of increasing the understanding of energy coupling between the Earth's atmosphere, the Sun, and space. This science area impacts our knowledge of space weather processes, global atmospheric change, communications, and navigation. The joint New Zealand-United Kingdom AARDDVARK is a new extension of a well-established experimental technique, allowing long-range probing of ionization changes at comparatively low altitudes. Most other instruments which can probe the same altitudes are limited to essentially overhead measurements. At this stage AARDDVARK is essentially unique, as similar systems are only deployed at a regional level. The AARDDVARK network has contributed to the scientific understanding of a growing list of space weather science topics including solar proton events, the descent of NOx into the middle atmosphere, substorms, precipitation of energetic electrons by plasmaspheric hiss and electromagnetic ion cyclotron waves, the impact of coronal mass ejections upon the radiation belts, and relativistic electron microbursts. Future additions to the receiver network will increase the science potential and provide global coverage of space weather event signatures.</t>
  </si>
  <si>
    <t>[Clilverd, Mark A.; Cobbett, Neil; Seppala, Annika] British Antarctic Survey, Div Phys Sci, Cambridge CB3 0ET, England; [Brundell, James B.] UltraMSK Com, Dunedin, New Zealand; [Collier, Andrew B.] Hermanus Magnet Obsev, ZA-7200 Hermanus, South Africa; [Lichtenberger, Janos] Eotvos Lorand Univ, Space Res Grp, H-1518 Budapest, Hungary; [Menk, Frederick W.] Univ Newcastle, Sch Math &amp; Phys Sci, Callaghan, NSW 2308, Australia; [Menk, Frederick W.] Univ Newcastle, Cooperat Res Ctr Satellite Syst, Callaghan, NSW 2308, Australia; [Rodger, Craig J.; Thomson, Neil R.] Univ Otago, Dept Phys, Dunedin 9016, New Zealand; [Seppala, Annika; Verronen, Pekka T.] Finnish Meteorol Inst, FIN-00101 Helsinki, Finland; [Ulich, Thomas; Turunen, Esa] Univ Oulu, Sodankyla Geophys Observ, FIN-99600 Sodankyla, Finland; [Collier, Andrew B.] Univ KwaZulu Natal, Sch Phys, Durban, South Africa</t>
  </si>
  <si>
    <t>UK Research &amp; Innovation (UKRI); Natural Environment Research Council (NERC); NERC British Antarctic Survey; Eotvos Lorand University; University of Newcastle; University of Newcastle; University of Otago; Finnish Meteorological Institute; University of Oulu; University of Kwazulu Natal</t>
  </si>
  <si>
    <t>Clilverd, MA (corresponding author), British Antarctic Survey, Div Phys Sci, High Cross,Madingley Rd, Cambridge CB3 0ET, England.</t>
  </si>
  <si>
    <t>macl@bas.ac.uk; crodger@physics.otago.ac.nz; n_thomson@physics.otago.ac.nz; james@brundell.co.nz; thu@sgo.fi; spacerg@sas.elte.hu; nco@bas.ac.uk; abcollier@hmo.ac.za; fred.menk@newcastle.edu.au; annika.seppala@fmi.fi; pekka.verronen@fmi.fi; esa@sgo.fi</t>
  </si>
  <si>
    <t>Rodger, Craig/A-1501-2011; Seppälä, Annika/C-8031-2014; Collier, Andrew B/H-3752-2011; Verronen, Pekka T/G-6658-2014; Verronen, P. T./AIE-0203-2022; Ulich, Thomas/G-3727-2018; Brundell, James/F-3196-2013; Menk, Frederick/A-2640-2009; Lichtenberger, Janos/K-1034-2018</t>
  </si>
  <si>
    <t>Seppälä, Annika/0000-0002-5028-8220; Verronen, P. T./0000-0002-3479-9071; Ulich, Thomas/0000-0001-8217-022X; Brundell, James/0000-0002-8753-4720; Rodger, Craig J./0000-0002-6770-2707; Turunen, Esa/0000-0001-8232-8744; Menk, Frederick/0000-0002-1154-6223; Lichtenberger, Janos/0000-0001-9175-9255</t>
  </si>
  <si>
    <t>Australian Antarctic Division [ASAC 1324]; Finnish Academy; Natural Environment Research Council [bas0100023, bas010022] Funding Source: researchfish; NERC [bas010022, bas0100023] Funding Source: UKRI</t>
  </si>
  <si>
    <t>Australian Antarctic Division; Finnish Academy(Research Council of Finland); Natural Environment Research Council(UK Research &amp; Innovation (UKRI)Natural Environment Research Council (NERC)); NERC(UK Research &amp; Innovation (UKRI)Natural Environment Research Council (NERC))</t>
  </si>
  <si>
    <t>The authors would like to thank the staff at Churchill (Churchill Northern Studies Center), Casey (Australian Antarctic Division project ASAC 1324), and Ny Alesund (Natural Environment Research Council) for their assistance in operating the AARDDVARK receivers at those sites. We would also like to acknowledge the efforts of the BAS winterers at Halley and Rothera bases (Antarctica) in operating the AARDDVARK systems there. The analysis and interpretation of AARDDVARK data has been supported by funding from the Finnish Academy.</t>
  </si>
  <si>
    <t>1542-7390</t>
  </si>
  <si>
    <t>SPACE WEATHER</t>
  </si>
  <si>
    <t>Space Weather</t>
  </si>
  <si>
    <t>S04001</t>
  </si>
  <si>
    <t>10.1029/2008SW000412</t>
  </si>
  <si>
    <t>Astronomy &amp; Astrophysics; Geochemistry &amp; Geophysics; Meteorology &amp; Atmospheric Sciences</t>
  </si>
  <si>
    <t>428RN</t>
  </si>
  <si>
    <t>WOS:000264867200001</t>
  </si>
  <si>
    <t>Pandourski, IS; Evtimova, VV</t>
  </si>
  <si>
    <t>Pandourski, Ivan S.; Evtimova, Vesela V.</t>
  </si>
  <si>
    <t>Morphological Variability and Teratology of Lower Crustaceans (Copepoda and Branchiopoda) from Circumpolar Regions</t>
  </si>
  <si>
    <t>ACTA ZOOLOGICA BULGARICA</t>
  </si>
  <si>
    <t>Variability; teratology; crustaceans; Antarctic and sub-Arctic populations</t>
  </si>
  <si>
    <t>EURYTEMORA-VELOX LILLJEBORG; SPECIES COMPLEX; FRESH-WATER; CALANOIDA; NORTH; BOECKELLA; DIVERSITY; LAKES</t>
  </si>
  <si>
    <t>The intra-population morphological variability in two calanoid species and cases of teratology in lower crustacean from the orders Calanoida and Cyclopoida (Copepoda), and from Diplostraca (Branchiopoda) from sub-polar and polar regions are presented. For the morphological analyses of the calanoids we focus on the most variable body part: the fifth pair of legs. The teratological morphology affects the number and the shape of setae on exopod 3 of P5 in females of Boeckella poppei, and the number of segments of the endopod of the right P5 in males. In Eurytemora velox we observe additional teratological spine on exopod 2 in females, and from one to three transversal folds on the distal end of exopod 3 in males. In half of the male specimens of E. velox we also find one or two additional teratological articles. In the cyclopoids from Iceland, there are morphological aberrations affecting the posterior part of the body. In one specimen of Bosmina longispina from Swedish Lapland we observe teratologically reduced upper ramus of the right antennule. We assume as a probable reason for the above described teratologies the expression of genetically unstable morphological characteristics under the combined effect of circumpolar abiotic factors. As opposed to the opinion of other researchers, who consider morphological stasis a common phenomenon in copepods, we observe exceptional variability at morphological level in the populations from the studied polar and sub-polar regions.</t>
  </si>
  <si>
    <t>[Pandourski, Ivan S.; Evtimova, Vesela V.] Bulgarian Acad Sci, Inst Zool, Sofia 1000, Bulgaria</t>
  </si>
  <si>
    <t>Bulgarian Academy of Sciences</t>
  </si>
  <si>
    <t>Pandourski, IS (corresponding author), Bulgarian Acad Sci, Inst Zool, 1 Tsar Osvoboditel Blvd, Sofia 1000, Bulgaria.</t>
  </si>
  <si>
    <t>pandourski@gmail.com; evtimovv@tcd.ie</t>
  </si>
  <si>
    <t>Evtimova, Vesela/B-2431-2017</t>
  </si>
  <si>
    <t>Evtimova, Vesela/0000-0002-6358-8011</t>
  </si>
  <si>
    <t>EU Transnational Access Programme (FP6)</t>
  </si>
  <si>
    <t>EU Transnational Access Programme (FP6)(European Union (EU))</t>
  </si>
  <si>
    <t>We are grateful to the Bulgarian Antarctic Institute for the logistic support and to Dr Nesho Chipev for collecting Boeckella specimens. The fieldwork in Iceland was supported by FP5 within Improving the Human Potential Programme of the European Community. The fieldwork in Sweden was supported within the EU Transnational Access Programme (FP6). We are grateful to Dr Gudniundur Vidir Helgason (Institute of Biology, University of Iceland); to Dr Christer Jonasson (deputy director of Abisko Scientific research Station) for their assistance and for organising our fieldwork correspondingly in Iceland and Sweden.</t>
  </si>
  <si>
    <t>INST ZOOLOGY, BAS</t>
  </si>
  <si>
    <t>SOFIA</t>
  </si>
  <si>
    <t>1000 SOFIA, 1, TSAR OSVOBODITEL BLVD, SOFIA, 00000, BULGARIA</t>
  </si>
  <si>
    <t>0324-0770</t>
  </si>
  <si>
    <t>ACTA ZOOL BULGAR</t>
  </si>
  <si>
    <t>Acta Zool. Bulg.</t>
  </si>
  <si>
    <t>APR</t>
  </si>
  <si>
    <t>445WZ</t>
  </si>
  <si>
    <t>WOS:000266083500007</t>
  </si>
  <si>
    <t>Petersen, SL; Honig, MB; Ryan, PG; Nel, R; Underhill, LG</t>
  </si>
  <si>
    <t>Petersen, S. L.; Honig, M. B.; Ryan, P. G.; Nel, R.; Underhill, L. G.</t>
  </si>
  <si>
    <t>Turtle bycatch in the pelagic longline fishery off southern Africa</t>
  </si>
  <si>
    <t>AFRICAN JOURNAL OF MARINE SCIENCE</t>
  </si>
  <si>
    <t>bycatch; conservation; pelagic longline; South Africa; turtles</t>
  </si>
  <si>
    <t>SEA-TURTLES; LOGGERHEAD TURTLES; DERMOCHELYS-CORIACEA; LEATHERBACK TURTLES; INCIDENTAL CAPTURE; CARETTA-CARETTA; CHELONIA-MYDAS; BY-CATCH; MORTALITY; BEHAVIOR</t>
  </si>
  <si>
    <t>Capture by pelagic longline fisheries has been identified as a key threat to turtle populations. This study is the first assessment of turtle bycatch in the South African pelagic longline fishery for tunas Thunnus spp. and swordfish Xiphias gladius. A total of 181 turtles was caught on observed sets between 1998 and 2005, at a rate of 0.04 per 1 000 hooks (0-15.5 per 1 000 hooks, SD = 1.28). Loggerhead turtles Caretta caretta comprised 60.0% of the total turtle capture and were caught at rate of 0.02 per 1 000 hooks. The second most commonly caught species was the leatherback turtle Dermochelys coriacea (33.8%), which were caught at rate of 0.01 per 1 000 hooks. Five hawksbill turtles Eretmochelys imbricata were caught at a rate of 0.001 per 1 000 hooks and three green turtles Chelonia mydas at a rate of 0.001 per 1 000 hooks. Catches were clustered, with 70% of turtles caught on 1% of sets. Apart from one set on the Agulhas Bank, on the southern coast of South Africa, all sets that caught three or more turtles were on the Walvis Ridge and on the shelf edge north of the Orange River (25 degrees-31 degrees S and 0 degrees-15 degrees E). Most of the variance in turtle bycatch was accounted for by 'vessel'. Five vessels (of a total of 50) caught 65% of turtles, at a rate of 0.4 per 1 000 hooks. The target species (swordfish or tunas) was the second most important explanatory variable; 89.5% of turtles were caught by swordfish-directed vessels at a rate of 0.15 per 1 000 hooks. Season was the third most important explanatory variable, with more turtles caught between January and June (0.13 per 1 000 per hooks) than in the remainder of the year (0.03 per 1 000 hooks), although leatherback turtles tended to be caught throughout the year. Extrapolations based on stratification by 5 degrees grid cell, by season and by target species estimated that a total of 190 turtles was caught per year (approximately 100 loggerheads and 50 leatherbacks). Using three different techniques, the extrapolations varied between 190 and 560 turtles per year. However, if the proposed increase in fishing effort to 50 rights-holders is effected, turtle bycatch is likely to increase to about 770 turtles per year. Leatherback turtles caught by the South African pelagic longline fisheries are likely to be from the local nesting population. That population has been protected at its nesting beaches but has not recovered as expected. The overlap of turtle tracks and fishing effort suggests that the longline fishery could be partially responsible for the slow recovery.</t>
  </si>
  <si>
    <t>[Petersen, S. L.; Honig, M. B.] WWF S Africa, WWF Responsible Fisheries Programme, ZA-8002 Waterfront, South Africa; [Petersen, S. L.; Ryan, P. G.] Univ Cape Town, Percy Fitzpatrick Inst African Ornithol, DST NRF Ctr Excellence, ZA-7701 Rondebosch, South Africa; [Nel, R.] Nelson Mandela Metropolitan Univ, Dept Zool, ZA-6031 Port Elizabeth, South Africa; [Underhill, L. G.] Univ Cape Town, Dept Zool, Anim Demog Unit, ZA-7701 Rondebosch, South Africa</t>
  </si>
  <si>
    <t>World Wildlife Fund; National Research Foundation - South Africa; University of Cape Town; Nelson Mandela University; University of Cape Town</t>
  </si>
  <si>
    <t>Petersen, SL (corresponding author), WWF S Africa, WWF Responsible Fisheries Programme, POB 50035, ZA-8002 Waterfront, South Africa.</t>
  </si>
  <si>
    <t>spetersen@wwf.org.za</t>
  </si>
  <si>
    <t>Nel, Ronel/HTN-7698-2023; Fennell, Hannah/AAI-1408-2019</t>
  </si>
  <si>
    <t>Nel, Ronel/0000-0003-2551-6428; Underhill, Les/0000-0002-8758-1527; Ryan, Peter/0000-0002-3356-2056</t>
  </si>
  <si>
    <t>BCLME (Benguela Current Large Marine Ecosystem) Programme</t>
  </si>
  <si>
    <t>The data used in this paper were made available by Marine and Coastal Management, Department of Environmental Affairs and Tourism, South Africa, and the Albatross Task Force, BirdLife International. We thank the fisheries observers who collected this information. Financial support was received from the BCLME (Benguela Current Large Marine Ecosystem) Programme, WWF, BirdLife International and IAATO (International Association of Antarctic Tour Operators), the Albatross Task Force, SEAChange Programme of the National Research Foundation, BirdLife International, the Percy FitzPatrick Institute for African Ornithology and the National Research Foundation.</t>
  </si>
  <si>
    <t>1814-232X</t>
  </si>
  <si>
    <t>1814-2338</t>
  </si>
  <si>
    <t>AFR J MAR SCI</t>
  </si>
  <si>
    <t>Afr. J. Mar. Sci.</t>
  </si>
  <si>
    <t>10.2989/AJMS.2009.31.1.8.779</t>
  </si>
  <si>
    <t>467CS</t>
  </si>
  <si>
    <t>WOS:000267714700008</t>
  </si>
  <si>
    <t>Smith, SM; Gardner, KK; Locke, J; Zwart, SR</t>
  </si>
  <si>
    <t>Smith, Scott M.; Gardner, Keri K.; Locke, James; Zwart, Sara R.</t>
  </si>
  <si>
    <t>Vitamin D supplementation during Antarctic winter</t>
  </si>
  <si>
    <t>AMERICAN JOURNAL OF CLINICAL NUTRITION</t>
  </si>
  <si>
    <t>CELL-MEDIATED-IMMUNITY; SERUM-LEVELS; OLDER-ADULTS; D DEFICIENCY; 25-HYDROXYVITAMIN-D; DISEASE; OSTEOPOROSIS; POPULATION; PREVALENCE; WOMEN</t>
  </si>
  <si>
    <t>Background: Persons with limited exposure to ultraviolet B light, including space travelers, may not receive enough vitamin D. Recent studies indicate that optimal serum 25-hydroxyvitamin D [25(OH) D] should be &gt;= 80 nmol/L. Objective: This study was designed to evaluate the effectiveness of 3 doses of vitamin D to raise and maintain 25(OH) D to a concentration.80 nmol/L in persons with limited ultraviolet B light exposure. Design: This was a 5-mo, prospective, randomized, double-blind study of vitamin D supplementation. It was conducted during winter in Antarctica at the McMurdo Station, when ultraviolet B radiation levels are essentially zero. The 55 subjects were randomly divided into 3 groups for vitamin D supplementation: 2000 IU/d (n = 18), 1000 IU/d (n = 19), and 400 IU/d (n = 18). An additional 7 subjects did not take supplements or took supplements of their own choosing. Blood samples were collected about every 2 mo during the winter. Results: About 5 mo after supplementation started, 25(OH)D increased to 71 +/- 23 nmol/L in the 2000-IU/d group, 63 +/- 25 nmol/L in the 1000-IU/d group, and 57 +/- 15 nmol/L in the 400-IU/d group and decreased to 34 +/- 12 nmol/L in the group not taking supplements. Conclusions: These data will enable us to provide space crews with evidence-based recommendations for vitamin D supplementation. The findings also have implications for other persons with limited ultraviolet light exposure, including polar workers and the elderly. Am J Clin Nutr 2009; 89:1092-8.</t>
  </si>
  <si>
    <t>[Smith, Scott M.; Locke, James] NASA, Lyndon B Johnson Space Ctr, Space Life Sci Directorate, Houston, TX 77058 USA; [Gardner, Keri K.] Univ Calif Los Angeles, Sch Med, Los Angeles, CA USA; [Gardner, Keri K.] VA Greater Los Angeles Hlth Care Syst, Los Angeles, CA USA; [Zwart, Sara R.] Univ Space Res Assoc, Houston, TX USA</t>
  </si>
  <si>
    <t>National Aeronautics &amp; Space Administration (NASA); NASA Johnson Space Center; University of California System; University of California Los Angeles; University of California Los Angeles Medical Center; David Geffen School of Medicine at UCLA; US Department of Veterans Affairs; Veterans Health Administration (VHA); VA Greater Los Angeles Healthcare System; Universities Space Research Association (USRA)</t>
  </si>
  <si>
    <t>Smith, SM (corresponding author), NASA, Lyndon B Johnson Space Ctr, Space Life Sci Directorate, Mail Code SK3,2101 NASA Pkwy, Houston, TX 77058 USA.</t>
  </si>
  <si>
    <t>scott.m.smith@nasa.gov</t>
  </si>
  <si>
    <t>NASA; National Science Foundation</t>
  </si>
  <si>
    <t>NASA(National Aeronautics &amp; Space Administration (NASA)); National Science Foundation(National Science Foundation (NSF))</t>
  </si>
  <si>
    <t>Supported by the NASA Human Research Program and made possible by the National Science Foundation.</t>
  </si>
  <si>
    <t>AMER SOC CLINICAL NUTRITION</t>
  </si>
  <si>
    <t>BETHESDA</t>
  </si>
  <si>
    <t>9650 ROCKVILLE PIKE, SUBSCRIPTIONS, RM L-3300, BETHESDA, MD 20814-3998 USA</t>
  </si>
  <si>
    <t>0002-9165</t>
  </si>
  <si>
    <t>AM J CLIN NUTR</t>
  </si>
  <si>
    <t>Am. J. Clin. Nutr.</t>
  </si>
  <si>
    <t>APR 1</t>
  </si>
  <si>
    <t>10.3945/ajcn.2008.27189</t>
  </si>
  <si>
    <t>Nutrition &amp; Dietetics</t>
  </si>
  <si>
    <t>420WF</t>
  </si>
  <si>
    <t>Green Submitted, hybrid</t>
  </si>
  <si>
    <t>WOS:000264319200016</t>
  </si>
  <si>
    <t>Gambetta, M</t>
  </si>
  <si>
    <t>Gambetta, Marco</t>
  </si>
  <si>
    <t>Modal decomposition of magnetic maps: the case of Cape Roberts aeromagnetic survey, Antarctica</t>
  </si>
  <si>
    <t>ANNALS OF GEOPHYSICS</t>
  </si>
  <si>
    <t>Magnetic mapping; Digital Enhancement; Eigenvalues; HRAM; Antarctic Magnetic Surveys</t>
  </si>
  <si>
    <t>This paper proposes a digital enhancement tool for magnetic anomaly maps. The magnetic anomaly map is decomposed by means of Eigenvalue Decomposition into a number of orthogonal bases. The dataset is then filtered accordingly to a specific variance pattern. The dataset is decomposed and the eigenvalues population is inspected so that the variance is evaluated yielding the definition of two thresholds. Subsequently, the dataset is reconstructed into three subsets which hold different features respectively. The proposed filtering procedure is first tested with a synthetic signal and then applied to the data of Cape Roberts (Antarctica) aeromagnetic survey, flown over an off-shore rift basin. The proposed method appears to be efficient in noise removal and acts as a digital enhancement tool which provides TMI anomaly maps revealing hidden lineaments, otherwise not visible. The methodology effectiveness as a hidden lineaments detection tool has been checked against independent data.</t>
  </si>
  <si>
    <t>Ist Nazl Geofis &amp; Vulcanol, I-00153 Rome, Italy</t>
  </si>
  <si>
    <t>Istituto Nazionale Geofisica e Vulcanologia (INGV)</t>
  </si>
  <si>
    <t>Gambetta, M (corresponding author), Ist Nazl Geofis &amp; Vulcanol, Via Vigna Murata 605, I-00153 Rome, Italy.</t>
  </si>
  <si>
    <t>marco.gambetta@ingv.it</t>
  </si>
  <si>
    <t>IST NAZIONALE DI GEOFISICA E VULCANOLOGIA</t>
  </si>
  <si>
    <t>ROME</t>
  </si>
  <si>
    <t>VIA VIGNA MURATA 605, ROME, 00143, ITALY</t>
  </si>
  <si>
    <t>1593-5213</t>
  </si>
  <si>
    <t>2037-416X</t>
  </si>
  <si>
    <t>ANN GEOPHYS-ITALY</t>
  </si>
  <si>
    <t>Ann. Geophys.</t>
  </si>
  <si>
    <t>468VF</t>
  </si>
  <si>
    <t>WOS:000267851400007</t>
  </si>
  <si>
    <t>Kennicutt, C</t>
  </si>
  <si>
    <t>Kennicutt, Chuck</t>
  </si>
  <si>
    <t>Looking to the future-the poles in 2058</t>
  </si>
  <si>
    <t>ANTARCTIC SCIENCE</t>
  </si>
  <si>
    <t>CAMBRIDGE UNIV PRESS</t>
  </si>
  <si>
    <t>32 AVENUE OF THE AMERICAS, NEW YORK, NY 10013-2473 USA</t>
  </si>
  <si>
    <t>0954-1020</t>
  </si>
  <si>
    <t>ANTARCT SCI</t>
  </si>
  <si>
    <t>Antarct. Sci.</t>
  </si>
  <si>
    <t>10.1017/S0954102009001850</t>
  </si>
  <si>
    <t>425QM</t>
  </si>
  <si>
    <t>WOS:000264652200001</t>
  </si>
  <si>
    <t>Munilla, T; Membrives, AS</t>
  </si>
  <si>
    <t>Munilla, Tomas; Soler Membrives, Anna</t>
  </si>
  <si>
    <t>Check-list of the pycnogonids from Antarctic and sub-Antarctic waters: zoogeographic implications</t>
  </si>
  <si>
    <t>benthic insular refuge hypothesis; biogeography; circumpolarity; endemicity</t>
  </si>
  <si>
    <t>ARTHROPODA; BIOGEOGRAPHY; CRUSTACEA; SEA; PHYLOGENY; PANTOPODA; BRYOZOANS; ISOPODA; FUTURE; ORIGIN</t>
  </si>
  <si>
    <t>This study contains the current list of the austral pycnogonids together with details of their depth range and distribution. To date 264 species have been recorded, accounting for 19.6% of the 1344 species recorded worldwide. One hundred and eight species are endemic to Antarctic waters, 62 to the sub-Antarctic, 63 are common in both regions, and 55 are circumpolar. The richest genus is Nymphon, with 67 species and the richest area is the Scotia Sea. Comparing species lists between the years 2000 and 2007 shows that increased expeditions with more sampling has increased the circumpolarity of species and decreased zonal endemicity. The benthic insular refuge hypothesis is proposed as an explanation for the southern distribution of the present pycnogonid fauna, with an origin in the Scotia Arc.</t>
  </si>
  <si>
    <t>[Munilla, Tomas; Soler Membrives, Anna] Univ Autonoma Barcelona, Unidad Zool, E-08193 Barcelona, Spain</t>
  </si>
  <si>
    <t>Munilla, T (corresponding author), Univ Autonoma Barcelona, Unidad Zool, E-08193 Barcelona, Spain.</t>
  </si>
  <si>
    <t>tomas.munilla@uab.es</t>
  </si>
  <si>
    <t>Soler-Membrives, Anna/L-3169-2014</t>
  </si>
  <si>
    <t>Soler-Membrives, Anna/0000-0002-6543-8367</t>
  </si>
  <si>
    <t>Spanish Council of Scientific and Technical research [CGL 2004 01856/ANT, REN 2001-1074/ANT]</t>
  </si>
  <si>
    <t>Spanish Council of Scientific and Technical research</t>
  </si>
  <si>
    <t>This work was carried Out under the auspices of two MEC grants (CGL 2004 01856/ANT, REN 2001-1074/ANT) of the Spanish Council of Scientific and Technical research. I would like to express my gratitude to the scientific colleagues of the Bentart cruises aboard the Hesperides oceanographic Spanish vessel. Likewise, we are grateful to the reviewers and the Editor for their constructive suggestions which improved the paper.</t>
  </si>
  <si>
    <t>1365-2079</t>
  </si>
  <si>
    <t>10.1017/S095410200800151X</t>
  </si>
  <si>
    <t>WOS:000264652200002</t>
  </si>
  <si>
    <t>Tosh, CA; Bornemann, H; Ramdohr, S; Schröder, M; Martin, T; Carlini, A; Plötz, J; Bester, MN</t>
  </si>
  <si>
    <t>Tosh, C. A.; Bornemann, H.; Ramdohr, S.; Schroeder, M.; Martin, T.; Carlini, A.; Ploetz, J.; Bester, M. N.</t>
  </si>
  <si>
    <t>Adult male southern elephant seals from King George Island utilize the Weddell Sea</t>
  </si>
  <si>
    <t>Antarctic Peninsula; area restricted movements; post-moult movements; satellite telemetry; sea ice</t>
  </si>
  <si>
    <t>MIROUNGA-LEONINA; FORAGING ECOLOGY; DIVING BEHAVIOR; MOVEMENTS; CONSUMPTION; LOCATION; DURATION; DEPTH; OCEAN; DIVES</t>
  </si>
  <si>
    <t>Adult male southern elephant seals instrumented in 2000 on King George Island (n = 13), travelled both to the north (n = 2) and to the east (n = 6) of the Antarctic Peninsula. Five males remained within 500 km of the island focusing movements in the Bransfield Strait and around the Antarctic Peninsula. Sea surface temperatures encountered by these animals showed little variation. While animal trajectories appeared unaffected by sea ice cover, areas of shallow depths were frequented. Three males moved as far as 75 degrees S to the east of the Peninsula with maximum distances of more than 1500 kin from King George Island. They travelled into the Weddell Sea along the western continental shelf break until they reached the region of the Filchner Trough outflow. Here the sea floor consists of canyons and ridges that support intensive mixing between the warm saline waters of the Weddell Gyre, the very cold outflow waters and ice shelf water at the Antarctic Slope Front. The need for re-instrumentation of adult males from King George Island is highlighted to investigate whether males continue to travel to similar areas and to obtain higher resolution data.</t>
  </si>
  <si>
    <t>[Tosh, C. A.; Bester, M. N.] Univ Pretoria, Mammal Res Inst, Dept Zool &amp; Entomol, ZA-0002 Pretoria, South Africa; [Bornemann, H.; Ramdohr, S.; Schroeder, M.; Ploetz, J.] Alfred Wegener Inst Polar &amp; Marine Res, D-27515 Bremerhaven, Germany; [Martin, T.] Leibniz Inst Marine Sci, IFM GEOMAR, D-24105 Kiel, Germany; [Carlini, A.] Inst Antartico Argentino, Dept Ciencias Biol, RA-1010 Buenos Aires, DF, Argentina</t>
  </si>
  <si>
    <t>University of Pretoria; Helmholtz Association; Alfred Wegener Institute, Helmholtz Centre for Polar &amp; Marine Research; Helmholtz Association; GEOMAR Helmholtz Center for Ocean Research Kiel; Instituto Antartico Argentino</t>
  </si>
  <si>
    <t>Tosh, CA (corresponding author), Univ Pretoria, Mammal Res Inst, Dept Zool &amp; Entomol, ZA-0002 Pretoria, South Africa.</t>
  </si>
  <si>
    <t>catosh@zoology.up.ac.za</t>
  </si>
  <si>
    <t>Tosh, Cheryl/D-5623-2016; Bester, Marthán N/E-5387-2010; Martin, Thomas/AAF-9515-2021</t>
  </si>
  <si>
    <t>Tosh, Cheryl/0000-0003-0243-5422; Martin, Thomas/0000-0003-2897-722X</t>
  </si>
  <si>
    <t>The University of Pretoria; South African National Antarctic Program (SANAP); National Research Foundation (NRF); Department of Science and Technology (DST)</t>
  </si>
  <si>
    <t>The University of Pretoria; South African National Antarctic Program (SANAP); National Research Foundation (NRF); Department of Science and Technology (DST)(Department of Science &amp; Technology (India))</t>
  </si>
  <si>
    <t>The seal studies were done as part of an international agreement between Germany and Argentina, and carried out by South African (MRI), Argentinean (IAA), and German (AWI) partners at the Dallmann Laboratory, Jubany Station, King George Island, Antarctica. The University of Pretoria, the South African National Antarctic Program (SANAP), the National Research Foundation (NRF) and Department of Science and Technology (DST) are thanked for their financial support. M.N. Bester would like to thank the University of Pretoria for providing leave to work at King George Island. The authors owe special thanks to the Argentinean team colleagues and the staff of the Jubany Station for the good collaboration, helpful support, their friendship and hospitality. The authors would like to thank M.A. Fedak and J. van den Hoff for their valuable comments on the paper.</t>
  </si>
  <si>
    <t>10.1017/S0954102008001557</t>
  </si>
  <si>
    <t>Green Accepted, Green Submitted</t>
  </si>
  <si>
    <t>WOS:000264652200003</t>
  </si>
  <si>
    <t>Near, TJ; Jones, CD; Eastman, JT</t>
  </si>
  <si>
    <t>Near, Thomas J.; Jones, Christopher D.; Eastman, Joseph T.</t>
  </si>
  <si>
    <t>Geographic intraspecific variation in buoyancy within Antarctic notothenioid fishes</t>
  </si>
  <si>
    <t>Gymnodraco; ontogenetic variation; Pleuragramma; Trematomus</t>
  </si>
  <si>
    <t>TERRA-NOVA BAY; SOUTH SHETLAND ISLANDS; MCMURDO SOUND; ROSS SEA; PLEURAGRAMMA-ANTARCTICUM; TREMATOMUS HANSONI; DIET; PISCES; SWIMBLADDER; PERCIFORMES</t>
  </si>
  <si>
    <t>We investigated intraspecific geographic variation in buoyancy by obtaining percentage buoyancy (%B) measurements for the Antarctic notothenioid species Pleuragramma antarcticum, Trematomus hansoni, T. bernacchii and Gymnodraco acuticeps from both McMurdo Sound in East Antarctica and the South Shetland Islands in West Antarctica. Mean percentage buoyancies in these species ranged from 0.22-0.52% in the neutrally buoyant P. antarcticum to 3.34-3.67% in the benthic T bernacchii. Dispersion (I standard deviation) of percentage buoyancy (%B) values around the mean was +/- 0.2-0.5 %B units for the entire sample. Although intraspecific differences in mean percentage buoyancy were statistically significant (P &lt; 0.05) in P. antarcticum and T hansoni, we consider these differences as normal variation without substantive biological significance. The dispersion in buoyancy measurements during adult life reflects the density of the fish and this may be influenced, in both the short- and long-term, by gut contents, nutritional condition, and reproductive state. Mitigation of the effects of these variables is not biologically realistic because they constitute normal aspects of the daily and yearly life cycles. The results of our measurements of buoyancy are consistent with what is known about the ecology of these four species and this is considered in the discussion.</t>
  </si>
  <si>
    <t>[Eastman, Joseph T.] Ohio Univ, Dept Biomed Sci, Athens, OH 45701 USA; [Near, Thomas J.] Yale Univ, Dept Ecol &amp; Evolutionary Biol, New Haven, CT 06520 USA; [Near, Thomas J.] Yale Univ, Peabody Museum Nat Hist, New Haven, CT 06520 USA; [Jones, Christopher D.] Natl Marine Fisheries Serv, SW Fisheries Sci Ctr, Natl Ocean &amp; Atmospher Adm, La Jolla, CA 92037 USA</t>
  </si>
  <si>
    <t>University System of Ohio; Ohio University; Yale University; Yale University; National Oceanic Atmospheric Admin (NOAA) - USA</t>
  </si>
  <si>
    <t>Eastman, JT (corresponding author), Ohio Univ, Dept Biomed Sci, Athens, OH 45701 USA.</t>
  </si>
  <si>
    <t>eastman@ohiou.edu</t>
  </si>
  <si>
    <t>Near, Thomas J./K-1204-2012; Eastman, Joseph T./O-6150-2019; Eastman, Joseph T/A-9786-2008</t>
  </si>
  <si>
    <t>Near, Thomas J./0000-0002-7398-6670; Eastman, Joseph T./0000-0003-3868-261X;</t>
  </si>
  <si>
    <t>NSF [ANT 04-36190]</t>
  </si>
  <si>
    <t>We thank the officers and crew of the RV Yuzhmorgeologiya. Support for collecting in the South Shetland Islands was provided by the United States Antarctic Marine Living Resources (AMLR) Program. A.L. DeVries assisted in the some of the data collection in the South Shetlands. B.M. Fitzpatrick provided helpful comments on the manuscript. We are grateful to Danette Pratt for producing Fig. 1. JTE was supported by NSF grant ANT 04-36190.</t>
  </si>
  <si>
    <t>10.1017/S0954102008001661</t>
  </si>
  <si>
    <t>WOS:000264652200004</t>
  </si>
  <si>
    <t>Huang, T; Sun, LG; Wang, YH; Zhu, RB</t>
  </si>
  <si>
    <t>Huang, Tao; Sun, Liguang; Wang, Yuhong; Zhu, Renbin</t>
  </si>
  <si>
    <t>Penguin occupation in the Vestfold Hills</t>
  </si>
  <si>
    <t>climate change; East Antarctica; Holocene deglaciation; C-14 dating; ornithogenic sediments</t>
  </si>
  <si>
    <t>CAL KYR BP; ANTARCTIC PENINSULA; EAST ANTARCTICA; LATE-HOLOCENE; CLIMATE-CHANGE; ROSS SEA; ICE-CORE; LAKE; BAY; CALIBRATION</t>
  </si>
  <si>
    <t>During CHINARE-22 (December 2005-March 2006), we investigated six penguin colonies in the Vestfold Hills, East Antarctica, and collected several penguin ornithogenic sediment cores, samples of fresh guano and modem penguin bone and feather. We selected seven penguin bones and feathers and six sediments from the longest sediment core and performed AMS C-14 dating. The results indicate that penguins occupied the Vestfold Hills as early as 8500 calibrated years before present (cal. yr BP), following local deglaciation and the formation of the ice free area. This is the first report on the Holocene history of penguins in the Vestfold Hills. As in other areas of Antarctica, penguins occupied this area as soon as local ice retreated and the ice free area formed, and they are very sensitive to climatic and environmental changes. This work provides the foundation for understanding the history of penguins occupation in Vestfold Hills, East Antarctica.</t>
  </si>
  <si>
    <t>[Huang, Tao; Sun, Liguang; Wang, Yuhong; Zhu, Renbin] Univ Sci &amp; Technol China, Inst Polar Environm, Hefei 230026, Peoples R China; [Wang, Yuhong] NIH, Bethesda, MD 20892 USA</t>
  </si>
  <si>
    <t>Chinese Academy of Sciences; University of Science &amp; Technology of China, CAS; National Institutes of Health (NIH) - USA</t>
  </si>
  <si>
    <t>Sun, LG (corresponding author), Univ Sci &amp; Technol China, Inst Polar Environm, Hefei 230026, Peoples R China.</t>
  </si>
  <si>
    <t>slg@ustc.edu.cn</t>
  </si>
  <si>
    <t>Huang, Tao/B-5915-2009</t>
  </si>
  <si>
    <t>Huang, Tao/0000-0001-5035-1632</t>
  </si>
  <si>
    <t>National Natural Science Foundation of China [40730107]; Australia Antarctic Division Science Project [AAD2873]</t>
  </si>
  <si>
    <t>National Natural Science Foundation of China(National Natural Science Foundation of China (NSFC)); Australia Antarctic Division Science Project</t>
  </si>
  <si>
    <t>We would like to thank the Chinese Polar Administration, Chinese Polar Research Center, all the CHINARE22 team mates in Zhong Shan Station and all the members in Davis Station for their vigorous support and assistance. This study was funded by the National Natural Science Foundation of China (No. 40730107), the IPY 2007-2008 China Programme and was supported by the Australia Antarctic Division Science Project (AAD2873). We especially thank two anonymous reviewers for their critical comments and careful corrections on the manuscript.</t>
  </si>
  <si>
    <t>10.1017/S095410200800165X</t>
  </si>
  <si>
    <t>WOS:000264652200005</t>
  </si>
  <si>
    <t>Loeb, VJ; Hofmann, EE; Klinck, JM; Holm-Hansen, O; White, WB</t>
  </si>
  <si>
    <t>Loeb, Valerie J.; Hofmann, Eileen E.; Klinck, John M.; Holm-Hansen, Osmund; White, Warren B.</t>
  </si>
  <si>
    <t>ENSO and variability of the Antarctic Peninsula pelagic marine ecosystem</t>
  </si>
  <si>
    <t>Antarctic Circumpolar Current; Antarctic Dipole; atmospheric-oceanic coupled processes; climate regime shifts; Euphausia superba; Southern Ocean</t>
  </si>
  <si>
    <t>KRILL EUPHAUSIA-SUPERBA; ELEPHANT-ISLAND; SEA-ICE; PHYTOPLANKTON; OSCILLATION; CLIMATE; EXTENT; STOCK; WATER; AREA</t>
  </si>
  <si>
    <t>The West Antarctic Peninsula region is an important source of Antarctic krill (Euphausia superba) in the Southern Ocean. From 1980-2004 abundance and concentration of phytoplankton and zooplankton, krill reproductive and recruitment success and seasonal sea ice extent here were significantly correlated with the atmospheric Southern Oscillation Index and exhibited three- to five-year frequencies characteristic of El Nino-Southern Oscillation (ENSO) variability. This linkage was associated with movements of the Southern Antarctic Circumpolar Current Front and Boundary, a changing influence of Antarctic Circumpolar Current and Weddell Sea waters, and eastward versus westward flow and mixing processes that are consistent with forcing by the Antarctic Dipole high-latitude climate mode. Identification of hydrographic processes underlying ecosystem variability presented here were derived primarily from multidisciplinary data collected during 1990-2004, a period with relatively stable year-to-year sea ice conditions. These results differ from the overwhelming importance of seasonal sea ice development previously established using 1980-1996 data, a period marked by a major decrease in sea ice from the Antarctic Peninsula region in the late 1980s. These newer results reveal the more subtle consequences of ENSO variability on biological responses. They highlight the necessity of internally consistent long-term multidisciplinary datasets for understanding ecosystem variability and ultimately for establishing well-founded ecosystem management. Furthermore, natural environmental variability associated with interannual- and decadal-scale changes in ENSO forcing must be considered when assessing impacts of climate warming in the Antarctic Peninsula-Weddell Sea region.</t>
  </si>
  <si>
    <t>[Loeb, Valerie J.] Moss Landing Marine Labs, Moss Landing, CA 95039 USA; [Hofmann, Eileen E.; Klinck, John M.] Old Dominion Univ, Ctr Coastal Phys Oceanog, Norfolk, VA 23529 USA; [Holm-Hansen, Osmund; White, Warren B.] Scripps Inst Oceanog, La Jolla, CA 92093 USA</t>
  </si>
  <si>
    <t>Moss Landing Marine Laboratories; Old Dominion University; University of California System; University of California San Diego; Scripps Institution of Oceanography</t>
  </si>
  <si>
    <t>Loeb, VJ (corresponding author), Moss Landing Marine Labs, 8272 Moss Landing Rd, Moss Landing, CA 95039 USA.</t>
  </si>
  <si>
    <t>loeb@mlml.calstate.edu</t>
  </si>
  <si>
    <t>Klinck, John/0000-0003-4312-5201</t>
  </si>
  <si>
    <t>10.1017/S0954102008001636</t>
  </si>
  <si>
    <t>WOS:000264652200006</t>
  </si>
  <si>
    <t>Zúñiga, GE; Zamora, P; Ortega, M; Obrecht, A</t>
  </si>
  <si>
    <t>Zuniga, Gustavo E.; Zamora, Pablo; Ortega, Marcelo; Obrecht, Alberto</t>
  </si>
  <si>
    <t>Micropropagation of Antarctic Colobanthus quitensis</t>
  </si>
  <si>
    <t>VASCULAR PLANTS; REPRODUCTION</t>
  </si>
  <si>
    <t>[Zuniga, Gustavo E.] Univ Santiago Chile, Lab Fisiol &amp; Biotecnol Vegetal, Dept Biol, Fac Quim &amp; Biol, Santiago, Chile</t>
  </si>
  <si>
    <t>Universidad de Santiago de Chile</t>
  </si>
  <si>
    <t>Zúñiga, GE (corresponding author), Univ Santiago Chile, Lab Fisiol &amp; Biotecnol Vegetal, Dept Biol, Fac Quim &amp; Biol, Santiago, Chile.</t>
  </si>
  <si>
    <t>gustavo.zuniga@usach.cl</t>
  </si>
  <si>
    <t>Zuñiga, Gustavo E/P-8306-2015; Zamora, Pablo A/D-1612-2012</t>
  </si>
  <si>
    <t>Zuniga, Gustavo/0000-0002-8286-9468</t>
  </si>
  <si>
    <t>10.1017/S0954102008001570</t>
  </si>
  <si>
    <t>WOS:000264652200007</t>
  </si>
  <si>
    <t>Benoit, JB; Lopez-Martinez, G; Elnitsky, MA; Lee, RE; Denlinger, DL</t>
  </si>
  <si>
    <t>Benoit, Joshua B.; Lopez-Martinez, Giancarlo; Elnitsky, Michael A.; Lee, Richard E., Jr.; Denlinger, David L.</t>
  </si>
  <si>
    <t>Increase in feeding by the tick, Ixodes uriae, on Adelie penguins during a prolonged summer</t>
  </si>
  <si>
    <t>SEABIRD; CYCLE; EGGS</t>
  </si>
  <si>
    <t>[Benoit, Joshua B.; Lopez-Martinez, Giancarlo; Denlinger, David L.] Ohio State Univ, Dept Entomol, Columbus, OH 43210 USA; [Elnitsky, Michael A.; Lee, Richard E., Jr.] Miami Univ, Dept Zool, Oxford, OH 45056 USA</t>
  </si>
  <si>
    <t>Benoit, JB (corresponding author), Ohio State Univ, Dept Entomol, 1735 Neil Ave, Columbus, OH 43210 USA.</t>
  </si>
  <si>
    <t>benoit.8@osu.edu</t>
  </si>
  <si>
    <t>NSF [OPP-0413786, OPP-0337656]</t>
  </si>
  <si>
    <t>This research was funded by NSF grants (OPP-0413786 and OPP-0337656). Antarctic support for this research was provided by the staff of Palmer Station.</t>
  </si>
  <si>
    <t>10.1017/S0954102008001685</t>
  </si>
  <si>
    <t>WOS:000264652200008</t>
  </si>
  <si>
    <t>Barclay, AH; Wilcock, WSD; Ibáñez, JM</t>
  </si>
  <si>
    <t>Barclay, A. H.; Wilcock, W. S. D.; Ibanez, J. M.</t>
  </si>
  <si>
    <t>Bathymetric constraints on the tectonic and volcanic evolution of Deception Island Volcano, South Shetland Islands</t>
  </si>
  <si>
    <t>Bransfield Strait; faulting; multibeam bathymetry; volcanism</t>
  </si>
  <si>
    <t>UPPER CRUSTAL STRUCTURE; SEA-FLOOR EVIDENCE; ANTARCTIC PENINSULA; BRANSFIELD STRAIT; WEST ANTARCTICA; BACKARC BASIN; SEDIMENTS; RIDGE; FAULT; AREA</t>
  </si>
  <si>
    <t>Deception Island is the largest volcano in the actively extending Bransfield Basin, a marginal basin situated behind the extinct South Shetland Islands arc. Deception Island has been well studied but its submerged flanks have not. A multibeam bathymetry survey was conducted around the island in 2005. Data from the flooded caldera show no evidence for recent localized resurgence. The gently-sloped bottom of the caldera basin is consistent with either a broad zone of resurgence on its east side associated with trap door deformation or with higher rates of sediment supply from the east side of the island. Around the island, numerous tectonic and volcanic features on the volcano's east and west flanks are nearly all aligned with the regional strike (similar to 060 degrees) of the Bransfield rift and there is very little evidence for the other fault populations that have been identified on the island. We infer that models that link the ongoing tectonic development of Deception Island to complex regional tectonics are less likely than models in which the dominant regional extension in Bransfield Strait is modulated by the local effects of caldera. collapse and possibly a small right-lateral transfer zone offsetting the primary extension axes in the Central and Western Bransfield Basins.</t>
  </si>
  <si>
    <t>[Barclay, A. H.] Lamont Doherty Earth Observ, Palisades, NY 10964 USA; [Wilcock, W. S. D.] Univ Washington, Sch Oceanog, Seattle, WA 98195 USA; [Ibanez, J. M.] Univ Granada, Inst Andaluz Geofis, E-18071 Granada, Spain</t>
  </si>
  <si>
    <t>Columbia University; University of Washington; University of Washington Seattle; University of Granada</t>
  </si>
  <si>
    <t>Barclay, AH (corresponding author), Lamont Doherty Earth Observ, 61 Route 9W, Palisades, NY 10964 USA.</t>
  </si>
  <si>
    <t>barclay@ldeo.columbia.edu</t>
  </si>
  <si>
    <t>IBANEZ, JESUS M/G-9910-2019</t>
  </si>
  <si>
    <t>IBANEZ, JESUS M/0000-0002-9846-8781; Wilcock, William/0000-0001-7224-7246</t>
  </si>
  <si>
    <t>US National Science Foundation [ANT-0230094]; Spanish Education and Research Ministry [REN 2001-3833, CGL2005-05789-C02-02/ANT]</t>
  </si>
  <si>
    <t>US National Science Foundation(National Science Foundation (NSF)); Spanish Education and Research Ministry</t>
  </si>
  <si>
    <t>We thank the officers and crew of the RV Hesperides, the members of Unidad de Tecnologia Marina, and the TOMODEC Working Group. We thank Javier Almendros, Tami Ben-Zvi, and Daria Zandomeneghi for useful discussions, and Jacobus LeRoux, John Smellie and the Editor for constructive reviews. This work was supported by US National Science Foundation grant ANT-0230094 and Spanish Education and Research Ministry grants REN 2001-3833 and CGL2005-05789-C02-02/ANT. Maps are produced using GMT software. Seismic reflection data are from the Marine Seismic Data Centre (http://www.ig. utexas.edu/sdc). Deception Island topography data are from the Geographical Service of the Spanish Army.</t>
  </si>
  <si>
    <t>10.1017/S0954102008001673</t>
  </si>
  <si>
    <t>WOS:000264652200009</t>
  </si>
  <si>
    <t>Hikuroa, DCH</t>
  </si>
  <si>
    <t>Hikuroa, Daniel C. H.</t>
  </si>
  <si>
    <t>Second Jurassic marine reptile from the Antarctic Peninsula</t>
  </si>
  <si>
    <t>ELLSWORTH LAND</t>
  </si>
  <si>
    <t>[Hikuroa, Daniel C. H.] Univ Auckland, Sch Geog Geol &amp; Environm Sci, Auckland 1, New Zealand; [Hikuroa, Daniel C. H.] Univ Auckland, Inst Earth Sci &amp; Engn, Auckland 1, New Zealand</t>
  </si>
  <si>
    <t>University of Auckland; University of Auckland</t>
  </si>
  <si>
    <t>Hikuroa, DCH (corresponding author), Univ Auckland, Sch Geog Geol &amp; Environm Sci, POB 92019, Auckland 1, New Zealand.</t>
  </si>
  <si>
    <t>d.hikuroa@auckland.ac.nz</t>
  </si>
  <si>
    <t>Hikuroa, Dan C/AAH-1230-2021</t>
  </si>
  <si>
    <t>Hikuroa, Daniel/0000-0002-7340-7106</t>
  </si>
  <si>
    <t>Foundation for Research, Science and Technology; Te Mata o te Tau Scholarship; Ngati Maniapoto Trust Education</t>
  </si>
  <si>
    <t>Foundation for Research, Science and Technology(New Zealand Foundation for Research, Science and Technology); Te Mata o te Tau Scholarship; Ngati Maniapoto Trust Education</t>
  </si>
  <si>
    <t>The author thanks Phil Wickens for his help during fieldwork, and BAS Field Operations and Air Unit for field support. The research was supported by a Foundation for Research, Science and Technology (NZ) Tuapapa Putaiao Doctoral Scholarship, Te Mata o te Tau Scholarship and Ngati Maniapoto Trust Education Grants.</t>
  </si>
  <si>
    <t>10.1017/S0954102008001715</t>
  </si>
  <si>
    <t>WOS:000264652200010</t>
  </si>
  <si>
    <t>Fretwell, PT; Tate, AJ; Deen, TJ; Belchier, M</t>
  </si>
  <si>
    <t>Fretwell, P. T.; Tate, A. J.; Deen, T. J.; Belchier, M.</t>
  </si>
  <si>
    <t>Compilation of a new bathymetric dataset of South Georgia</t>
  </si>
  <si>
    <t>grid; oceanography; Scotia Sea; Southern Ocean</t>
  </si>
  <si>
    <t>We introduce a new bathymetric compilation of the area around South Georgia in the Southern Ocean. Using a variety of data sources including multi and single-beam swath bathymetry we have constructed a gridded bathymetric dataset of the shelf and near-shelf sea-floor areas. The grid has been constructed using a layered hierarchy dependent upon accuracy of each dataset. The spikes and errors have been checked both manually and with a novel semi-automated process. We discuss the resulting bathymetry and the potential uses of the new dataset.</t>
  </si>
  <si>
    <t>[Fretwell, P. T.; Tate, A. J.; Deen, T. J.; Belchier, M.] British Antarctic Survey, NERC, Cambridge CB3 0ET, England</t>
  </si>
  <si>
    <t>Fretwell, PT (corresponding author), British Antarctic Survey, NERC, Madingley Rd, Cambridge CB3 0ET, England.</t>
  </si>
  <si>
    <t>ptf@bas.ac.uk</t>
  </si>
  <si>
    <t>Martin, Tara J/F-2570-2017; Martin, Tara/K-9174-2016</t>
  </si>
  <si>
    <t>Martin, Tara/0000-0002-3620-1141</t>
  </si>
  <si>
    <t>NERC [bas010013, bas010011] Funding Source: UKRI; Natural Environment Research Council [bas010013, bas010011] Funding Source: researchfish</t>
  </si>
  <si>
    <t>10.1017/S0954102008001703</t>
  </si>
  <si>
    <t>WOS:000264652200011</t>
  </si>
  <si>
    <t>Brosch, N</t>
  </si>
  <si>
    <t>Brosch, Noah</t>
  </si>
  <si>
    <t>Exotic UV astronomy</t>
  </si>
  <si>
    <t>ASTROPHYSICS AND SPACE SCIENCE</t>
  </si>
  <si>
    <t>Conference on Network for Ultra Violet Astronomy</t>
  </si>
  <si>
    <t>JUN, 2007</t>
  </si>
  <si>
    <t>Madrid, SPAIN</t>
  </si>
  <si>
    <t>Instrumentation: miscellaneous, balloons; Space vehicles: instruments; Ultraviolet: general</t>
  </si>
  <si>
    <t>BALLOON-BORNE OBSERVATIONS; SPACE TELESCOPE FAUST; ANTARCTIC PLATEAU; BACKGROUND LIGHT; SKY BRIGHTNESS; ULTRAVIOLET; ATLAS-1</t>
  </si>
  <si>
    <t>After considering a number of historical but somewhat forgotten UV astronomy experiments, I discuss a number of ways of non-conventional astronomy in the ultraviolet that, on first considerations, could be viable alternatives and valuable complements to classical space observations. These are (a) UV astronomy from the Antarctic or the Arctic regions that take advantage of the ozone hole, (b) the use of high-altitude stratospheric balloon-borne telescopes, and (c) the operation of UV telescopes on the Moon. The advantages of these options are discussed and evaluated against the costs of each option and, one by one, are mostly rejected as not fully justifying the specific alternative. The possibility to achieve valuable (but limited) UV science, such as imaging at similar to 2000 A..., using long-duration stratospheric balloons is described. The option of lunar UV observatories is retained to be implemented for the case of a UV interferometer, where the stability of the lunar regolith is seen as a significant advantage in comparison to free-flying interferometers. A location beyond the main asteroid belt, where the background due zodiacal light may be negligible, is advocated as an ideal location for a UV observatory in the Solar System.</t>
  </si>
  <si>
    <t>[Brosch, Noah] Tel Aviv Univ, Wise Observ, IL-69978 Tel Aviv, Israel; [Brosch, Noah] Tel Aviv Univ, Sch Phys &amp; Astron, Raymond &amp; Beverly Sackler Fac Exact Sci, IL-69978 Tel Aviv, Israel</t>
  </si>
  <si>
    <t>Tel Aviv University; Tel Aviv University</t>
  </si>
  <si>
    <t>Brosch, N (corresponding author), Tel Aviv Univ, Wise Observ, IL-69978 Tel Aviv, Israel.</t>
  </si>
  <si>
    <t>noah@wise.tau.ac.il</t>
  </si>
  <si>
    <t>Brosch, Noah/C-7889-2009</t>
  </si>
  <si>
    <t>Brosch, Noah/0000-0002-7614-7565</t>
  </si>
  <si>
    <t>0004-640X</t>
  </si>
  <si>
    <t>ASTROPHYS SPACE SCI</t>
  </si>
  <si>
    <t>Astrophys. Space Sci.</t>
  </si>
  <si>
    <t>10.1007/s10509-009-9988-7</t>
  </si>
  <si>
    <t>418UK</t>
  </si>
  <si>
    <t>WOS:000264174700035</t>
  </si>
  <si>
    <t>Doherty, SJ; Bojinski, S; Henderson-Sellers, A; Noone, K; Goodrich, D; Bindoff, NL; Church, JA; Hibbard, KA; Karl, TR; Kajefez-Bogataj, L; Lynch, AH; Parker, DE; Prentice, IC; Ramaswamy, V; Saunders, RW; Smith, MS; Steffen, K; Stocker, TF; Thorne, PW; Trenberth, KE; Verstraete, MM; Zwiers, FW</t>
  </si>
  <si>
    <t>Doherty, Sarah J.; Bojinski, Stephan; Henderson-Sellers, Ann; Noone, Kevin; Goodrich, David; Bindoff, Nathaniel L.; Church, John A.; Hibbard, Kathy A.; Karl, Thomas R.; Kajefez-Bogataj, Lucka; Lynch, Amanda H.; Parker, David E.; Prentice, I. Colin; Ramaswamy, Venkatachalam; Saunders, Roger W.; Smith, Mark Stafford; Steffen, Konrad; Stocker, Thomas F.; Thorne, Peter W.; Trenberth, Kevin E.; Verstraete, Michel M.; Zwiers, Francis W.</t>
  </si>
  <si>
    <t>LESSONS LEARNED FROM IPCC AR4 Scientific Developments Needed To Understand, Predict, And Respond To Climate Change</t>
  </si>
  <si>
    <t>CARBON-DIOXIDE; PART 1; ENERGY; SIMULATIONS; VARIABILITY; DROUGHT; CLOUDS; RECORD; SINK</t>
  </si>
  <si>
    <t>The Fourth Assessment Report (AR4) of the Intergovernmental Panel on Climate Change (IPCC) concluded that global warming is unequivocal and that most of the observed increase since the mid-twentieth century is very likely due to the increase in anthropogenic greenhouse gas concentrations, with discernible human influences on ocean warming, continental-average temperatures, temperature extremes, wind patterns, and other physical and biological indicators, impacting both socioeconomic and ecological systems. It is now clear that we are committed to some level of global climate change, and it is imperative that this be considered when planning future climate research and observational strategies. The Global Climate Observing System program (GCOS), the World Climate Research Programme (WCRP), and the International Geosphere-Biosphere Programme (IGBP) therefore initiated a process to summarize the lessons learned through AR4 Working Groups I and II and to identify a set of high-priority modeling and observational needs. Two classes of recommendations emerged. First is the need to improve climate models, observational and climate monitoring systems, and our understanding of key processes. Second, the framework for climate research and observations must be extended to document impacts and to guide adaptation and mitigation efforts. Research and observational strategies specifically aimed at improving our ability to predict and understand impacts, adaptive capacity, and societal and ecosystem vulnerabilities will serve both purposes and are the subject of the specific recommendations made in this paper.</t>
  </si>
  <si>
    <t>[Doherty, Sarah J.] NOAA PMEL, IGAC Core Project Off, Seattle, WA 98115 USA; [Bojinski, Stephan; Goodrich, David] WMO, Geneva, Switzerland; [Henderson-Sellers, Ann] Macquarie Univ, Sydney, NSW 2109, Australia; [Noone, Kevin] Royal Swedish Acad Sci, Int Geosphere Biosphere Programme, Stockholm, Sweden; [Bindoff, Nathaniel L.] Univ Tasmania, ACE CRC, Hobart, Tas, Australia; [Bindoff, Nathaniel L.] Univ Tasmania, CSIRO Marine Res, Hobart, Tas, Australia; [Church, John A.] Cooperat Res Ctr, Ctr Australian Weather &amp; Climate Res &amp; Antarctic, Hobart, Tas, Australia; [Hibbard, Kathy A.] NCAR, Climate &amp; Global Dynam Div, Boulder, CO USA; [Karl, Thomas R.] NOAA NCDC, Asheville, NC USA; [Kajefez-Bogataj, Lucka] Univ Ljubljana, Ljubljana, Slovenia; [Lynch, Amanda H.] Monash Univ, Climate Program, Clayton, Vic 3800, Australia; [Parker, David E.; Thorne, Peter W.] Met Off Hadley Ctr, Exeter, Devon, England; [Prentice, I. Colin] Univ Bristol, QUEST, Dept Earth Sci, Bristol, Avon, England; [Ramaswamy, Venkatachalam] NOAA, Geophys Fluid Dynam Lab, Princeton, NJ USA; [Saunders, Roger W.] Met Off Satellite Applicat, Exeter, Devon, England; [Smith, Mark Stafford] CRC, CSIRO Climate Adaptat Flagship, CSIRO Sustainable Ecosyst &amp; Desert Knowledge, CRC, Canberra, ACT, Australia; [Steffen, Konrad] Univ Colorado, CIRES, Boulder, CO 80309 USA; [Stocker, Thomas F.] Univ Bern, Inst Phys, Bern, Switzerland; [Trenberth, Kevin E.] NCAR, Climate Anal sect, Boulder, CO USA; [Verstraete, Michel M.] DG Joint Res Ctr European Commiss, Inst Environm &amp; Sustainabil, Ispra, Italy; [Zwiers, Francis W.] Environm Canada, Div Climate Res, Downsview, ON, Canada</t>
  </si>
  <si>
    <t>National Oceanic Atmospheric Admin (NOAA) - USA; Macquarie University; Royal Swedish Academy of Sciences; Antarctic Climate &amp; Ecosystems Cooperative Research Centre (ACE CRC); University of Tasmania; Commonwealth Scientific &amp; Industrial Research Organisation (CSIRO); University of Tasmania; National Center Atmospheric Research (NCAR) - USA; National Oceanic Atmospheric Admin (NOAA) - USA; University of Ljubljana; Monash University; Met Office - UK; Hadley Centre; University of Bristol; National Oceanic Atmospheric Admin (NOAA) - USA; Met Office - UK; Commonwealth Scientific &amp; Industrial Research Organisation (CSIRO); University of Colorado System; University of Colorado Boulder; University of Bern; National Center Atmospheric Research (NCAR) - USA; European Commission Joint Research Centre; EC JRC ISPRA Site; Environment &amp; Climate Change Canada</t>
  </si>
  <si>
    <t>Doherty, SJ (corresponding author), NOAA PMEL, IGAC Core Project Off, 7600 Sand Point Way NE, Seattle, WA 98115 USA.</t>
  </si>
  <si>
    <t>igac.seattle@noaa.gov</t>
  </si>
  <si>
    <t>Ramaswamy, Venkatachalam/AAJ-6265-2021; Bindoff, Nathaniel Lee/C-8050-2011; Verstraete, Michel/Q-4430-2017; Smith, Mark Stafford/G-1680-2010; Lynch, Amanda/B-4278-2011; Church, John A/A-1541-2012; Thorne, Peter/HZL-3928-2023; Thorne, Peter/R-6823-2017; Bindoff, Nathaniel Lee/IVV-0333-2023; Stocker, Thomas F/B-1273-2013; Steffen, Konrad/C-6027-2013; Henderson-Sellers, Ann/H-5323-2011; Trenberth, Kevin/A-5683-2012; Doherty, Sarah/D-5592-2015</t>
  </si>
  <si>
    <t>Ramaswamy, Venkatachalam/0000-0002-1984-6423; Bindoff, Nathaniel Lee/0000-0001-5662-9519; Verstraete, Michel/0000-0003-0968-8721; Lynch, Amanda/0000-0003-2990-1016; Church, John A/0000-0002-7037-8194; Thorne, Peter/0000-0003-0485-9798; Bindoff, Nathaniel Lee/0000-0001-5662-9519; Trenberth, Kevin/0000-0002-1445-1000; Stafford Smith, Mark/0000-0002-1333-3651; Doherty, Sarah/0000-0002-7796-6968</t>
  </si>
  <si>
    <t>NERC [quest010001] Funding Source: UKRI; Natural Environment Research Council [quest010001] Funding Source: researchfish</t>
  </si>
  <si>
    <t>45 BEACON ST, BOSTON, MA 02108-3693, UNITED STATES</t>
  </si>
  <si>
    <t>10.1175/2008BAMS2643.1</t>
  </si>
  <si>
    <t>445FI</t>
  </si>
  <si>
    <t>Green Accepted, Green Published, Bronze</t>
  </si>
  <si>
    <t>WOS:000266035100009</t>
  </si>
  <si>
    <t>Wang, BB; Tian, G; Sun, B; Cui, XB</t>
  </si>
  <si>
    <t>Wang Bang-Bing; Tian Gang; Sun Bo; Cui Xiang-Bin</t>
  </si>
  <si>
    <t>The study of the COF feature in the Antarctic ice sheet based on 3-D anisotropy FDTD method</t>
  </si>
  <si>
    <t>CHINESE JOURNAL OF GEOPHYSICS-CHINESE EDITION</t>
  </si>
  <si>
    <t>Anisotropy; FDTD; Antarctic ice sheet; Radio echo sounding</t>
  </si>
  <si>
    <t>medium. Then we simulated the response and spatio-temporal distributing feature. The simulating results showed that (1) The wave front is ellipsoid and it's long axis lie In the axis of minimum permittivity while the radar wave propagating in the anisotropy medium. (2) The amplitude of the reflecting, wave propagating in the traverse anisotropy medium have an 180 angle cycle in horizon plane. The author found the delay and periodical amplitude variation from the bottom of anisotropy layer between different antenna type. and the delay and periodical amplitude variation is relate to the permittivity difference between the different direction of anisotropy layer and between the adjacent layer. Then the author discussed the reason of the delay and periodical amplitude variation because of permittivity anisotropy. The results and conclusions help to instruct the data processing and Interpretation from the Antarctic RES exploration.</t>
  </si>
  <si>
    <t>[Wang Bang-Bing; Tian Gang; Cui Xiang-Bin] Zhejiang Univ, Dept Earth Sci, Hangzhou 310027, Peoples R China; [Sun Bo] Polar Res Inst China, Shanghai 200129, Peoples R China</t>
  </si>
  <si>
    <t>Zhejiang University; Polar Research Institute of China</t>
  </si>
  <si>
    <t>Wang, BB (corresponding author), Zhejiang Univ, Dept Earth Sci, Hangzhou 310027, Peoples R China.</t>
  </si>
  <si>
    <t>tiangang@zju.edu.cn</t>
  </si>
  <si>
    <t>Cui, Xiangbin/Y-1551-2019</t>
  </si>
  <si>
    <t>Cui, Xiangbin/0000-0002-4269-8086</t>
  </si>
  <si>
    <t>0001-5733</t>
  </si>
  <si>
    <t>CHINESE J GEOPHYS-CH</t>
  </si>
  <si>
    <t>Chinese J. Geophys.-Chinese Ed.</t>
  </si>
  <si>
    <t>10.3969/j.issn.0001-5733.2009.04.013</t>
  </si>
  <si>
    <t>439YZ</t>
  </si>
  <si>
    <t>WOS:000265665400013</t>
  </si>
  <si>
    <t>Dasgupta, S; Laplante, B; Meisner, C; Wheeler, D; Yan, J</t>
  </si>
  <si>
    <t>Dasgupta, Susmita; Laplante, Benoit; Meisner, Craig; Wheeler, David; Yan, Jianping</t>
  </si>
  <si>
    <t>The impact of sea level rise on developing countries: a comparative analysis</t>
  </si>
  <si>
    <t>Sea-level rise (SLR) due to climate change is a serious global threat: The scientific evidence is now overwhelming. Continued growth of greenhouse gas emissions and associated global warming could well promote SLR of 1 m in this century, and unexpectedly rapid breakup of the Greenland and West Antarctic ice sheets might produce a 3-5 m SLR. In this paper, we assess the consequences of continued SLR for 84 coastal developing countries. Geographic Information System (GIS) software has been used to overlay the best available, spatially disaggregated global data on critical impact elements (land, population, agriculture, urban extent, wetlands, and GDP), with the inundation zones projected for 1-5 m SLR. Our results reveal that tens of millions of people in the developing world are likely to be displaced by SLR within this century; and accompanying economic and ecological damage will be severe for many. At the country level results are extremely skewed, with severe impacts limited to a relatively small number of countries.</t>
  </si>
  <si>
    <t>[Dasgupta, Susmita; Meisner, Craig] World Bank, Dev Res Grp, Washington, DC 20433 USA; [Wheeler, David] Ctr Global Dev, Washington, DC 20036 USA</t>
  </si>
  <si>
    <t>The World Bank</t>
  </si>
  <si>
    <t>Dasgupta, S (corresponding author), World Bank, Dev Res Grp, Washington, DC 20433 USA.</t>
  </si>
  <si>
    <t>sdasgupta@worldbank.org</t>
  </si>
  <si>
    <t>Canadian Trust Fund [TF030569]; Canadian International Development Agency (CIDA)</t>
  </si>
  <si>
    <t>Canadian Trust Fund; Canadian International Development Agency (CIDA)</t>
  </si>
  <si>
    <t>Funding for this project was provided by the Canadian Trust Fund (TF030569) sponsored by the Canadian International Development Agency (CIDA). We would also like to extend our special thanks to Piet Buys, Uwe Deichmann and Jillian Kingston for their guidance and valuable help. We are also grateful to Gershon Feder for useful comments and suggestions. The views expressed here are the authors', and do not necessarily reflect those of the World Bank, its Executive Directors, or the countries they represent.</t>
  </si>
  <si>
    <t>10.1007/s10584-008-9499-5</t>
  </si>
  <si>
    <t>423DR</t>
  </si>
  <si>
    <t>WOS:000264477100006</t>
  </si>
  <si>
    <t>Dehydration-induced cross tolerance of Belgica antarctica larvae to cold and heat is facilitated by trehalose accumulation</t>
  </si>
  <si>
    <t>COMPARATIVE BIOCHEMISTRY AND PHYSIOLOGY A-MOLECULAR &amp; INTEGRATIVE PHYSIOLOGY</t>
  </si>
  <si>
    <t>Cross tolerance; Cold; Heat; Desiccation rates; Antarctica; Midge</t>
  </si>
  <si>
    <t>WATER-BALANCE; FLESH FLY; MIDGE; DESICCATION; RESISTANCE; HARDINESS; STRESS; SHOCK; ACCLIMATION; MECHANISMS</t>
  </si>
  <si>
    <t>Larvae of the Antarctic midge, Belgica antarctica (Diptera: Chironomidae), are frequently exposed to dehydrating conditions on the Antarctic Peninsula. In this study, we examined how rates and levels of dehydration alter heat and cold tolerance and how these relate to levels of trehalose within the insect. When dehydrated. larvae tolerated cold and heat stress more effectively, although resistance to cold was more pronounced than heat resistance. Slow dehydration was more effective than rapid dehydration in increasing temperature tolerance. Severe dehydration (50% reduction in water content) caused a much greater increase in temperature tolerance than did mild dehydration (e.g. 10% water loss). Larvae severely dehydrated at a slow rate (98% RH) were more temperature tolerant than those dehydrated quickly (0 or 75% RH). These results indicate that the slower dehydration rate allows the larvae to more effectively respond to reduced water levels and that physiological adjustments to desiccation provide cross tolerance to cold and heat. Levels of trehalose increased during dehydration and are likely a major factor increasing subsequent cold and heat resistance. This hypothesis was also supported by experimental results showing that injection of trehalose enhanced resistance to temperature stress and dehydration. We conclude that changes in temperature tolerance in B. antarctica are linked to the rate and severity of dehydration and that trehalose elevation is a probable mechanism enhancing this form of cross tolerance. (C) 2009 Elsevier Inc. All rights reserved.</t>
  </si>
  <si>
    <t>[Benoit, Joshua B.; Lopez-Martinez, Giancarlo; Denlinger, David L.] Ohio State Univ, Dept Entomol, Columbus, OH 43210 USA; [Elnitsky, Michael A.; Lee, Richard E., Jr.] Miami Univ, Dept Zool, Oxford, OH 45056 USA; [Elnitsky, Michael A.] Mercyhurst Coll, Dept Biol, Erie, PA 16546 USA</t>
  </si>
  <si>
    <t>Benoit, JB (corresponding author), Ohio State Univ, Dept Entomol, 318 W 12th Ave, Columbus, OH 43210 USA.</t>
  </si>
  <si>
    <t>This research was funded by the NSF grants OPP-0337656 and OPP-0413786. We thank the staff at Palmer Station for their excellent support.</t>
  </si>
  <si>
    <t>ELSEVIER SCIENCE INC</t>
  </si>
  <si>
    <t>STE 800, 230 PARK AVE, NEW YORK, NY 10169 USA</t>
  </si>
  <si>
    <t>1095-6433</t>
  </si>
  <si>
    <t>1531-4332</t>
  </si>
  <si>
    <t>COMP BIOCHEM PHYS A</t>
  </si>
  <si>
    <t>Comp. Biochem. Physiol. A-Mol. Integr. Physiol.</t>
  </si>
  <si>
    <t>10.1016/j.cbpa.2008.12.009</t>
  </si>
  <si>
    <t>Biochemistry &amp; Molecular Biology; Physiology; Zoology</t>
  </si>
  <si>
    <t>423QS</t>
  </si>
  <si>
    <t>WOS:000264511400009</t>
  </si>
  <si>
    <t>Dmitrenko, IA; Bauch, D; Kirillov, SA; Koldunov, N; Minnett, PJ; Ivanov, VV; Hölemann, JA; Timokhov, LA</t>
  </si>
  <si>
    <t>Dmitrenko, Igor A.; Bauch, Dorothea; Kirillov, Sergey A.; Koldunov, Nikolay; Minnett, Peter J.; Ivanov, Vladimir V.; Hoelemann, Jens A.; Timokhov, Leonid A.</t>
  </si>
  <si>
    <t>Barents Sea upstream events impact the properties of Atlantic water inflow into the Arctic Ocean: Evidence from 2005 to 2006 downstream observations</t>
  </si>
  <si>
    <t>Atlantic water; Arctic Ocean; Barents Sea water inflow; Ice and atmospheric forcing</t>
  </si>
  <si>
    <t>INTERANNUAL VARIABILITY; KARA SEAS; INTERMEDIATE; SHELF; BASIN; CIRCULATION; HALOCLINE; BALANCE; NANSEN; DEEP</t>
  </si>
  <si>
    <t>Inflow of Atlantic water (AW) from Fram Strait and the Barents Sea into the Arctic Ocean conditions the intermediate (100-1000 m) waters of the Arctic Ocean Eurasian margins. While over the Siberian margin the Fram Strait AW branch (FSBW) has exhibited continuous dramatic warming beginning in 2004, the tendency of the Barents Sea AW branch (BSBW) has remained poorly known. Here we document the contrary cooling tendency of the BSBW through the analysis of observational data collected from the icebreaker Kapitan Dranitsyn over the continental slope of the Eurasian Basin in 2005 and 2006. The CTD data from the R.V. Polarstern cruise in 1995 were used as a reference point for evaluating external atmospheric and sea-ice forcing and oxygen isotope similar to 0.037), cooler analysis. Our data show that in 2006 the BSBW core was saltier (by (by similar to 0.41 degrees C), denser (by similar to 0.04 kg/m(3)), deeper (by 150-200m), and relatively better ventilated (by 7-8 mu mol/kg of dissolved oxygen, or by 1.1-1.7% of saturation) compared with 2005. We hypothesize that the shift of the meridional wind from off-shore to onshore direction during the BSBW translation through the Barents and northern Kara seas results in longer surface residence time for the BSBW sampled in 2006 compared with samples from 2005. The cooler, more saline, and better-ventilated BSBW sampled in 2006 may result from longer upstream translation through the Barents and northern Kara seas where the BSBW was modified by sea-ice formation and interaction with atmosphere. The data for stable oxygen isotopes from 1995 and 2006 reveals amplified brine modification of the BSBW core sampled downstream in 2006, which supports the assumption of an increased upstream residence time as indicated by wind patterns and dissolved oxygen values. (C) 2008 Elsevier Ltd. All rights reserved.</t>
  </si>
  <si>
    <t>[Dmitrenko, Igor A.; Bauch, Dorothea] Univ Kiel, Leibniz Inst Marine Sci, D-24148 Kiel, Germany; [Kirillov, Sergey A.; Timokhov, Leonid A.] Arctic &amp; Antarctic Res Inst, St Petersburg 199226, Russia; [Koldunov, Nikolay] Univ Hamburg, Ctr Marine &amp; Atmospher Sci, Inst Oceanog, Hamburg, Germany; [Koldunov, Nikolay] Int Max Planck Res Sch Earth Syst Modelling, Hamburg, Germany; [Minnett, Peter J.] Univ Miami, Rosenstiel Sch Marine &amp; Atmospher Sci, Miami, FL 33149 USA; [Ivanov, Vladimir V.] Univ Alaska Fairbanks, Int Arctic Res Ctr, Fairbanks, AK USA; [Hoelemann, Jens A.] Alfred Wegener Inst Polar &amp; Marine Res, D-2850 Bremerhaven, Germany</t>
  </si>
  <si>
    <t>University of Kiel; Helmholtz Association; GEOMAR Helmholtz Center for Ocean Research Kiel; Arctic &amp; Antarctic Research Institute; University of Hamburg; Max Planck Society; University of Miami; University of Alaska System; University of Alaska Fairbanks; Helmholtz Association; Alfred Wegener Institute, Helmholtz Centre for Polar &amp; Marine Research</t>
  </si>
  <si>
    <t>Dmitrenko, IA (corresponding author), Univ Kiel, Leibniz Inst Marine Sci, Wischhofstr 1-3,Bldg 4, D-24148 Kiel, Germany.</t>
  </si>
  <si>
    <t>idmitrenko@ifm-geomar.de</t>
  </si>
  <si>
    <t>Ivanov, Vladimir/AAX-6830-2020; Koldunov, Nikolay V. V./A-5439-2011; Ivanov, Vladimir/J-5979-2014; Hoelemann, Jens/N-3608-2016</t>
  </si>
  <si>
    <t>Koldunov, Nikolay V. V./0000-0002-3365-8146; Ivanov, Vladimir/0000-0003-2569-6027; Bauch, Dorothea/0000-0002-1419-9714; Dmitrenko, Igor/0000-0001-8388-7839; Hoelemann, Jens/0000-0001-5102-4086</t>
  </si>
  <si>
    <t>DFG [SP 526/3]; BMBF [03G0639D]; IMPRS-ESM (International Max Planck Research School on Earth System Modeling); NOAA; NSF-funded IARC Program Nansen and Amundsen Basins Observational System; Frontier Research System for Global Change; NSF [ARC 0743972]; NERC [dml010002] Funding Source: UKRI; Natural Environment Research Council [dml010002] Funding Source: researchfish</t>
  </si>
  <si>
    <t>DFG(German Research Foundation (DFG)); BMBF(Federal Ministry of Education &amp; Research (BMBF)); IMPRS-ESM (International Max Planck Research School on Earth System Modeling); NOAA(National Oceanic Atmospheric Admin (NOAA) - USA); NSF-funded IARC Program Nansen and Amundsen Basins Observational System(National Science Foundation (NSF)); Frontier Research System for Global Change; NSF(National Science Foundation (NSF)); NERC(UK Research &amp; Innovation (UKRI)Natural Environment Research Council (NERC)); Natural Environment Research Council(UK Research &amp; Innovation (UKRI)Natural Environment Research Council (NERC))</t>
  </si>
  <si>
    <t>The hydrographic observations in 2005-2006 were carried out within the working framework of the ongoing NOAA and NSF-funded IARC Program Nansen and Amundsen Basins Observational System (NABOS). ID and SK gratefully acknowledge financial support through the BMBF project System Laptev Sea (03G0639A). DB appreciates funds through the DFG Grant SP 526/3 and the BMBF 03G0639D project. NK was supported by a grant from the IMPRS-ESM (International Max Planck Research School on Earth System Modeling). VI was funded by the Frontier Research System for Global Change. PJM acknowledges support from the NSF (ARC 0743972). We gratefully acknowledge Ursula Schauer for CTD profiles taken in 1993-1996 from the R.V. Polarstern. The dissolved oxygen analysis and sampling for the oxygen isotope analysis in 2005-2006 were conducted by the hydrochemical group of the Arctic and Antarctic Research Institute.</t>
  </si>
  <si>
    <t>10.1016/j.dsr.2008.11.005</t>
  </si>
  <si>
    <t>430SK</t>
  </si>
  <si>
    <t>WOS:000265008600004</t>
  </si>
  <si>
    <t>Bernard, KS; Froneman, PW</t>
  </si>
  <si>
    <t>Bernard, K. S.; Froneman, P. W.</t>
  </si>
  <si>
    <t>The sub-Antarctic euthecosome pteropod, Limacina retroversa: Distribution patterns and trophic role</t>
  </si>
  <si>
    <t>Euthecosome; Thecosome; Pteropod; Limacina; Retroversa; Sub-Antarctic; Polar Frontal Zone; Southern Ocean; Distribution patterns; Grazing impact; Trophic importance; Population dynamics; Ocean acidification</t>
  </si>
  <si>
    <t>MESOZOOPLANKTON COMMUNITY STRUCTURE; PRINCE-EDWARD-ISLANDS; AUSTRAL SUMMER 1997/1998; EASTERN ATLANTIC SECTOR; DIEL VERTICAL MIGRATION; POLAR FRONTAL ZONE; SOUTHERN-OCEAN; GRAZING IMPACT; SUBTROPICAL CONVERGENCE; ROSS SEA</t>
  </si>
  <si>
    <t>Our understanding of the role that euthecosome pteropods play in the Southern Ocean is relatively limited. The aim of the present study was thus to examine the role of the sub-Antarctic species, Limacina retroversa, in the pelagic ecosystem of the Indian sector of the Polar Frontal Zone. Results from the study indicate that while L retroversa might not dominate total mesozooplankton densities (the mesozooplankton community was always dominated by copepods, averaging &gt;75% throughout the entire investigation), with an average contribution of only 5% to total mesozooplankton numbers, the species is capable of contributing substantially to total mesozooplankton grazing impact, out-grazing the dominant copepods (Calanus simillimuis, Ctenocalanus spp., Clausocalanus spp. and Oithona similis) 33% of the time. During the investigation, L retroversa exhibited grazing impacts contributing to between 2% and 89% of the total per day. In addition to their exceptionally high grazing rates, our data suggest a coupling of L retroversa densities to phytoplankton biomass. In fact, a significant decline in pteropod densities was recorded coinciding with extremely low phytoplankton concentrations. During the investigation the size structure of the pteropod community was predominantly made up of small- and medium-sized individuals; suggesting that spawning had taken place in summer during all 3 years. Although this trend was observed across all three surveys, the relative contributions of the three size classes varied significantly between the surveys, indicating a variable spawning period, similar to that observed in the northern hemisphere. In addition, reduced food availability during one of the surveys appeared to have resulted in delayed spawning as low relative abundances of small individuals and high relative abundances of large individuals were recorded during that survey. (C) 2008 Elsevier Ltd. All rights reserved.</t>
  </si>
  <si>
    <t>[Bernard, K. S.] S African Environm Observat Network, Grahamstown, South Africa; [Bernard, K. S.; Froneman, P. W.] Rhodes Univ, Dept Zool &amp; Entomol, ZA-6140 Grahamstown, South Africa</t>
  </si>
  <si>
    <t>National Research Foundation - South Africa; South African Environmental Observation Network (SAEON); Rhodes University</t>
  </si>
  <si>
    <t>Bernard, KS (corresponding author), S African Environm Observat Network, Grahamstown, South Africa.</t>
  </si>
  <si>
    <t>kim@saeon.ac.za</t>
  </si>
  <si>
    <t>Bernard, Kim S/J-2703-2013; Froneman, William/C-9085-2012; Froneman, William/GLS-0460-2022</t>
  </si>
  <si>
    <t>Froneman, William/0000-0003-0615-1355</t>
  </si>
  <si>
    <t>South African Departments of Environmental Affairs &amp; Tourism and Science Technology; National Research Foundation</t>
  </si>
  <si>
    <t>We would like to thank the South African Departments of Environmental Affairs &amp; Tourism and Science &amp; Technology, as well as the National Research Foundation, for providing funding for this research through the South African National Antarctic Programme. We are grateful to the Department of Zoology and Entomology, Rhodes University, for providing the necessary space and equipment to carry out this research. An anonymous reviewer provided valuable input to the manuscript. Thanks are also due to the various captains and crew members of the MV SA Agulhas during voyages to the Southern Ocean and to all of the ship-based scientific teams from the three surveys.</t>
  </si>
  <si>
    <t>10.1016/j.dsr.2008.11.007</t>
  </si>
  <si>
    <t>WOS:000265008600009</t>
  </si>
  <si>
    <t>Doney, SC; Tilbrook, B; Roy, S; Metzl, N; Le Quéré, C; Hood, M; Feely, RA; Bakker, D</t>
  </si>
  <si>
    <t>Doney, Scott C.; Tilbrook, Bronte; Roy, Sylvie; Metzl, Nicolas; Le Quere, Corinne; Hood, Maria; Feely, Richard A.; Bakker, Dorothee</t>
  </si>
  <si>
    <t>Surface-ocean CO2 variability and vulnerability</t>
  </si>
  <si>
    <t>DEEP-SEA RESEARCH PART II-TOPICAL STUDIES IN OCEANOGRAPHY</t>
  </si>
  <si>
    <t>Carbon cycle; Air-sea CO2 exchange; Ocean biogeochemistry; Climate change; Climate variability</t>
  </si>
  <si>
    <t>SINK; ACIDIFICATION; IMPACT</t>
  </si>
  <si>
    <t>Improved sampling technologies, international observing networks, and data synthesis efforts are providing an unprecedented view of the global patterns and decadal variability of surface-ocean partial pressure of carbon dioxide (pCO(2)) and air-sea CO2 flux. A new observational synthesis for surface-ocean pCO(2) leads to a global ocean net CO2 sink of -1.8 Pg C yr(-1) (+/-0.7); continental margins and estuaries together act as a small net source (similar to 0.15 Pg C yr(-1)). New results on decadal trends indicate recent decreases in efficiency of the ocean to absorb CO2 in the Southern Ocean, North Atlantic, and Equatorial Pacific. Although we do not yet have an estimate of the trend in the global oceanic sink Of CO2, the existing observations may help explain temporal variations in the fraction of anthropogenic CO2 emissions that remain in the atmosphere (airborne fraction). Major vulnerabilities in the future behavior of the ocean-carbon-climate system include the effects of ocean warming, enhanced vertical stratification, strengthening and poleward contraction of westerly winds in the Southern Ocean, and shifts in the biological pump and ecosystem functioning. To address issues of both ocean-carbon variability and vulnerability, a sustained surface-ocean-carbon-observing system needs to be established with improved global spatial coverage and internationally coordinated data synthesis activities. (C) 2009 Elsevier Ltd. All rights reserved.</t>
  </si>
  <si>
    <t>[Doney, Scott C.] Woods Hole Oceanog Inst, Marine Chem &amp; Geochem Dept, Woods Hole, MA 02543 USA; [Tilbrook, Bronte] Bur Meteorol, Ctr Australian Weather &amp; Climate Res, Hobart, Tas, Australia; [Tilbrook, Bronte] CSIRO, Hobart, Tas, Australia; [Tilbrook, Bronte] Australian Climate &amp; Ecosyst Cooperat Res Ctr, Hobart, Tas, Australia; [Roy, Sylvie] Inst Univ Europeene Mer, IMBER, Brest, France; [Metzl, Nicolas] Univ Paris 06, CNRS, LOCEAN IPSL, Paris, France; [Le Quere, Corinne; Bakker, Dorothee] Univ E Anglia, Sch Environm Sci, Norwich NR4 7TJ, Norfolk, England; [Le Quere, Corinne] British Antarctic Survey, Cambridge CB3 0ET, England; [Hood, Maria] UNESCO, IOC, Paris, France; [Feely, Richard A.] NOAA, Pacific Marine Environm Lab, Seattle, WA 98115 USA</t>
  </si>
  <si>
    <t>Woods Hole Oceanographic Institution; Commonwealth Scientific &amp; Industrial Research Organisation (CSIRO); Bureau of Meteorology - Australia; Commonwealth Scientific &amp; Industrial Research Organisation (CSIRO); Universite de Bretagne Occidentale; Institut Universitaire Europeen de la Mer (IUEM); Sorbonne Universite; Centre National de la Recherche Scientifique (CNRS); Museum National d'Histoire Naturelle (MNHN); University of East Anglia; UK Research &amp; Innovation (UKRI); Natural Environment Research Council (NERC); NERC British Antarctic Survey; National Oceanic Atmospheric Admin (NOAA) - USA</t>
  </si>
  <si>
    <t>Doney, SC (corresponding author), Woods Hole Oceanog Inst, Marine Chem &amp; Geochem Dept, 266 Woods Hole Rd, Woods Hole, MA 02543 USA.</t>
  </si>
  <si>
    <t>sdoney@whoi.edu; bronte.tilbrook@csiro.au; Sylvie.Roy@univ-brest.fr; Nicolas.Metzl@locean-ipsl.upmc.fr; C.Lequere@uea.ac.uk; m.hood@unesco.org; Richard.A.Feely@noaa.gov; D.Bakker@uea.ac.uk</t>
  </si>
  <si>
    <t>Le Quéré, Corinne/C-2631-2017; Tilbrook, Bronte/W-4007-2019; Doney, Scott/F-9247-2010; Feely, Richard A./ABI-5740-2020; Bakker, Dorothee/E-4951-2015</t>
  </si>
  <si>
    <t>Le Quéré, Corinne/0000-0003-2319-0452; Tilbrook, Bronte/0000-0001-9385-3827; Doney, Scott/0000-0002-3683-2437; metzl, nicolas/0000-0002-1165-1074; Bakker, Dorothee/0000-0001-9234-5337</t>
  </si>
  <si>
    <t>Natural Environment Research Council [bas010013] Funding Source: researchfish; NERC [bas010013] Funding Source: UKRI</t>
  </si>
  <si>
    <t>0967-0645</t>
  </si>
  <si>
    <t>1879-0100</t>
  </si>
  <si>
    <t>DEEP-SEA RES PT II</t>
  </si>
  <si>
    <t>Deep-Sea Res. Part II-Top. Stud. Oceanogr.</t>
  </si>
  <si>
    <t>8-10</t>
  </si>
  <si>
    <t>10.1016/j.dsr2.2008.12.016</t>
  </si>
  <si>
    <t>465LU</t>
  </si>
  <si>
    <t>WOS:000267587200002</t>
  </si>
  <si>
    <t>Takahashi, T; Sutherland, SC; Wanninkhof, R; Sweeney, C; Feely, RA; Chipman, DW; Hales, B; Friederich, G; Chavez, F; Sabine, C; Watson, A; Bakker, DCE; Schuster, U; Metzl, N; Yoshikawa-Inoue, H; Ishii, M; Midorikawa, T; Nojiri, Y; Körtzinger, A; Steinhoff, T; Hoppema, M; Olafsson, J; Arnarson, TS; Tilbrook, B; Johannessen, T; Olsen, A; Bellerby, R; Wong, CS; Delille, B; Bates, NR; de Baar, HJW</t>
  </si>
  <si>
    <t>Takahashi, Taro; Sutherland, Stewart C.; Wanninkhof, Rik; Sweeney, Colm; Feely, Richard A.; Chipman, David W.; Hales, Burke; Friederich, Gernot; Chavez, Francisco; Sabine, Christopher; Watson, Andrew; Bakker, Dorothee C. E.; Schuster, Ute; Metzl, Nicolas; Yoshikawa-Inoue, Hisayuki; Ishii, Masao; Midorikawa, Takashi; Nojiri, Yukihiro; Koertzinger, Arne; Steinhoff, Tobias; Hoppema, Mario; Olafsson, Jon; Arnarson, Thorarinn S.; Tilbrook, Bronte; Johannessen, Truls; Olsen, Are; Bellerby, Richard; Wong, C. S.; Delille, Bruno; Bates, N. R.; de Baar, Hein J. W.</t>
  </si>
  <si>
    <t>Climatological mean and decadal change in surface ocean pCO2, and net sea-air CO2 flux over the global oceans</t>
  </si>
  <si>
    <t>Carbon dioxide; Partial pressure; Surface ocean; Global ocean; Sea-air flux</t>
  </si>
  <si>
    <t>CARBON-DIOXIDE; INTERANNUAL VARIABILITY; NORTH-ATLANTIC; TEMPERATURE-MEASUREMENTS; PARTIAL-PRESSURE; GAS-EXCHANGE; PACIFIC; WATER; SINK; ICE</t>
  </si>
  <si>
    <t>A climatological mean distribution for the surface water pCO(2) over the global oceans in non-El Nino conditions has been constructed with spatial resolution of 4 degrees (latitude) x 5 degrees (longitude) for a reference year 2000 based upon about 3 million measurements of surface water pCO(2) obtained from 1970 to 2007. The database used for this study is about 3 times larger than the 0.94 million used for our earlier paper [Takahashi et al., 2002. Global sea-air CO2 flux based on climatological surface ocean pCO(2), and seasonal biological and temperature effects. Deep-Sea Res. 11, 49, 1601-1622]. A time-trend analysis using deseasonalized surface water pCO(2) data in portions of the North Atlantic, North and South Pacific and Southern Oceans (which cover about 27% of the global ocean areas) indicates that the surface water pCO(2) over these oceanic areas has increased on average at a mean rate of 1.5 mu atm y(-1) with basin-specific rates varying between 1.2 +/- 0.5 and 2.1 +/- 0.4 mu atm y(-1). A global ocean database for a single reference year 2000 is assembled using this mean rate for correcting observations made in different years to the reference year. The observations made during El Nino periods in the equatorial Pacific and those made in coastal zones are excluded from the database. Seasonal changes in the surface water pCO(2) and the sea-air pCO(2) difference over four climatic zones in the Atlantic, Pacific, Indian and Southern Oceans are presented. Over the Southern Ocean seasonal ice zone, the seasonality is complex. Although it cannot be thoroughly documented due to the limited extent of observations, seasonal changes in pCO(2) are approximated by using the data for under-ice waters during austral winter and those for the marginal ice and ice-free zones. The net air-sea CO2 flux is estimated using the sea-air pCO(2) difference and the air-sea gas transfer rate that is parameterized as a function of (wind speed)2 with a scaling factor of 0.26. This is estimated by inverting the bomb C-14 data using Ocean General Circulation models and the 1979-2005 NCEP-DOE AMIP-II Reanalysis (R-2) wind speed data. The equatorial Pacific (14 degrees N-14 degrees S) is the major source for atmospheric CO2, emitting about +0.48 Pg-C y(-1), and the temperate oceans between 14 degrees and 50 degrees in the both hemispheres are the major sink zones with an uptake flux of -0.70 Pg-C y(-1) for the northern and -1.05 Pg-C y(-1) for the southern zone. The high-latitude North Atlantic, including the Nordic Seas and portion of the Arctic Sea, is the most intense CO2 sink area on the basis of per unit area, with a mean of -2.5 tons-C month(-1) km(-2). This is due to the combination of the low pCO(2) in seawater and high gas exchange rates. In the ice-free zone of the Southern Ocean (50 degrees-62 degrees S), the mean annual flux is small (-0.06 Pg-C y(-1)) because of a cancellation of the summer uptake v flux with the winter release Of CO2 caused by deepwater upwelling. The annual mean for the contemporary net v uptake flux over the global oceans is estimated to be -1.6+/-0.9 Pg-C y(-1), which includes an undersampling correction to the direct estimate of -1.4+/-0.7 Pg-C y(-1). Taking the pre-industrial steady-state ocean source of 0.4+/-0.2 Pg-C y(-1) into account, the total ocean uptake flux including the anthropogenic CO2 is estimated to be -2.0+/- 1.0 Pg-C y(-1) in 2000. (C) 2008 Elsevier Ltd. All rights reserved.</t>
  </si>
  <si>
    <t>[Takahashi, Taro; Sutherland, Stewart C.] Columbia Univ, Lamont Doherty Geol Observ, Palisades, NY 10964 USA; [Wanninkhof, Rik] NOAA, Atlantic Oceanog &amp; Meteorol Lab, Miami, FL 33149 USA; [Sweeney, Colm] NOAA, Earth Syst Res Lab, Boulder, CO USA; [Feely, Richard A.; Sabine, Christopher] NOAA, Pacific Marine Environm Lab, Seattle, WA 98115 USA; [Hales, Burke] Oregon State Univ, Coll Ocean &amp; Atmospher Sci, Corvallis, OR 97331 USA; [Friederich, Gernot; Chavez, Francisco] Monterey Bay Aquarium Res Inst, Moss Landing, CA USA; [Watson, Andrew; Bakker, Dorothee C. E.; Schuster, Ute] Univ E Anglia, Sch Environm Sci, Norwich NR4 7TJ, Norfolk, England; [Metzl, Nicolas] Univ Paris 06, CNRS, Lab Oceanog &amp; Climat, LOCEAN IPSL, Paris, France; [Yoshikawa-Inoue, Hisayuki] Hokkaido Univ, Grad Sch Environm Earth Sci, Sapporo, Hokkaido 060, Japan; [Ishii, Masao; Midorikawa, Takashi] Meteorol Res Inst, Tsukuba, Ibaraki 305, Japan; [Nojiri, Yukihiro] Natl Inst Environm Studies, Tsukuba, Ibaraki, Japan; [Koertzinger, Arne; Steinhoff, Tobias] Leibniz Inst Marine Sci, D-24105 Kiel, Germany; [Hoppema, Mario] Alfred Wegener Inst Polar &amp; Marine Res, D-2850 Bremerhaven, Germany; [Olafsson, Jon; Arnarson, Thorarinn S.] Marine Res Inst, IS-121 Reykjavik, Iceland; [Olafsson, Jon; Arnarson, Thorarinn S.] Univ Iceland, Reykjavik, Iceland; [Tilbrook, Bronte] CSIRO Natl Res Flagship, Hobart, Tas, Australia; [Tilbrook, Bronte] Antarctic Climate &amp; Ecosyst Cooperat Res Ctr, Hobart, Tas, Australia; [Johannessen, Truls; Olsen, Are; Bellerby, Richard] Univ Bergen, Bjerknes Ctr Climate Res, N-5020 Bergen, Norway; [Wong, C. S.] Inst Ocean Sci Fisheries &amp; Oceans Canada, Sidney, BC, Canada; [Delille, Bruno] Univ Liege, Liege, Belgium; [de Baar, Hein J. W.] Royal Netherlands Inst Sea Res, Den Burg, Netherlands</t>
  </si>
  <si>
    <t>Columbia University; National Oceanic Atmospheric Admin (NOAA) - USA; Atlantic Oceanographic &amp; Meteorological Laboratory (AOML); National Oceanic Atmospheric Admin (NOAA) - USA; National Oceanic Atmospheric Admin (NOAA) - USA; Oregon State University; Monterey Bay Aquarium Research Institute; University of East Anglia; Centre National de la Recherche Scientifique (CNRS); Sorbonne Universite; Museum National d'Histoire Naturelle (MNHN); Hokkaido University; Meteorological Research Institute - Japan; National Institute for Environmental Studies - Japan; Helmholtz Association; GEOMAR Helmholtz Center for Ocean Research Kiel; Helmholtz Association; Alfred Wegener Institute, Helmholtz Centre for Polar &amp; Marine Research; Marine &amp; Freshwater Research Institute (MFRI); University of Iceland; Commonwealth Scientific &amp; Industrial Research Organisation (CSIRO); Antarctic Climate &amp; Ecosystems Cooperative Research Centre (ACE CRC); University of Bergen; Bjerknes Centre for Climate Research; Fisheries &amp; Oceans Canada; University of Liege; Utrecht University; Royal Netherlands Institute for Sea Research (NIOZ)</t>
  </si>
  <si>
    <t>Takahashi, T (corresponding author), Columbia Univ, Lamont Doherty Geol Observ, 61 Route 9W,POB 1000, Palisades, NY 10964 USA.</t>
  </si>
  <si>
    <t>taka@ldeo.columbia.edu</t>
  </si>
  <si>
    <t>Sweeney, Colm/AAE-9291-2019; Bellerby, Richard/ABD-6590-2021; Yoshikawa, Hisayuki/A-4056-2012; Bellerby, Richard/B-5277-2012; Nojiri, Yukihiro/D-1999-2010; Körtzinger, Arne/A-4141-2014; Tilbrook, Bronte/W-4007-2019; Feely, Richard A./ABI-5740-2020; Bakker, Dorothee/E-4951-2015; Olsen, Are/A-1511-2011; Delille, Bruno/C-3486-2008; Hoppema, Mario/I-6286-2013</t>
  </si>
  <si>
    <t>Bellerby, Richard/0000-0003-3598-4006; Nojiri, Yukihiro/0000-0001-9885-9195; Tilbrook, Bronte/0000-0001-9385-3827; Steinhoff, Tobias/0000-0002-2298-1298; Ishii, Masao/0000-0002-7328-4599; metzl, nicolas/0000-0002-1165-1074; Bakker, Dorothee/0000-0001-9234-5337; Watson, Andrew/0000-0002-9654-8147; Olsen, Are/0000-0003-1696-9142; Sweeney, Colm/0000-0002-4517-0797; Delille, Bruno/0000-0003-0502-8101; Hoppema, Mario/0000-0002-2326-619X</t>
  </si>
  <si>
    <t>NERC [earth010003] Funding Source: UKRI; Natural Environment Research Council [earth010003] Funding Source: researchfish</t>
  </si>
  <si>
    <t>10.1016/j.dsr2.2008.12.009</t>
  </si>
  <si>
    <t>WOS:000267587200007</t>
  </si>
  <si>
    <t>Metzl, N</t>
  </si>
  <si>
    <t>Metzl, Nicolas</t>
  </si>
  <si>
    <t>Decadal increase of oceanic carbon dioxide in Southern Indian Ocean surface waters (1991-2007)</t>
  </si>
  <si>
    <t>Carbon dioxide; Southern Ocean; Indian Ocean; Decadal variability; Air-sea CO2 fluxes; Southern Annular Mode</t>
  </si>
  <si>
    <t>INTERANNUAL VARIABILITY; CO2 SINK; PARTIAL-PRESSURE; NORTH PACIFIC; TEMPERATURE; ATMOSPHERE; FRONTS; FLUXES; PCO(2)</t>
  </si>
  <si>
    <t>The decadal variability of the fugacity of carbon dioxide (fCO(2)) at the sea surface is analyzed for the first time in the south-western Indian Ocean and corresponding Antarctic sector. This study is based on seasonal cruises (MINERVE and OISO) conducted onboard the R.S.S. Marion-Dufresne during the period 1991-2007. Based on shipboard observations the average annual rate of the atmospheric CO2 was 1.72 ppm/yr, almost equal to the annual growth rate derived from high-quality measurements recorded at monitoring stations in the Southern Hemisphere. An evaluation based on oceanic observations in the Southern Indian Ocean ( &gt; 20 degrees S), indicates that oceanic fCO(2) increased at a rate of 2.11 (+/-0.07) mu atm/yr for the period 1991-2007, i.e. about 0.4 mu atm/yr faster than in the atmosphere. In order to investigate the processes that explain the oceanic fCO(2) variations (and the potential reduction of the ocean carbon sink), the decadal variability is analyzed in detail in four regions (20-35 degrees S, 35-40 degrees S, 40-42 degrees S and 50-55 degrees S) for austral summer (December-March) and winter (June-August). During austral summer, the fCO(2) increase is similar in the four regions (between +2.2 and +2.4 mu atm/yr). For austral winter the growth rate is lower north of 40 degrees S (+1.5 to +1.7 mu atm/yr) than at higher latitudes (+2.2 mu atm/yr). Because these regions experienced different warming or cooling, the evolution of temperature normalized fCO(2) (fCO(2)(norm)) has also been investigated. In the southern subtropical region (35-40 degrees S), warming occurred in winter, leading to a small change of fCO(2)(norm) (+0.6 mu atm/yr). In this region, anthropogenic CO2 uptake must be compensated by a reduction of dissolved inorganic carbon (DIC) in surface waters. At latitudes &gt;40 degrees S, the observed cooling during winter leads to a rapid increase of fCO(2)(norm) (+3.6 to +4.7 mu atm/yr), suggesting that the gradual import of DIC in surface water occurs in addition to anthropogenic CO2. The contrasting variations observed north and south of 40 degrees S are likely related to the high index state of the Southern Annular Mode (SAM) during the 1990s. The increase of the westerlies at latitudes &gt; 40 degrees S could have enhanced the vertical import of CO2-enriched deep waters in high-latitude surface layers, whereas the decrease of the wind speed north of 40 degrees S would have reduced vertical mixing. Although this analysis is limited to a relatively short period, 1991-2007, this is the first time that a link between the SAM and the decadal reduction of the Southern Ocean carbon sink is suggested from in-situ ocean carbon dioxide observations. This offers an encouraging result in the perspective of model validation and understanding of the future evolution of the ocean carbon sink and its coupling with climate change. (C) 2008 Elsevier Ltd. All rights reserved.</t>
  </si>
  <si>
    <t>Univ Paris 06, CNRS, LOCEAN IPSL, F-75252 Paris 05, France</t>
  </si>
  <si>
    <t>Centre National de la Recherche Scientifique (CNRS); Museum National d'Histoire Naturelle (MNHN); Sorbonne Universite</t>
  </si>
  <si>
    <t>Metzl, N (corresponding author), Univ Paris 06, CNRS, LOCEAN IPSL, Case 100,4 Pl Jussieu, F-75252 Paris 05, France.</t>
  </si>
  <si>
    <t>Nicolas.Metzl@locean-ipsl.upmc.fr</t>
  </si>
  <si>
    <t>metzl, nicolas/0000-0002-1165-1074</t>
  </si>
  <si>
    <t>10.1016/j.dsr2.2008.12.007</t>
  </si>
  <si>
    <t>WOS:000267587200010</t>
  </si>
  <si>
    <t>Rotella, JJ; Link, WA; Nichols, JD; Hadley, GL; Garrott, RA; Proffitt, KM</t>
  </si>
  <si>
    <t>Rotella, Jay J.; Link, William A.; Nichols, James D.; Hadley, Gillian L.; Garrott, Robert A.; Proffitt, Kelly M.</t>
  </si>
  <si>
    <t>An evaluation of density-dependent and density-independent influences on population growth rates in Weddell seals</t>
  </si>
  <si>
    <t>ECOLOGY</t>
  </si>
  <si>
    <t>Antarctica; climate; density dependence; Leptonychotes weddellii; population dynamics; population growth rate; Weddell seal</t>
  </si>
  <si>
    <t>SOUTHERN ELEPHANT SEALS; CAPTURE-RECAPTURE DATA; SOUTHWESTERN ROSS SEA; CLIMATE-CHANGE; TIME-SERIES; LEPTONYCHOTES-WEDDELLII; MCMURDO-SOUND; TEMPORARY EMIGRATION; MARINE-ENVIRONMENT; OBSERVATION ERROR</t>
  </si>
  <si>
    <t>Much of the existing literature that evaluates the roles of density-dependent and density-independent factors on population dynamics has been called into question in recent years because measurement errors were not properly dealt with in analyses. Using state-space models to account for measurement errors, we evaluated a set of competing models for a 22-year time series of mark-resight estimates of abundance for a breeding population of female Weddell seals (Leptonychotes weddellii) studied in Erebus Bay, Antarctica. We tested for evidence of direct density dependence in growth rates and evaluated whether equilibrium population size was related to seasonal sea-ice extent and the Southern Oscillation Index (SOI). We found strong evidence of negative density dependence in annual growth rates for a population whose estimated size ranged from 438 to 623 females during the study. Based on Bayes factors, a density-dependence-only model was favored over models that also included environmental covariates. According to the favored model, the population had a stationary distribution with a mean of 497 females (SD = 60.5), an expected growth rate of 1.10 (95% credible interval 1.08-1.15) when population size was 441 females, and a rate of 0.90 (95% credible interval 0.87-0.93) for a population of 553 females. A model including effects of SOI did receive some support and indicated a positive relationship between SOI and population size. However, effects of SOI were not large, and including the effect did not greatly reduce our estimate of process variation. We speculate that direct density dependence occurred because rates of adult survival, breeding, and temporary emigration were affected by limitations on per capita food resources and space for parturition and pup-rearing. To improve understanding of the relative roles of various demographic components and their associated vital rates to population growth rate, mark-recapture methods can be applied that incorporate both environmental covariates and the seal abundance estimates that were developed here. An improved understanding of why vital rates change with changing population abundance will only come as we develop a better understanding of the processes affecting marine food resources in the Southern Ocean.</t>
  </si>
  <si>
    <t>[Rotella, Jay J.; Hadley, Gillian L.; Garrott, Robert A.; Proffitt, Kelly M.] Montana State Univ, Dept Ecol, Bozeman, MT 59717 USA; [Link, William A.; Nichols, James D.] US Geol Survey, Patuxent Wildlife Res Ctr, Laurel, MD 20708 USA</t>
  </si>
  <si>
    <t>Montana State University System; Montana State University Bozeman; United States Department of the Interior; United States Geological Survey</t>
  </si>
  <si>
    <t>Rotella, JJ (corresponding author), Montana State Univ, Dept Ecol, Bozeman, MT 59717 USA.</t>
  </si>
  <si>
    <t>rotella@montana.edu</t>
  </si>
  <si>
    <t>Rotella, Jay/0000-0001-7014-7524</t>
  </si>
  <si>
    <t>National Science Foundation, Division of Polar Programs [DEB-0635739]; Raytheon Polar Services Company; Antarctic Support Associates; United States Navy and Air Force, and Petroleum Helicopters Incorporated</t>
  </si>
  <si>
    <t>National Science Foundation, Division of Polar Programs(National Science Foundation (NSF)); Raytheon Polar Services Company; Antarctic Support Associates; United States Navy and Air Force, and Petroleum Helicopters Incorporated</t>
  </si>
  <si>
    <t>This work was supported by the National Science Foundation, Division of Polar Programs (grant no. DEB-0635739 to R. A. Garrott, J. J. Rotella, and D. B. Siniff). Prior NSF grants to R. A. Garrott, J. J. Rotella, D. B. Siniff, and J. W. Testa supported the collection of data used in this paper. We are grateful to the many individuals who have worked on projects associated with the Erebus Bay Weddell seal population since the 1960s. Logistical support for fieldwork in Antarctica was provided by Raytheon Polar Services Company, Antarctic Support Associates, the United States Navy and Air Force, and Petroleum Helicopters Incorporated. Animal handling protocol was approved by Montana State University's Animal Care and Use Committee (Protocol # 41-05). The paper was improved by comments made two anonymous reviewers.</t>
  </si>
  <si>
    <t>0012-9658</t>
  </si>
  <si>
    <t>1939-9170</t>
  </si>
  <si>
    <t>10.1890/08-0971.1</t>
  </si>
  <si>
    <t>427AY</t>
  </si>
  <si>
    <t>WOS:000264753400015</t>
  </si>
  <si>
    <t>Jiao, LP; Zheng, GJ; Minh, TB; Richardson, B; Chen, LQ; Zhang, YH; Yeung, LW; Lam, JCW; Yang, XL; Lam, PKS; Wong, MH</t>
  </si>
  <si>
    <t>Jiao, Liping; Zheng, Gene J.; Minh, Tu Binh; Richardson, Bruce; Chen, Liqi; Zhang, Yuanhui; Yeung, Leo W.; Lam, James C. W.; Yang, Xulin; Lam, Paul K. S.; Wong, Ming H.</t>
  </si>
  <si>
    <t>Persistent toxic substances in remote lake and coastal sediments from Svalbard, Norwegian Arctic: Levels, sources and fluxes</t>
  </si>
  <si>
    <t>ENVIRONMENTAL POLLUTION</t>
  </si>
  <si>
    <t>PAHs; PBDEs; Remote lake sediments; Accumulation patterns; Fluxes</t>
  </si>
  <si>
    <t>POLYCYCLIC AROMATIC-HYDROCARBONS; POLYBROMINATED DIPHENYL ETHERS; BROMINATED FLAME RETARDANTS; BJORNOYA BEAR ISLAND; FIRED POWER-PLANTS; PEARL RIVER DELTA; ORGANIC CONTAMINANTS; ORGANOCHLORINE COMPOUNDS; YANGTZE-RIVER; WATER</t>
  </si>
  <si>
    <t>Surface sediments from remote lakes and coastal areas from Ny-Alesund, Svalbard, Norwegian Arctic were analyzed for polycyclic aromatic hydrocarbons (PAHs), polybrominated diphenyl ethers (PBDEs), polychlorinated biphenyls (PCBs) and organochlorine pesticides (OCPs). Relatively high levels of PAHs were encountered from several lakes from Ny-Alesund, which were within the range of levels reported for European high mountain lakes and some urban/industrialized areas in the world, pointing to the role of remote Arctic lakes as potential reservoir of semi-volatile organic compounds. Specific patterns of PBDEs were observed, showing higher concentrations of lower brominated compounds such as BDE-7,17 and 28. Estimated surface sediment fluxes of PAHs in Ny-Alesund remote lakes were similar to those observed for some European high mountain lakes. The current PAH levels in sediments from three lakes exceeded Canadian sediment quality guidelines, suggesting the presence of possible risks for aquatic organisms and the need for further studies. Crown Copyright (C) 2008 Published by Elsevier Ltd. All rights reserved.</t>
  </si>
  <si>
    <t>[Jiao, Liping; Zheng, Gene J.; Minh, Tu Binh; Richardson, Bruce; Yeung, Leo W.; Lam, James C. W.; Lam, Paul K. S.] City Univ Hong Kong, Dept Biol &amp; Chem, Kowloon, Hong Kong, Peoples R China; [Zheng, Gene J.; Wong, Ming H.] Hong Kong Baptist Univ, Dept Biol, Croucher Inst Environm Sci, Kowloon, Hong Kong, Peoples R China; [Jiao, Liping; Chen, Liqi; Zhang, Yuanhui; Yang, Xulin] State Ocean Adm, Key Lab Global Change &amp; Marine Atmospher Chem, Xiamen, Fijian, Peoples R China; [Jiao, Liping; Chen, Liqi; Zhang, Yuanhui; Yang, Xulin] State Ocean Adm, Inst Oceanog 1, Xiamen, Fijian, Peoples R China</t>
  </si>
  <si>
    <t>City University of Hong Kong; Hong Kong Baptist University; First Institute of Oceanography, Ministry of Natural Resources</t>
  </si>
  <si>
    <t>Lam, PKS (corresponding author), City Univ Hong Kong, Dept Biol &amp; Chem, 83 Tat Chee Ave, Kowloon, Hong Kong, Peoples R China.</t>
  </si>
  <si>
    <t>bhpksl@cityu.edu.hk; mhwong@hkbu.edu.hk</t>
  </si>
  <si>
    <t>Richardson, Bruce J/A-6186-2009; Wong, Ming Hung/AAC-6507-2022; Yang, Xulin/O-2253-2014; Lam, James C.W./Q-2644-2019; LAM, Paul Kwan Sing/B-9121-2008; 矫, 立萍/IQU-4409-2023; Yeung, Leo/P-1967-2015</t>
  </si>
  <si>
    <t>Wong, Ming Hung/0009-0002-6077-4369; Lam, James C.W./0000-0002-5557-6213; LAM, Paul Kwan Sing/0000-0002-2134-3710; Yeung, Leo/0000-0001-6800-5658; Richardson, Bruce/0000-0001-9339-6996</t>
  </si>
  <si>
    <t>Scientific Research Foundation of Third Institute of Oceanography, SCA [TIO2007004]; Polar Strategy Foundation [20070211]; TIOSOA Foundation [06004]; SCA Youth Foundation [2008605]; Hong Kong: the Hong Kong Research Grants Council [CityU 1401/05M]; Area of Excellence Scheme</t>
  </si>
  <si>
    <t>Scientific Research Foundation of Third Institute of Oceanography, SCA; Polar Strategy Foundation; TIOSOA Foundation; SCA Youth Foundation; Hong Kong: the Hong Kong Research Grants Council(Hong Kong Research Grants Council); Area of Excellence Scheme</t>
  </si>
  <si>
    <t>The work described in this paper was supported by the Scientific Research Foundation of Third Institute of Oceanography, SCA (TIO2007004), the Polar Strategy Foundation Grant (20070211), the TIOSOA Foundation Grant (06004), the 2008 SCA Youth Foundation Grant (2008605), and the grants from Hong Kong: the Hong Kong Research Grants Council (CityU 1401/05M) and the Area of Excellence Scheme under the University Grants Committee of the Hong Kong Special Administration Region. We thank Chinese Arctic and Antarctic Administration for providing us the opportunity to attend the second Chinese National Arctic Research Exploration for sampling. We thank Drs. Margaret Murphy and Man Ka So (City University of Hong Kong) for critical reading of this manuscript.</t>
  </si>
  <si>
    <t>0269-7491</t>
  </si>
  <si>
    <t>1873-6424</t>
  </si>
  <si>
    <t>ENVIRON POLLUT</t>
  </si>
  <si>
    <t>Environ. Pollut.</t>
  </si>
  <si>
    <t>10.1016/j.envpol.2008.11.030</t>
  </si>
  <si>
    <t>427MF</t>
  </si>
  <si>
    <t>WOS:000264782700038</t>
  </si>
  <si>
    <t>Benedetti, M; Fattorini, D; Martuccio, G; Nigro, M; Regoli, F</t>
  </si>
  <si>
    <t>Benedetti, Maura; Fattorini, Daniele; Martuccio, Giacomo; Nigro, Marco; Regoli, Francesco</t>
  </si>
  <si>
    <t>INTERACTIONS BETWEEN TRACE METALS (Cu, Hg, Ni, Pb) AND 2,3,7,8-TETRACHLORODIBENZO-P-DIOXIN IN THE ANTARCTIC FISH TREMATOMUS BERNACCHII: OXIDATIVE EFFECTS ON BIOTRANSFORMATION PATHWAY</t>
  </si>
  <si>
    <t>ENVIRONMENTAL TOXICOLOGY AND CHEMISTRY</t>
  </si>
  <si>
    <t>Chemical mixtures; Interactions; Cytochrome P450; Oxidative stress; Trematomus bernacchii</t>
  </si>
  <si>
    <t>ARYL-HYDROCARBON RECEPTOR; OXIDANT SCAVENGING CAPACITY; EEL ANGUILLA-ANGUILLA; GENE-EXPRESSION; BIOMARKER RESPONSES; BETA-NAPHTHOFLAVONE; ADAMUSSIUM-COLBECKI; CHEMICAL-EXPOSURE; DOWN-REGULATION; STRESS</t>
  </si>
  <si>
    <t>Biological effects of chemical mixtures are an emerging issue when using biomarkers in field conditions, because synergistic or inhibitory interactions, cascade, and indirect mechanisms can both enhance or suppress responses to specific classes of pollutants. The Antarctic rock cod (Trematomus bernacchii) was exposed to various trace metals (Cu, Hg, Ni, and Pb) and to 2,3,7,8-tetrachlorodibenzo-p-dioxin (TCDD), dosed alone or in combination, to generate hypotheses regarding the mechanisms of action at the cellular level. Concentrations of metals significantly increased in liver of T. bernacchii without significant differences between organisms exposed only to the elements or cotreated with TCDD. The marked induction of cytochrome P450 (CYP) by TCDD was greatly suppressed by cotreatment with Cu at both catalytic and protein expression levels, whereas no significant effects were caused by coexposures with Hg, Ni, and Pb. The oxidative status was measured by integrating individual antioxidants with the total oxyradical scavenging capacity toward peroxyl radicals (ROO center dot) and hydroxyl radicals (center dot OH). Synergistic oxidative effects appeared in fish coexposed to Cu and TCDD, suggesting that biotransformation efficiency is down-regulated by higher levels of hydrogen peroxide, hydroxyl radicals, and/or mechanisms limiting availability of heme groups. Major oxidative perturbations also were observed in organisms coexposed to TCDD and Hg; in these organisms, however, the marked increase of glutathione content could explain the absence of oxidative inhibition of the CYP system. More limited oxidative effects were caused by Ni and Pb, and the contemporary absence of inhibitory effects on CYP would further confirm the importance of pro-oxidant mechanisms in modulating the biotransformation pathway. The overall results indicate that a wide battery of biomarkers is necessary to assess the impact of chemical mixtures in field conditions.</t>
  </si>
  <si>
    <t>[Benedetti, Maura; Fattorini, Daniele; Martuccio, Giacomo; Regoli, Francesco] Univ Politecn Marche, Dipartimento Biochem Biol &amp; Genet, Ancona, Italy; [Nigro, Marco] Univ Pisa, Dipartimento Morfol Umana &amp; Biol Applicata, I-56100 Pisa, Italy</t>
  </si>
  <si>
    <t>Marche Polytechnic University; University of Pisa</t>
  </si>
  <si>
    <t>Regoli, F (corresponding author), Univ Politecn Marche, Dipartimento Biochem Biol &amp; Genet, Ancona, Italy.</t>
  </si>
  <si>
    <t>f.regoli@univpm.it</t>
  </si>
  <si>
    <t>Benedetti, Maura/K-5399-2016; Fattorini, Daniele/A-2969-2010; Regoli, Francesco/K-2719-2018</t>
  </si>
  <si>
    <t>Benedetti, Maura/0000-0003-0803-3846; Fattorini, Daniele/0000-0002-5847-4722; Regoli, Francesco/0000-0001-6084-6188</t>
  </si>
  <si>
    <t>Italian National Antarctic Research Program (PNRA)</t>
  </si>
  <si>
    <t>Italian National Antarctic Research Program (PNRA)(Ministry of Education, Universities and Research (MIUR))</t>
  </si>
  <si>
    <t>This research was supported by the Italian National Antarctic Research Program (PNRA).</t>
  </si>
  <si>
    <t>0730-7268</t>
  </si>
  <si>
    <t>1552-8618</t>
  </si>
  <si>
    <t>ENVIRON TOXICOL CHEM</t>
  </si>
  <si>
    <t>Environ. Toxicol. Chem.</t>
  </si>
  <si>
    <t>10.1897/08-066.1</t>
  </si>
  <si>
    <t>Environmental Sciences; Toxicology</t>
  </si>
  <si>
    <t>Environmental Sciences &amp; Ecology; Toxicology</t>
  </si>
  <si>
    <t>416ZS</t>
  </si>
  <si>
    <t>WOS:000264044700015</t>
  </si>
  <si>
    <t>Hansen, H; McDonald, DB; Groves, P; Maier, JAK; Ben-David, M</t>
  </si>
  <si>
    <t>Hansen, Heidi; McDonald, David B.; Groves, Pamela; Maier, Julie A. K.; Ben-David, Merav</t>
  </si>
  <si>
    <t>Social Networks and the Formation and Maintenance of River Otter Groups</t>
  </si>
  <si>
    <t>ETHOLOGY</t>
  </si>
  <si>
    <t>SCENT-MARKING; TESTOSTERONE LEVELS; LONTRA-CANADENSIS; KIN SELECTION; BIGHORN SHEEP; MALE LIONS; BEHAVIOR; COOPERATION; COALITIONS; OIL</t>
  </si>
  <si>
    <t>Many studies have evaluated why male mammals form social groups; few however have investigated how these groups are formed and maintained. We observed behavioral interactions of 15 male river otters (Lontra canadensis) captured in Prince William Sound (PWS), Alaska, and held in captivity for 10 mo. Because the otters were captured in various areas and differed in age and relatedness, we were able to test how kinship and age influenced social interactions. We also explored how kinship, age and social interactions in captivity related to geographic spacing after the otters were released back in PWS. In 284 h of observations, the otters exhibited more positive than negative interactions. Social network models indicated that in the early stage of captivity, there were more links among individuals than in the late stage. In the late-stage period, older animals that had higher testosterone levels exhibited increased social distance and lower information centrality (a network connectivity metric). Social distance was not related to genetic distance, nor did it relate directly to age, although both social distance and age were correlated with post-release geographic distance. Thus, the formation of male groups in coastal river otters is largely influenced by familiarity and past experience, rather than kinship. The maintenance of groups, especially during the mating season, is a function of reproductive status and age, with older animals withdrawing from the social network during that time. What other phenotypic characters may contribute to the formation and maintenance of river otter groups merit future exploration.</t>
  </si>
  <si>
    <t>[Hansen, Heidi; McDonald, David B.; Ben-David, Merav] Univ Wyoming, Dept Zool &amp; Physiol, Laramie, WY 82071 USA; [Hansen, Heidi] Div Forestry &amp; Wildlife, Dept Land &amp; Nat Resources, Hilo, HI USA; [Groves, Pamela; Maier, Julie A. K.] Univ Alaska Fairbanks, Inst Arctic Biol, Fairbanks, AK USA</t>
  </si>
  <si>
    <t>University of Wyoming; University of Alaska System; University of Alaska Fairbanks</t>
  </si>
  <si>
    <t>Ben-David, M (corresponding author), Univ Wyoming, Dept Zool &amp; Physiol 3166, 1000 E Univ Ave, Laramie, WY 82071 USA.</t>
  </si>
  <si>
    <t>bendavid@uwyo.edu</t>
  </si>
  <si>
    <t>McDonald, David Bartelle/C-3195-2008</t>
  </si>
  <si>
    <t>McDonald, David Bartelle/0000-0001-8582-3775</t>
  </si>
  <si>
    <t>Exxon Valdez Oil Spill Trustees Council [348]; NSF-TEA program; California Department of Fish and Game's Oil Spill Response Trust Fund through the Oiled Wildlife Care Network at the University of California [UOA991239-09]; Prince William Sound Oil Spill Recovery Institute [99-10-12]; Prince William Sound Oil Spill Recovery Institute</t>
  </si>
  <si>
    <t>Exxon Valdez Oil Spill Trustees Council(Exxon Mobil Corporation); NSF-TEA program(National Science Foundation (NSF)); California Department of Fish and Game's Oil Spill Response Trust Fund through the Oiled Wildlife Care Network at the University of California; Prince William Sound Oil Spill Recovery Institute; Prince William Sound Oil Spill Recovery Institute</t>
  </si>
  <si>
    <t>We thank G. M. Blundell, J. B. Faro, L. Faro, H. Golden, H. Kruuk, O. A. Ormseth, and C. Taylor for assistance in live trapping of otters in the field. O. A. Ormseth was the lead project technician from the capture of otters to their final release. Without his enthusiasm, responsibility, and active participation in all facets of the experiment, this work would have been much more difficult to complete. We thank all ASLC employees, volunteers, and interns for their support of the project. A. K. Norin, C. Smith, M. Thompson, and S. Trillhose assisted in the care and husbandry of the captive otters. They also participated in the handling of otters and assisted in data collection. E. Maldonado, N. Levanon, and M. Brijbasi from NSF-Teachers Experiencing the Arctic and Antarctic (TEA) program assisted in collection of data on social interactions. We thank D. Ziel for assistance with laboratory analysis of DNA. N. P. Nibbelink and H. Maier assisted with GIS analyses. We thank Dr. J. E. Rowell for testosterone assay analyses and input on earlier versions of the manuscript. S. Horn, L. Ebensperger, and three anonymous reviewers provided helpful comments on earlier versions of this manuscript. This project was supported by Exxon Valdez Oil Spill Trustees Council (project/348), NSF-TEA program, the California Department of Fish and Game's Oil Spill Response Trust Fund through the Oiled Wildlife Care Network at the University of California, Davis (UOA991239-09), and the Prince William Sound Oil Spill Recovery Institute Grant 99-10-12 to M.B.D. and the Prince William Sound Oil Spill Recovery Institute Graduate Fellowship to H.H.</t>
  </si>
  <si>
    <t>0179-1613</t>
  </si>
  <si>
    <t>1439-0310</t>
  </si>
  <si>
    <t>Ethology</t>
  </si>
  <si>
    <t>10.1111/j.1439-0310.2009.01624.x</t>
  </si>
  <si>
    <t>Psychology, Biological; Behavioral Sciences; Zoology</t>
  </si>
  <si>
    <t>Psychology; Behavioral Sciences; Zoology</t>
  </si>
  <si>
    <t>420RW</t>
  </si>
  <si>
    <t>WOS:000264307900011</t>
  </si>
  <si>
    <t>Giordano, D; Boechi, L; Vergara, A; Martí, MA; Samuni, U; Dantsker, D; Grassi, L; Estrin, DA; Friedman, JM; Mazzarella, L; Di Prisco, G; Verde, C</t>
  </si>
  <si>
    <t>Giordano, Daniela; Boechi, Leonardo; Vergara, Alessandro; Marti, Marcelo A.; Samuni, Uri; Dantsker, David; Grassi, Luigi; Estrin, Dario A.; Friedman, Joel M.; Mazzarella, Lelio; di Prisco, Guido; Verde, Cinzia</t>
  </si>
  <si>
    <t>The hemoglobins of the sub-Antarctic fish Cottoperca gobio, a phyletically basal species - oxygen-binding equilibria, kinetics and molecular dynamics</t>
  </si>
  <si>
    <t>FEBS JOURNAL</t>
  </si>
  <si>
    <t>Antarctica; computer simulation; hemoglobin; ligand-binding properties; oxygen affinity</t>
  </si>
  <si>
    <t>FUNCTIONALLY DISTINCT HEMOGLOBINS; AMINO-ACID-SEQUENCE; NOTOTHENIOID FISH; CRYSTAL-STRUCTURE; PAGOTHENIA-BERNACCHII; EXTREME ENVIRONMENTS; TREMATOMUS-NEWNESI; EVOLUTION; TELEOST; ADAPTATION</t>
  </si>
  <si>
    <t>The dominant perciform suborder Notothenioidei is an excellent study group for assessing the evolution and functional importance of biochemical adaptations to temperature. The availability of notothenioid taxa in a wide range of latitudes (Antarctic and non-Antarctic) provides a tool to enable identification of physiological and biochemical characteristics gained and lost during evolutionary history. Non-Antarctic notothenioids belonging to the most basal families are a crucial source for understanding the evolution of hemoglobin in high-Antarctic cold-adapted fish. This paper focuses on the structure, function and evolution of the oxygen-transport system of Cottoperca gobio, a sub-Antarctic notothenioid fish of the family Bovichtidae, probably derived from ancestral species that evolved in the Antarctic region and later migrated to lower latitudes. Unlike most high-Antarctic notothenioids, but similar to many other acanthomorph teleosts, C. gobio has two major hemoglobins having the beta chain in common. The oxygen-binding equilibria and kinetics of the two hemoglobins have been measured. Hb1 and Hb2 show strong modulation of oxygen-binding equilibria and kinetics by heterotropic effectors, with marked Bohr and Root effects. In Hb1 and Hb2, oxygen affinity and subunit cooperativity are slightly higher than in most high-Antarctic notothenioid hemoglobins. Hb1 and Hb2 show similar rebinding rates, but also show significant dynamic differences that are likely to have functional consequences. Molecular dynamic simulations of C. gobio Hb1 were performed on the dimeric protein in order to obtain a better understanding of the molecular basis of structure/function relationships.</t>
  </si>
  <si>
    <t>[Giordano, Daniela; Grassi, Luigi; di Prisco, Guido; Verde, Cinzia] CNR, Inst Prot Biochem, I-80131 Naples, Italy; [Boechi, Leonardo; Marti, Marcelo A.; Estrin, Dario A.] Univ Buenos Aires, Fac Ciencias Exactas &amp; Nat, Dept Quim Inorgan Analt &amp; Quim Fis INQUIMAE CONCI, RA-1053 Buenos Aires, DF, Argentina; [Vergara, Alessandro; Mazzarella, Lelio] Univ Naples Federico 2, Dept Chem, Naples, Italy; [Samuni, Uri] CUNY, Queens Coll, Dept Chem &amp; Biochem, Flushing, NY USA; [Dantsker, David; Friedman, Joel M.] Albert Einstein Coll Med, Dept Physiol &amp; Biophys, Bronx, NY 10467 USA</t>
  </si>
  <si>
    <t>Consiglio Nazionale delle Ricerche (CNR); Istituto di Biochimica delle Proteine (IBP-CNR); University of Buenos Aires; University of Naples Federico II; City University of New York (CUNY) System; Queens College NY (CUNY); Yeshiva University; Albert Einstein College of Medicine</t>
  </si>
  <si>
    <t>Verde, C (corresponding author), CNR, Inst Prot Biochem, Via Pietro Castellino 111, I-80131 Naples, Italy.</t>
  </si>
  <si>
    <t>c.verde@ibp.cnr.it</t>
  </si>
  <si>
    <t>Giordano, Daniela/AFK-7772-2022; Vergara, Alessandro/C-4435-2013; Grassi, Luigi/E-5877-2011; Estrin, Dario/AAY-7549-2020</t>
  </si>
  <si>
    <t>Giordano, Daniela/0000-0002-8891-6245; Vergara, Alessandro/0000-0003-4135-0245; Grassi, Luigi/0000-0002-6308-7540; Marti, Marcelo/0000-0002-7911-9340; VERDE, Cinzia/0000-0001-6185-282X; Estrin, Dario/0000-0002-5006-7225</t>
  </si>
  <si>
    <t>National Science Foundation [0132032]; Italian National Programme for Antarctic Research.; Scientific Committee on Antarctic Research (SCAR) programme Evolution and Biodiversity in the Antarctic; CAREX (Coordination Action for Research Activities on Life in Extreme Environments); European Commission [FP7]; Ministero Italiano dell'Universita e della Ricerca Scientifica</t>
  </si>
  <si>
    <t>National Science Foundation(National Science Foundation (NSF)); Italian National Programme for Antarctic Research.; Scientific Committee on Antarctic Research (SCAR) programme Evolution and Biodiversity in the Antarctic; CAREX (Coordination Action for Research Activities on Life in Extreme Environments); European Commission(European Union (EU)European Commission Joint Research Centre); Ministero Italiano dell'Universita e della Ricerca Scientifica(Ministry of Education, Universities and Research (MIUR))</t>
  </si>
  <si>
    <t>We thank the captain, crew and personnel of Raytheon Polar Services aboard the research vessel ice-breaker Nathaniel B. Palmer for their excellent assistance during the ICEFISH cruise (2004) for collection of specimens. The ICEFISH cruise was supported by National Science Foundation grant OPP 0132032 to H. William Detrich (Chief Scientist, Northeastern University, Department of Biology, Boston, MA, USA). This study was financially supported by the Italian National Programme for Antarctic Research. The study falls within the framework of the Scientific Committee on Antarctic Research (SCAR) programme Evolution and Biodiversity in the Antarctic, and the project CAREX (Coordination Action for Research Activities on Life in Extreme Environments), European Commission FP7 call ENV.2007.2.2.1.6. This study is partially supported by the Ministero Italiano dell'Universita e della Ricerca Scientifica (PRIN 2007 'Struttura, funzione ed evoluzione di emoproteine da organismi marini artici ed antartici: meccanismi di adattamento al freddo e acquisizione di nuove funzioni'). A.V. acknowledges the University of Naples and the Albert Einstein College of Medicine for travel grants.</t>
  </si>
  <si>
    <t>1742-464X</t>
  </si>
  <si>
    <t>1742-4658</t>
  </si>
  <si>
    <t>FEBS J</t>
  </si>
  <si>
    <t>FEBS J.</t>
  </si>
  <si>
    <t>10.1111/j.1742-4658.2009.06954.x</t>
  </si>
  <si>
    <t>424DR</t>
  </si>
  <si>
    <t>WOS:000264546200013</t>
  </si>
  <si>
    <t>Peck, LS; Clark, MS; Morley, SA; Massey, A; Rossetti, H</t>
  </si>
  <si>
    <t>Peck, Lloyd S.; Clark, Melody S.; Morley, Simon A.; Massey, Alison; Rossetti, Helen</t>
  </si>
  <si>
    <t>Animal temperature limits and ecological relevance: effects of size, activity and rates of change</t>
  </si>
  <si>
    <t>FUNCTIONAL ECOLOGY</t>
  </si>
  <si>
    <t>acclimation; adaptation; climate change; macrophysiology; species range; model; resistance</t>
  </si>
  <si>
    <t>LARGE-SCALE PATTERNS; CLIMATE-CHANGE; ANTARCTIC BIVALVE; THERMAL LIMITS; DEPENDENT BIOGEOGRAPHY; PHYSIOLOGICAL-BASIS; BURROWING CAPACITY; EXTINCTION RISK; HEAT TOLERANCE; METABOLISM</t>
  </si>
  <si>
    <t>1. Climate change is affecting species distributions and will increasingly do so. However, current understanding of which individuals and species are most likely to survive and why is poor. Knowledge of assemblage or community level effects is limited and the balance of mechanisms that are important over different time-scales is poorly described. Laboratory experiments on marine animals predominantly employ rates of change 10-100 000 times faster than climate induced oceanic warming. To address this failure we investigated differences in individual and species abilities to tolerate warming, and also how rate of warming affected survival. 2. This study identifies community level effects of thermal biology by applying a multi-species, multi-trophic level approach to the analysis of temperature limits. 3. Within species analyses of 14 species from 6 phyla showed smaller individuals survived to higher temperatures than large animals when temperatures were raised acutely. If this trend continues at slower warming rates, the early loss of larger individuals has marked consequences at the population level as larger individuals form the major reproductive component. 4. Between species comparisons showed active species survived to higher temperatures than sessile or low activity groups. Thus active groups (e.g. predators) and juvenile or immature individuals should fare better in rapid warming scenarios. This would be expected to produce short-term ecological imbalances in warming events. 5. The rate of warming markedly affected temperature limits in a wide range of Antarctic marine species. Different species survived to temperatures of 8.3-17.6 degrees C when temperatures were raised by around 1 degrees C day(-1). However they only survived to temperatures between 4.0 degrees C and 12.3 degrees C when temperatures were raised by around 1-2 degrees C week(-1), and temperatures of only 1.0-6.0 degrees C were tolerated for acclimations over periods of months. 6. Current models predicting range changes of species in response to climate change are either correlative or mechanistic. Mechanistic models offer the potential to incorporate the ecophysiological adaptation and evolutionary processes which determine future responses and go beyond simple correlative approaches. These models depend on the incorporation of data on species capacities to resist and adapt to change. This study is an important step in the provision of such data from experimental manipulations.</t>
  </si>
  <si>
    <t>[Peck, Lloyd S.; Clark, Melody S.; Morley, Simon A.; Massey, Alison; Rossetti, Helen] British Antarctic Survey, NERC, Cambridge CB3 0ET, England</t>
  </si>
  <si>
    <t>Peck, LS (corresponding author), British Antarctic Survey, NERC, High Cross,Madingley Rd, Cambridge CB3 0ET, England.</t>
  </si>
  <si>
    <t>l.peck@bas.ac.uk</t>
  </si>
  <si>
    <t>Clark, Melody/D-7371-2014</t>
  </si>
  <si>
    <t>Clark, Melody/0000-0002-3442-3824</t>
  </si>
  <si>
    <t>NERC [dml011000, bas010015] Funding Source: UKRI; Natural Environment Research Council [bas010015, dml011000] Funding Source: researchfish</t>
  </si>
  <si>
    <t>0269-8463</t>
  </si>
  <si>
    <t>1365-2435</t>
  </si>
  <si>
    <t>FUNCT ECOL</t>
  </si>
  <si>
    <t>Funct. Ecol.</t>
  </si>
  <si>
    <t>10.1111/j.1365-2435.2008.01537.x</t>
  </si>
  <si>
    <t>418YH</t>
  </si>
  <si>
    <t>WOS:000264185500004</t>
  </si>
  <si>
    <t>Ishizaki, Y; Ohkushi, K; Ito, T; Kawahata, H</t>
  </si>
  <si>
    <t>Ishizaki, Yui; Ohkushi, Ken'ichi; Ito, Takashi; Kawahata, Hodaka</t>
  </si>
  <si>
    <t>Abrupt changes of intermediate-water oxygen in the northwestern Pacific during the last 27 kyr</t>
  </si>
  <si>
    <t>GEO-MARINE LETTERS</t>
  </si>
  <si>
    <t>NORTH PACIFIC; BOTTOM WATER; JAPAN SEA; OCEAN; CIRCULATION</t>
  </si>
  <si>
    <t>An oxygen minimum zone (OMZ) currently exists at intermediate water depths on the northern Japanese margin in the northwestern Pacific. The OMZ results largely from a combination of high surface-water productivity and poor ventilation of intermediate waters. We investigated the late Quaternary history (last 27 kyr) of the intensity of this OMZ using changes in benthic foraminiferal carbon isotopes and assemblages in a sediment core taken on the continental slope off Shimokita Peninsula, northern Japan, at a water depth of 975 m. The core was located well within the region of the present-day OMZ and high surface-water productivity. The benthic foraminiferal delta C-13 values, which indicate millennial-scale fluctuations of nutrient contents at the sediment-water interface, were 0.48aEuro degrees lower during the last glacial maximum (LGM) than during the late Holocene. These results do not indicate the formation of glacial intermediate waters of subarctic Pacific origin, but rather the large contribution of high-nutrient water masses such as the Antarctic Intermediate Water, implying that the regional circulation pattern during the LGM was similar to that of modern times. Benthic foraminiferal assemblages underwent major changes in response to changes in dissolved oxygen concentrations in ocean floor sediments. The lowest oxygen and highest nutrient conditions, marked by dysoxic taxa and negative values of benthic foraminiferal delta C-13, occurred during the Bolling/Allerod (B/A) and Pre-Boreal warming events. Dysoxic conditions in this region during these intervals were possibly caused by high surface-water productivity at times of reduced intermediate-water ventilation in the northwestern Pacific. The benthic assemblages show dysoxic events on approx. 100- to 200-year cycles during the B/A, reflecting centennial-scale productivity changes related to freshwater cycles and surface-water circulation in the North Pacific.</t>
  </si>
  <si>
    <t>[Ohkushi, Ken'ichi] Kobe Univ, Fac Human Dev, Nada Ku, Kobe, Hyogo 6578501, Japan; [Ishizaki, Yui] Tohoku Univ, Grad Sch Sci, Sendai, Miyagi 9808578, Japan; [Ito, Takashi] Ibaraki Univ, Coll Educ, Mito, Ibaraki 3108512, Japan; [Kawahata, Hodaka] Univ Tokyo, Grad Sch Frontier Sci, Nakano Ku, Tokyo 1648639, Japan; [Kawahata, Hodaka] Natl Inst Adv Ind Sci &amp; Technol, Inst Geol &amp; Geoinformat, Tsukuba, Ibaraki 3058567, Japan</t>
  </si>
  <si>
    <t>Kobe University; Tohoku University; Ibaraki University; University of Tokyo; National Institute of Advanced Industrial Science &amp; Technology (AIST)</t>
  </si>
  <si>
    <t>Ohkushi, K (corresponding author), Kobe Univ, Fac Human Dev, Nada Ku, 3-11 Tsurukabuto, Kobe, Hyogo 6578501, Japan.</t>
  </si>
  <si>
    <t>ohkushi@penguin.kobe-u.ac.jp</t>
  </si>
  <si>
    <t>Kawahata, Hodaka/F-9065-2016</t>
  </si>
  <si>
    <t>Kawahata, Hodaka/0000-0003-4236-7356</t>
  </si>
  <si>
    <t>Ministry of Education, Culture, Sports, Science and Technology of Japan; Japan Society for the Promotion of Science [1934014]; Grants-in-Aid for Scientific Research [20340146] Funding Source: KAKEN</t>
  </si>
  <si>
    <t>Ministry of Education, Culture, Sports, Science and Technology of Japan(Ministry of Education, Culture, Sports, Science and Technology, Japan (MEXT));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</si>
  <si>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I. Motoyama, H. Narita, A. Shibahara, K. Ikehara, T. Sato, H. Oda, H. Minami, A. Kuroyanagi, and M. Hoshiba for sample preparation, and K. Minoshima for isotope analyses. We also thank the captain, crew, and scientific staff of the IMAGES VII (2001) cruise aboard the R/V Marion Dufresne. This study was supported by the following research programs: the GCMAPS Program (Global Carbon Cycle and Related Mapping Based on Satellite Imagery), funded by the Ministry of Education, Culture, Sports, Science and Technology of Japan, and the Grant-inAid for Scientific Research 1934014, funded by the Japan Society for the Promotion of Science.</t>
  </si>
  <si>
    <t>0276-0460</t>
  </si>
  <si>
    <t>1432-1157</t>
  </si>
  <si>
    <t>GEO-MAR LETT</t>
  </si>
  <si>
    <t>Geo-Mar. Lett.</t>
  </si>
  <si>
    <t>10.1007/s00367-008-0128-0</t>
  </si>
  <si>
    <t>418XH</t>
  </si>
  <si>
    <t>WOS:000264182700005</t>
  </si>
  <si>
    <t>Jicha, BR; Scholl, DW; Rea, DK</t>
  </si>
  <si>
    <t>Jicha, Brian R.; Scholl, David W.; Rea, David K.</t>
  </si>
  <si>
    <t>Circum-Pacific arc flare-ups and global cooling near the Eocene-Oligocene boundary</t>
  </si>
  <si>
    <t>SLAB WINDOW; VOLCANISM; GLACIATION; ERUPTIONS; ONSET; AGE; MA</t>
  </si>
  <si>
    <t>Explosive eruptions from subaerial arc volcanoes can have significant environmental impact because of the discharge of ash and volatiles directly into the atmosphere and oceans. The link between climate cooling and voluminous volcanic eruptions has remained speculative due to a lack of supporting evidence. A compilation of 2814 K-Ar and 40Ar/39Ar age determinations from four circum- Pacific arcs indicates that periods of high volcanic output (i.e., flare-ups) have been episodic and, in some cases, synchronous. Peak periods and subsequent lulls in arc magmatism over the past 50 m.y. have occurred coeval with major fluctuations in global climate, including the Eocene-Oligocene transition, one of the most prominent global climate reorganizations in the Cenozoic. Hundreds of intermediate to silicic eruptions occurred during an extremely vigorous period of circum-Pacific volcanism beginning in the late Eocene, which likely led to the production of sulfur aerosols in the stratosphere and fertilization of surface waters of the Pacific Ocean. We provide a mechanism that may have been partly responsible for the climatic preconditioning that must have preceded and ultimately promoted Antarctic ice sheet growth similar to 34 m.y. ago.</t>
  </si>
  <si>
    <t>[Jicha, Brian R.] Univ Wisconsin, Dept Geol &amp; Geophys, Madison, WI 53706 USA; [Scholl, David W.] Univ Alaska, Dept Geol &amp; Geophys, Fairbanks, AK 99775 USA; [Rea, David K.] Univ Michigan, Dept Geol Sci, Ann Arbor, MI 48109 USA</t>
  </si>
  <si>
    <t>University of Wisconsin System; University of Wisconsin Madison; University of Alaska System; University of Alaska Fairbanks; University of Michigan System; University of Michigan</t>
  </si>
  <si>
    <t>Jicha, BR (corresponding author), Univ Wisconsin, Dept Geol &amp; Geophys, 1215 W Dayton St, Madison, WI 53706 USA.</t>
  </si>
  <si>
    <t>bjicha@geology.wisc.edu</t>
  </si>
  <si>
    <t>U.S. National Science Foundation [EAR-0337667, EAR-0738007]</t>
  </si>
  <si>
    <t>U.S. National Science Foundation(National Science Foundation (NSF))</t>
  </si>
  <si>
    <t>We thank Dave Sherrod for giving us access to his Cascade database. Reviews by Luca Ferrari, W. J. Collins, and Rebecca Lange were greatly appreciated. This work was supported by U. S. National Science Foundation grants EAR-0337667 and EAR-0738007.</t>
  </si>
  <si>
    <t>10.1130/G25392A.1</t>
  </si>
  <si>
    <t>427BB</t>
  </si>
  <si>
    <t>WOS:000264753700004</t>
  </si>
  <si>
    <t>Moreno, PI; Kaplan, MR; François, JP; Villa-Martínez, R; Moy, CM; Stern, CR; Kubik, PW</t>
  </si>
  <si>
    <t>Moreno, P. I.; Kaplan, M. R.; Francois, J. P.; Villa-Martinez, R.; Moy, C. M.; Stern, C. R.; Kubik, P. W.</t>
  </si>
  <si>
    <t>Renewed glacial activity during the Antarctic cold reversal and persistence of cold conditions until 11.5 ka in southwestern Patagonia</t>
  </si>
  <si>
    <t>SOUTHERNMOST SOUTH-AMERICA; YOUNGER DRYAS; PALEOCLIMATE; ZEALAND; CHILE</t>
  </si>
  <si>
    <t>Resolving the timing, direction, and magnitude of paleoclimate changes in the southern midlatitudes is a prerequisite for determining the mechanisms underlying abrupt and widespread climate changes between the hemispheres during the Last Glacial-Interglacial transition (LGIT). This issue is still debated, with previous studies producing apparently discordant findings. Here we show evidence for a glacial readvance and a cold episode between ca. 14.8 and 12.6 ka in southwestern Patagonia (50 degrees S), contemporaneous with the Antarctic cold reversal. This was followed by ice recession under cold but relatively milder conditions until ca. 11.5 ka, when paleovegetation records indicate the onset of warm interglacial conditions. These findings differ from those reported in northern Patagonia (similar to 40 degrees S), where deteriorating conditions before 13.5 ka were followed by the coldest part of the LGIT that lasted until ca. 11.5 ka. We interpret the apparent blend of Greenlandic and Antarctic cold phases as evidence for their co-occurrence in the southern middle latitudes in Patagonia, and hypothesize that the position of the Antarctic Polar Front modulated the strength of these cold events in regions to the north or south of it.</t>
  </si>
  <si>
    <t>[Moreno, P. I.; Francois, J. P.] Univ Chile, Dept Ecol Sci, Santiago, Chile; [Moreno, P. I.; Francois, J. P.] Univ Chile, Inst Ecol &amp; Biodivers, Santiago, Chile; [Kaplan, M. R.] Columbia Univ, Lamont Doherty Earth Observ, Palisades, NY 10964 USA; [Villa-Martinez, R.] Ctr Estudios Cuaternario, Punta Arenas, Chile; [Moy, C. M.] Stanford Univ, Dept Geol &amp; Environm Sci, Stanford, CA 94305 USA; [Stern, C. R.] Univ Colorado, Dept Geol Sci, Boulder, CO 80309 USA; [Kubik, P. W.] Swiss Fed Inst Technol, Paul Scherrer Inst, Zurich, Switzerland</t>
  </si>
  <si>
    <t>Universidad de Chile; Universidad de Chile; Columbia University; Stanford University; University of Colorado System; University of Colorado Boulder; Swiss Federal Institutes of Technology Domain; ETH Zurich; Paul Scherrer Institute</t>
  </si>
  <si>
    <t>Moreno, PI (corresponding author), Univ Chile, Dept Ecol Sci, Santiago, Chile.</t>
  </si>
  <si>
    <t>Villa, Rodrigo/F-5737-2014; Kaplan, Michael R/D-4720-2011; Moreno, Patricio/D-2317-2012</t>
  </si>
  <si>
    <t>Villa, Rodrigo/0000-0001-6041-4393; Francois, Jean-Pierre/0000-0001-7616-0762; Moreno, Patricio/0000-0002-1333-6238; Moy, Christopher/0000-0002-2177-5265</t>
  </si>
  <si>
    <t>Institute of Ecology and Biodiversity [P05-002, PFB-23]; Fondo Nacional de Desarrollo Cientifico y Tecnologico (Fondecyt) [1070991, 1040204]; Comision Nacional de Investigacion Cientifica y Tecnologica (CONICYT) [ARTG04]; Royal Society of London, and the Comer Science and Educational Foundation; U. S. Department of Energy [W-7405-Eng-48]</t>
  </si>
  <si>
    <t>Institute of Ecology and Biodiversity; Fondo Nacional de Desarrollo Cientifico y Tecnologico (Fondecyt)(Comision Nacional de Investigacion Cientifica y Tecnologica (CONICYT)CONICYT FONDECYT); Comision Nacional de Investigacion Cientifica y Tecnologica (CONICYT)(Comision Nacional de Investigacion Cientifica y Tecnologica (CONICYT)); Royal Society of London, and the Comer Science and Educational Foundation(Royal Society); U. S. Department of Energy(United States Department of Energy (DOE))</t>
  </si>
  <si>
    <t>We thank E. Sagredo for field logistics and drafting Figure 1, J. Schaefer for laboratory facilities, and B. Goehring for assisting with probability plots. We thank Ejercito de Chile for support during field work. We acknowledge support from the Institute of Ecology and Biodiversity P05-002, contract PFB-23, Fondo Nacional de Desarrollo Cientifico y Tecnologico (Fondecyt) grant # 1070991 and grant # 1040204, Comision Nacional de Investigacion Cientifica y Tecnologica (CONICYT) grant ARTG04, the Royal Society of London, and the Comer Science and Educational Foundation. This is Lamont-Doherty Earth Observatory contribution 7217. Radiocarbon analyses were performed under the auspices of the U. S. Department of Energy by the University of California, Lawrence Livermore National Laboratory, under Contract No. W-7405-Eng-48.</t>
  </si>
  <si>
    <t>10.1130/G25399A.1</t>
  </si>
  <si>
    <t>WOS:000264753700022</t>
  </si>
  <si>
    <t>Vovk, V; Egorova, L</t>
  </si>
  <si>
    <t>Vovk, V. Ya.; Egorova, L. V.</t>
  </si>
  <si>
    <t>Effect of geomagnetic and volcanic activity on the El Nino and La Nina phenomena</t>
  </si>
  <si>
    <t>GEOMAGNETISM AND AERONOMY</t>
  </si>
  <si>
    <t>SOUTHERN-OSCILLATION; TROPICAL PACIFIC; SOLAR-ACTIVITY; TEMPERATURE; HEMISPHERE; ANOMALIES; PRESSURE; WARM</t>
  </si>
  <si>
    <t>The monthly values of the southern atmospheric oscillation indices (SOI), the corresponding values of the Nino-3.4 index, the data on the onsets of intense volcanic eruptions from 1870 to 2002, the daily values of the Ap and AE indices and the IMF B (z) component, and the data on cloudiness and wind characteristics at 14 Antarctic stations have been considered. The beginning of the warm El Nino current is observed after an increase in the amplitude of the Ap magnetic indices, which continues for more than five months. The beginning of the cold period of the La Nina southern atmospheric oscillation is as a rule related to a decrease in Ap. A change in atmospheric transparency caused by volcanic eruptions is often followed by the beginning of the cold period of the southern atmospheric oscillation (ENSO). A change in the wind system in the Antarctic Regions, related to a change in the temperature balance caused by variations in the solar wind parameters in the winter season, promotes a short-term disturbance of the circumpolar vortex and the beginning of the El Nino warm period.</t>
  </si>
  <si>
    <t>[Vovk, V. Ya.; Egorova, L. V.] Russian Acad Sci, GU Arct &amp; Antarct Res Inst, St Petersburg 199397, Russia</t>
  </si>
  <si>
    <t>Russian Academy of Sciences</t>
  </si>
  <si>
    <t>Vovk, V (corresponding author), Russian Acad Sci, GU Arct &amp; Antarct Res Inst, Ul Beringa 38, St Petersburg 199397, Russia.</t>
  </si>
  <si>
    <t>eglar@aari.nw.ru</t>
  </si>
  <si>
    <t>0016-7932</t>
  </si>
  <si>
    <t>1555-645X</t>
  </si>
  <si>
    <t>GEOMAGN AERONOMY+</t>
  </si>
  <si>
    <t>Geomagn. Aeron.</t>
  </si>
  <si>
    <t>10.1134/S0016793209020170</t>
  </si>
  <si>
    <t>430VZ</t>
  </si>
  <si>
    <t>WOS:000265019600017</t>
  </si>
  <si>
    <t>Haywood, AM; Chandler, MA; Valdes, PJ; Salzmann, U; Lunt, DJ; Dowsett, HJ</t>
  </si>
  <si>
    <t>Haywood, Alan M.; Chandler, Mark A.; Valdes, Paul J.; Salzmann, Ulrich; Lunt, Daniel J.; Dowsett, Harry J.</t>
  </si>
  <si>
    <t>Comparison of mid-Pliocene climate predictions produced by the HadAM3 and GCMAM3 General Circulation Models</t>
  </si>
  <si>
    <t>GLOBAL AND PLANETARY CHANGE</t>
  </si>
  <si>
    <t>Pliocene; GCM; intercomparison; BIOME 4; PMIP; Plio-MIP</t>
  </si>
  <si>
    <t>ATMOSPHERIC SIMULATIONS; GASEOUS ABSORPTION; WATER-VAPOR; RESOLUTION; IMPACT; PALEOCLIMATE; SENSITIVITY; SCHEME; RECONSTRUCTION; REPRESENTATION</t>
  </si>
  <si>
    <t>The mid-Pliocene warm period (ca. 3 to 3.3 million years ago) has become an important interval of time for palaeoclimate modelling exercises, with a large number of studies published during the last decade. However, there has been no attempt to assess the degree of model dependency of the results obtained. Here we present an initial comparison of mid-Pliocene climatologies produced by the Goddard Institute for Space Studies and Hadley Centre for Climate Prediction and Research atmosphere-only General Circulation Models (GCMAM3 and HadAM3). Whilst both models are consistent in the simulation of broad-scale differences in mid-Pliocene surface air temperature and total precipitation rates, significant variation is noted on regional and local scales. There are also significant differences in the model predictions of total cloud cover. A terrestrial data/model comparison, facilitated by the BIOME 4 model and a new data set of Piacenzian Stage land cover [Salzmann, U., Haywood, A.M., Lunt, D.J., Valdes, P.J., Hill, DJ., (2008). A new global biome reconstruction and data model comparison for the Middle Pliocene. Global Ecology and Biogeography 17, 432-447, doi:10.1111/j.1466-8238.2007.00381.x] and combined with the use of Kappa statistics, indicates that HadAM3-based biome predictions provide a closer fit to proxy data in the mid to high-latitudes. However, GCMAM3-based biomes in the tropics provide the closest fit to proxy data. (c) 2008 Elsevier B.V. All rights reserved.</t>
  </si>
  <si>
    <t>[Haywood, Alan M.] Univ Leeds, Sch Earth &amp; Environm, Leeds LS2 9JT, W Yorkshire, England; [Chandler, Mark A.] Columbia Univ, Ctr Climate Syst Res, New York, NY 10025 USA; [Valdes, Paul J.; Lunt, Daniel J.] Univ Bristol, Sch Geog Sci, Bristol BS8 1SS, Avon, England; [Salzmann, Ulrich; Lunt, Daniel J.] British Antarctic Survey, Geol Sci Div, Cambridge CB3 0ET, Cambs, England; [Dowsett, Harry J.] US Geol Survey, Natl Ctr 926A, Reston, VA 20192 USA</t>
  </si>
  <si>
    <t>University of Leeds; Columbia University; University of Bristol; UK Research &amp; Innovation (UKRI); Natural Environment Research Council (NERC); NERC British Antarctic Survey; United States Department of the Interior; United States Geological Survey</t>
  </si>
  <si>
    <t>Haywood, AM (corresponding author), Univ Leeds, Sch Earth &amp; Environm, Leeds LS2 9JT, W Yorkshire, England.</t>
  </si>
  <si>
    <t>earamh@leeds.ac.uk</t>
  </si>
  <si>
    <t>Salzmann, Ulrich/H-9929-2017; Valdes, Paul/T-2004-2019; Valdes, Paul J/C-4129-2013; Lunt, Daniel/G-9451-2011</t>
  </si>
  <si>
    <t>Salzmann, Ulrich/0000-0001-5598-5327; Valdes, Paul/0000-0002-1902-3283; Dowsett, Harry/0000-0003-1983-7524; Lunt, Daniel/0000-0003-3585-6928</t>
  </si>
  <si>
    <t>National Science Foundation (US); Natural Environment Research Council (UK); NERC; British Antarctic Survey core programme GEACEP; PRISM Project; NERC [bas010019] Funding Source: UKRI; Natural Environment Research Council [bas010019] Funding Source: researchfish</t>
  </si>
  <si>
    <t>National Science Foundation (US)(National Science Foundation (NSF)); Natural Environment Research Council (UK)(UK Research &amp; Innovation (UKRI)Natural Environment Research Council (NERC)); NERC(UK Research &amp; Innovation (UKRI)Natural Environment Research Council (NERC)); British Antarctic Survey core programme GEACEP; PRISM Project; NERC(UK Research &amp; Innovation (UKRI)Natural Environment Research Council (NERC)); Natural Environment Research Council(UK Research &amp; Innovation (UKRI)Natural Environment Research Council (NERC))</t>
  </si>
  <si>
    <t>The authors would like to acknowledge the National Science Foundation (US) and the Natural Environment Research Council (UK) for financial support. This work is product of the PRISM Project and the NERC funded British Antarctic Survey core programme GEACEP (Greenhouse to Ice-house Evolution of the Antarctic Cryosphere and Palaeoenvironment). The work was carried out under the umbrella of the Pliocene Climate Modelling Intercomparison Project (Plio-MIP) which is part of the international Palaeoclimate Modelling Intercomparison Project (PMIP).</t>
  </si>
  <si>
    <t>0921-8181</t>
  </si>
  <si>
    <t>1872-6364</t>
  </si>
  <si>
    <t>GLOBAL PLANET CHANGE</t>
  </si>
  <si>
    <t>Glob. Planet. Change</t>
  </si>
  <si>
    <t>10.1016/j.gloplacha.2008.12.014</t>
  </si>
  <si>
    <t>441YH</t>
  </si>
  <si>
    <t>WOS:000265806000004</t>
  </si>
  <si>
    <t>Poisbleau, M; Demongin, L; Trouve, C; Quillfeldt, P</t>
  </si>
  <si>
    <t>Poisbleau, Maud; Demongin, Laurent; Trouve, Colette; Quillfeldt, Petra</t>
  </si>
  <si>
    <t>Maternal deposition of yolk corticosterone in clutches of southern rockhopper penguins (Eudyptes chrysocome chrysocome)</t>
  </si>
  <si>
    <t>HORMONES AND BEHAVIOR</t>
  </si>
  <si>
    <t>Yolk corticosterone; Maternal investment; Disturbance; Reversed hatching asynchrony; Laying sequence; Laying date; Southern rockhopper penguins (Eudyptes chrysocome chrysocome)</t>
  </si>
  <si>
    <t>OFFSPRING SEX-RATIO; EMBRYONIC CORTICOSTERONE; EGG-YOLK; HORMONES; EXPOSURE; GROWTH; VARY</t>
  </si>
  <si>
    <t>High corticosterone levels can have deleterious effects in developing avian embryos and chicks. Therefore, it may be adaptive for avian mothers to reduce corticosterone transfer to their eggs. However, until now, data about the active or/and passive role of mothers in corticosterone transfer to eggs are inconclusive. Here, we study maternal investment into A- and B-eggs of southern rockhopper penguins (Eudyptes chrysocome chrysocome). This species exhibits reversed hatching asynchrony and provides a unique model to test whether there is a strategic investment in corticosterone favoring the B-chick, which is most likely to survive. We found that rockhopper penguins had the highest yolk concentrations of any wild bird species studied so far. Contrary to our expectations, B-eggs had more yolk corticosterone both in concentration and in quantity than A-eggs, independently of the laying period and the level of human disturbance. Additionally, females deposited more yolk corticosterone in their eggs when they were disturbed. However, this disturbance effect was particularly strong for A-eggs and for late-laid eggs. The present data support neither the predictions for an active regulation nor for a passive deposition, and hormone deposition mechanisms still need to be explored. The adaptive value, if any, of high yolk corticosterone is presently unknown. (C) 2009 Elsevier Inc. All rights reserved.</t>
  </si>
  <si>
    <t>[Poisbleau, Maud; Demongin, Laurent; Quillfeldt, Petra] Max Planck Inst Ornithol, D-78315 Radolfzell am Bodensee, Germany; [Trouve, Colette] CNRS, UPR 1934, Ctr Etud Biol Chize, F-79360 Beauvoir Sur Niort, France</t>
  </si>
  <si>
    <t>Max Planck Society; Centre National de la Recherche Scientifique (CNRS)</t>
  </si>
  <si>
    <t>Poisbleau, M (corresponding author), Max Planck Inst Ornithol, Schlossallee 2, D-78315 Radolfzell am Bodensee, Germany.</t>
  </si>
  <si>
    <t>poisbleau@orn.mpg.de</t>
  </si>
  <si>
    <t>Quillfeldt, Petra/A-9549-2009; Poisbleau, Maud/B-9968-2014</t>
  </si>
  <si>
    <t>Quillfeldt, Petra/0000-0002-4450-8688;</t>
  </si>
  <si>
    <t>Deutsche Forschungsgemeinschaft DFG [Qu 148/1-ff]; Falkland Islands Environmental Studies Budget</t>
  </si>
  <si>
    <t>Deutsche Forschungsgemeinschaft DFG(German Research Foundation (DFG)); Falkland Islands Environmental Studies Budget</t>
  </si>
  <si>
    <t>We are grateful to the New Island Conservation Trust for the permission to work on the island and for logistic support. We wish to thank Ian, Maria and Georgina Strange, Dan Birch, Riek van Noordwijk, Miguel Lecoq and Juan Masello for their support and advice during the field season. Charles-Andre Bost, Leopold Denonfoux, Olivier Chastel and Paulo Catry provided essential advice on methods. Thanks also to Helen Otley, Falklands Islands Government and British Antarctic Survey for their logistic help. We also greatly appreciate the skillful assistance in corticosterone assays of Stephanie Dano, Acteline Berger and Andre Lacroix. The manuscript benefited greatly from the critical comments by Frederic Angelier, David Carslake, Anne Etgen ind two anonymous reviewers. This study was funded by a grant provided by the Deutsche Forschungsgemeinschaft DFG (Qu 148/1-ff), with additional support by a Falkland Islands Environmental Studies Budget grant.</t>
  </si>
  <si>
    <t>0018-506X</t>
  </si>
  <si>
    <t>1095-6867</t>
  </si>
  <si>
    <t>HORM BEHAV</t>
  </si>
  <si>
    <t>Horm. Behav.</t>
  </si>
  <si>
    <t>10.1016/j.yhbeh.2009.02.002</t>
  </si>
  <si>
    <t>Behavioral Sciences; Endocrinology &amp; Metabolism</t>
  </si>
  <si>
    <t>435KH</t>
  </si>
  <si>
    <t>WOS:000265342300007</t>
  </si>
  <si>
    <t>Braun, M; Humbert, A</t>
  </si>
  <si>
    <t>Braun, Matthias; Humbert, Angelika</t>
  </si>
  <si>
    <t>Recent Retreat of Wilkins Ice Shelf Reveals New Insights in Ice Shelf Breakup Mechanisms</t>
  </si>
  <si>
    <t>IEEE GEOSCIENCE AND REMOTE SENSING LETTERS</t>
  </si>
  <si>
    <t>Antarctic Peninsula; breakup; ice shelf; mechanism; multisensor; remote sensing; synthetic aperture radar (SAR)</t>
  </si>
  <si>
    <t>The disintegration of various ice shelves on the Antarctic Peninsula has demonstrated their vulnerability and impacts on tributary glaciers. A satellite image of Wilkins Ice Shelf (WIS) from July of 2007 reveals the formation of a large new double fracture, accompanied by numerous small fractures. We show that bending stresses induced by buoyancy forces were responsible for fracture formation. On February 28-29, 2008, an area of about 425 km(2) broke up at a narrow connection of the WIS to one of its confining islands. In contrast to Larsen B Ice Shelf, melt ponds that drain into crevasses played no role in this breakup process. A further breakup of 160 km 2 in the same area occurred on May 30-31, 2008 and documented that breakup can occur during austral winter. Radar images reveal a frozen surface, which demonstrates that in this breakup, surface melt water did not play a role. We conclude that ice shelves with strong thickness contrasts carry potential for disintegration. The fact that the WIS experienced two breakup events under two widely contrasting surface conditions (one during the melt season and one during winter) reveals that there may be several reasons for the disintegration of ice shelves that operate under differing circumstances.</t>
  </si>
  <si>
    <t>[Braun, Matthias] Univ Bonn, Ctr Remote Sensing Land Surfaces, D-53113 Bonn, Germany; [Humbert, Angelika] Univ Munster, Inst Geophys, D-48149 Munster, Germany</t>
  </si>
  <si>
    <t>University of Bonn; University of Munster</t>
  </si>
  <si>
    <t>Braun, M (corresponding author), Univ Bonn, Ctr Remote Sensing Land Surfaces, D-53113 Bonn, Germany.</t>
  </si>
  <si>
    <t>matthias.braun@uni-bonn.de; angelika.humbert@uni-muenster.de</t>
  </si>
  <si>
    <t>Braun, Matthias H/S-4693-2016; Braun, Matthias/A-4968-2009</t>
  </si>
  <si>
    <t>Braun, Matthias/0000-0001-5169-1567; Humbert, Angelika/0000-0002-0244-8760</t>
  </si>
  <si>
    <t>IEEE-INST ELECTRICAL ELECTRONICS ENGINEERS INC</t>
  </si>
  <si>
    <t>PISCATAWAY</t>
  </si>
  <si>
    <t>445 HOES LANE, PISCATAWAY, NJ 08855-4141 USA</t>
  </si>
  <si>
    <t>1545-598X</t>
  </si>
  <si>
    <t>1558-0571</t>
  </si>
  <si>
    <t>IEEE GEOSCI REMOTE S</t>
  </si>
  <si>
    <t>IEEE Geosci. Remote Sens. Lett.</t>
  </si>
  <si>
    <t>10.1109/LGRS.2008.2011925</t>
  </si>
  <si>
    <t>Geochemistry &amp; Geophysics; Engineering, Electrical &amp; Electronic; Remote Sensing; Imaging Science &amp; Photographic Technology</t>
  </si>
  <si>
    <t>Geochemistry &amp; Geophysics; Engineering; Remote Sensing; Imaging Science &amp; Photographic Technology</t>
  </si>
  <si>
    <t>435XG</t>
  </si>
  <si>
    <t>WOS:000265376000018</t>
  </si>
  <si>
    <t>Wallis, MK; Wickramasinghe, JT; Wickramasinghe, NC</t>
  </si>
  <si>
    <t>Wallis, M. K.; Wickramasinghe, J. T.; Wickramasinghe, N. C.</t>
  </si>
  <si>
    <t>Mars polar cap: a habitat for elementary life</t>
  </si>
  <si>
    <t>INTERNATIONAL JOURNAL OF ASTROBIOLOGY</t>
  </si>
  <si>
    <t>Mars; polar habitat; ice psychrophiles; sub-crustal ice; microbial life</t>
  </si>
  <si>
    <t>LAYERED DEPOSITS; ICE</t>
  </si>
  <si>
    <t>Ices in the Martian polar caps are potential habitats for various species of microorganisms. Salts in the ice and biological anti-freeze polymers maintain liquid in cracks in the ices far below 0 C. possibly down to the mean 220-240 K. Sub-surface microbial life is shielded from ultraviolet (UV) radiation, but Could potentially be activated Oil south-facing Slopes under the midday, midsummer Sun. Such life Would be limited by low levels of vapour, little transport of nutrients. low light levels below a protective dirt-crust. frost accumulation at night and in shadows, and little if any active translocation of organisms. As in the Antarctic and in permafrost, movement to new habitats depends on geo-climatic changes, which for Mars's north polar cap occur on a 50 000 year scale, except for rare meteorite impacts.</t>
  </si>
  <si>
    <t>[Wallis, M. K.; Wickramasinghe, J. T.; Wickramasinghe, N. C.] Cardiff Univ, Cardiff Ctr Astrobiol, Cardiff, S Glam, Wales</t>
  </si>
  <si>
    <t>Cardiff University</t>
  </si>
  <si>
    <t>Wallis, MK (corresponding author), Cardiff Univ, Cardiff Ctr Astrobiol, Cardiff, S Glam, Wales.</t>
  </si>
  <si>
    <t>wallismk@cf.ac.uk</t>
  </si>
  <si>
    <t>1473-5504</t>
  </si>
  <si>
    <t>1475-3006</t>
  </si>
  <si>
    <t>INT J ASTROBIOL</t>
  </si>
  <si>
    <t>Int. J. Astrobiol.</t>
  </si>
  <si>
    <t>10.1017/S1473550409004467</t>
  </si>
  <si>
    <t>Astronomy &amp; Astrophysics; Biology; Geosciences, Multidisciplinary</t>
  </si>
  <si>
    <t>Astronomy &amp; Astrophysics; Life Sciences &amp; Biomedicine - Other Topics; Geology</t>
  </si>
  <si>
    <t>541AP</t>
  </si>
  <si>
    <t>WOS:000273383300008</t>
  </si>
  <si>
    <t>Williams, AAJ; Stone, RC</t>
  </si>
  <si>
    <t>Williams, Allyson A. J.; Stone, Roger C.</t>
  </si>
  <si>
    <t>An assessment of relationships between the Australian subtropical ridge, rainfall variability, and high-latitude circulation patterns</t>
  </si>
  <si>
    <t>subtropical ridge; SAM; solar; Australia; rainfall</t>
  </si>
  <si>
    <t>QUASI-BIENNIAL OSCILLATION; SOUTHERN ANNULAR MODE; ANTARCTIC OSCILLATION; SOLAR-CYCLE; HEMISPHERE; STRATOSPHERE; CLIMATE; TROPOSPHERE; TRENDS; INDEX</t>
  </si>
  <si>
    <t>The monthly anomaly of the latitude of the subtropical ridge over eastern Australia (L) is a major regulator of synoptic-scale influences on Australia's climate. Three datasets have been used to calculate L: observed Australia coastal mean sea level pressure (MSLP), Hadley and NCEP Reanalysis datasets. The choice of datasets used in this study appears to strongly influence results. Changes in the Southern Hemisphere Hadley cell and meridional circulation changes are associated with changes in L and it is shown that (1) L has statistically and physically significant relationships with seasonal rainfall in Australia; (2) the Antarctic Oscillation Index (AOI) has statistically significant relationships with Australian seasonal rainfall; and (3) L and Southern Annular Mode (SAM) are significantly related. Longer-term latitudinal shifts in L are also discussed. Copyright (C) 2008 Royal Meteorological Society</t>
  </si>
  <si>
    <t>[Williams, Allyson A. J.] Queensland Climate Change Ctr Excellence, Nambour, Qld 4560, Australia; [Stone, Roger C.] Univ So Queensland, Australian Ctr Sustainable Catchments, Toowoomba, Qld 4350, Australia</t>
  </si>
  <si>
    <t>University of Southern Queensland</t>
  </si>
  <si>
    <t>Williams, AAJ (corresponding author), Queensland Climate Change Ctr Excellence, Nambour, Qld 4560, Australia.</t>
  </si>
  <si>
    <t>Allyson.Williams@climatechange.qld.gov.au</t>
  </si>
  <si>
    <t>Stone, Roger/0000-0003-3931-2661; Williams, Allyson/0000-0003-3076-4274</t>
  </si>
  <si>
    <t>10.1002/joc.1732</t>
  </si>
  <si>
    <t>434BV</t>
  </si>
  <si>
    <t>WOS:000265251100006</t>
  </si>
  <si>
    <t>Reuther, CD; Moser, E</t>
  </si>
  <si>
    <t>Reuther, Claus-Dieter; Moser, Elmar</t>
  </si>
  <si>
    <t>Orientation and nature of active crustal stresses determined by electromagnetic measurements in the Patagonian segment of the South America Plate</t>
  </si>
  <si>
    <t>INTERNATIONAL JOURNAL OF EARTH SCIENCES</t>
  </si>
  <si>
    <t>Electromagnetic measurements; Microcracks; Active crustal stresses; Plate-tectonics; Southern Andes; Patagonia</t>
  </si>
  <si>
    <t>OFQUI FAULT ZONE; BOUNDARY FORCES; CHILE; SUBDUCTION; DEFORMATION; TECTONICS; ANDES; ARC; DISPLACEMENT; MICROCRACKS</t>
  </si>
  <si>
    <t>Based on electromagnetic measurements we determined the current stress directions in the uppermost continental crust of Patagonia between the active plate margin of the Chilean Pacific coast and the Argentinean passive Atlantic margin. Regional variations of the observed stress pattern are giving details onto the acting tectonic processes. We distinguish five regional stress domains with different prevailing horizontal stress directions (S-H): 1. Southern Coastal Cordillera and Longitudinal Valley (S-H = SSW-NNE), 2. Chilo, Island (S-H = SW-NE), 3. Northern Patagonian Andes (S-H = WSW-ENE), 4. Argentinean Pampa and Atlantic margin (S-H = WNW-ESE) and 5. Southern Patagonian Andes (S-H = WNW-ESE). These stress regimes can be related to the geometry of the subducting Nazca- and Antarctic plates, to the transform fault between the South America and Scotia plates and to passive margin processes along the Atlantic coast. Absolute plate motion and rapid relative plate convergence control the subduction geometry and therefore the stress directions along the convergent margin of the South America Plate and the structural style within and landward of the Magmatic Arc. The knowledge of current local stress directions permits the characterisation of potential fault kinematics. By in situ measuring of electromagnetic emissions from rocks we determined the maximum horizontal stress orientation in the uppermost crust using a new geophysical tool. Our investigations on the orientation of the stress regimes also allow conclusions about the causative forces of either tectonic or gravitational origin in this part of the South-America Plate.</t>
  </si>
  <si>
    <t>[Reuther, Claus-Dieter; Moser, Elmar] Inst Geol, D-20146 Hamburg, Germany</t>
  </si>
  <si>
    <t>Reuther, CD (corresponding author), Inst Geol, Bundesstr 55, D-20146 Hamburg, Germany.</t>
  </si>
  <si>
    <t>reuther@geowiss.uni-hamburg.de</t>
  </si>
  <si>
    <t>German Bundesministerium fur Bildung und Forschung</t>
  </si>
  <si>
    <t>German Bundesministerium fur Bildung und Forschung(Federal Ministry of Education &amp; Research (BMBF))</t>
  </si>
  <si>
    <t>We thank Dr. Hennes Obermeyer, Gesellschaft fur Erkundung und Ortung, Karlsruhe (Germany) who provided us with two CERESKOP-Instruments for detecting natural electromagnetic emissions. The field trip to Patagonia was financed within the TIPTEQ Project by the German Bundesministerium fur Bildung und Forschung (BMBF). We thank our Chilean friends and colleagues Prof. Dr. Arturo Quinzio, Prof. Ramiro Bonilla and Gian Carlo D'Ottone (Universidad de Concepcion, Chile) for the logistic support of the field-campaign and Prof. Dr. Torsten Dahm (Geophysics, University of Hamburg) for critical discussion of the manuscript.</t>
  </si>
  <si>
    <t>1437-3254</t>
  </si>
  <si>
    <t>1437-3262</t>
  </si>
  <si>
    <t>INT J EARTH SCI</t>
  </si>
  <si>
    <t>Int. J. Earth Sci.</t>
  </si>
  <si>
    <t>10.1007/s00531-007-0273-0</t>
  </si>
  <si>
    <t>423FQ</t>
  </si>
  <si>
    <t>WOS:000264482600007</t>
  </si>
  <si>
    <t>Shearer, WT; Ochs, HD; Lee, BN; Cohen, EN; Reuben, JM; Cheng, I; Thompson, B; Butel, JS; Blancher, A; Abbal, M; Aviles, H; Sonnenfeld, G</t>
  </si>
  <si>
    <t>Shearer, William T.; Ochs, Hans D.; Lee, Bang-Ning; Cohen, Evan N.; Reuben, James M.; Cheng, Irene; Thompson, Bruce; Butel, Janet S.; Blancher, Antoine; Abbal, Michel; Aviles, Hernan; Sonnenfeld, Gerald</t>
  </si>
  <si>
    <t>Immune responses in adult female volunteers during the bed-rest model of spaceflight: Antibodies and cytokines</t>
  </si>
  <si>
    <t>JOURNAL OF ALLERGY AND CLINICAL IMMUNOLOGY</t>
  </si>
  <si>
    <t>Head-down tilt; bed rest; phi X-174 immunization; IgG class switching; spaceflight model; proinflammatory and anti-inflammatory cytokines; female study subjects</t>
  </si>
  <si>
    <t>CELL-MEDIATED-IMMUNITY; HEAD-DOWN TILT; ANTARCTIC WINTER; SPACE-FLIGHT; EXHAUSTIVE EXERCISE; VIRUS; WOMEN; MEN</t>
  </si>
  <si>
    <t>Background: It is unknown whether a prolonged period of bed rest will affect human immune responses, particularly in female subjects. Objective: We sought to measure immune responses in adult female subjects exposed to prolonged bed rest. Methods: Adult (25-40 years) female volunteers (n = 24) were maintained in a supine (6 degrees tilt) head-down bed-rest (HDBR) position for 60 days: 8 with HDBR only, 8 with HDBR and regular muscular exercise, and 8 with HDBR and dietary protein supplementation. Subjects were immunized with bacteriophage phi X-174. Antibody production and plasma cytokine levels were determined. Results: The rate of primary antibody production of the HDBR plus exercise group increased faster (P = .01) and to a higher level versus that of the HDBR-only group (P = .03) and that of the HDBR plus diet group (trend P = .08). The rates of secondary antibody production between the 3 groups were similar, but the level of antibody in the HDBR plus exercise group remained higher versus that in the HDBR-only group (P = .03). Both the HDBR (P = .001) and HDBR plus diet (P = .02) groups had time-related progressive increases in TNF-alpha receptor levels, but the HDBR plus exercise group remained at baseline. The HDBR plus exercise group experienced an acute increase in IL-1 receptor antagonist levels versus the HDBR (P = .02) and the HDBR plus diet (P = .02) groups, with similar increases in RANTES levels. Conclusions: The exercise countermeasure accelerated primary antibody production and increased antibody levels to bacteriophage phi X-174 and also opposed the potentially harmful effects of increased TNF-a levels caused by prolonged bed rest, possibly by activating the anti-inflammatory cytokine IL-1 receptor antagonist and the chemotactic factor RANTES. (J Allergy Clin Immunol 2009;123:900-5.)</t>
  </si>
  <si>
    <t>[Shearer, William T.] Texas Childrens Hosp, Baylor Coll Med, Dept Pediat &amp; Immunol, Houston, TX 77030 USA; [Ochs, Hans D.] Univ Washington, Childrens Hosp &amp; Reg Med Ctr, Sch Med, Dept Pediat, Seattle, WA 98195 USA; [Lee, Bang-Ning; Cohen, Evan N.; Reuben, James M.] Univ Texas MD Anderson Canc Ctr, Dept Hematopathol, Houston, TX 77030 USA; [Cheng, Irene; Thompson, Bruce] Clin Trials &amp; Surveys Corp, Baltimore, MD USA; [Butel, Janet S.] Baylor Coll Med, Dept Mol Virol &amp; Microbiol, Houston, TX 77030 USA; [Blancher, Antoine; Abbal, Michel] Univ Toulouse 3, Fac Med Rangueil, Immunol Lab, F-31062 Toulouse, France; [Aviles, Hernan; Sonnenfeld, Gerald] SUNY Binghamton, Dept Biol Sci, Binghamton, NY USA</t>
  </si>
  <si>
    <t>Baylor College of Medicine; Seattle Children's Hospital; University of Washington; University of Washington Seattle; University of Texas System; UTMD Anderson Cancer Center; Baylor College of Medicine; Universite de Toulouse; Universite Toulouse III - Paul Sabatier; State University of New York (SUNY) System; State University of New York (SUNY) Binghamton</t>
  </si>
  <si>
    <t>Shearer, WT (corresponding author), Texas Childrens Hosp, Baylor Coll Med, Dept Pediat &amp; Immunol, 6621 Fannin St,MC FC330-01, Houston, TX 77030 USA.</t>
  </si>
  <si>
    <t>wtsheare@texaschildrenshospital.org</t>
  </si>
  <si>
    <t>Cohen, Evan N/AFP-3323-2022</t>
  </si>
  <si>
    <t>Cohen, Evan N/0000-0003-4192-9644; Thompson, Bruce/0000-0002-5885-0652; Butel, Janet/0000-0002-6876-3245; Shearer, William/0000-0002-2483-2130</t>
  </si>
  <si>
    <t>National Aeronautics and Space Administration [NCC 9-58]</t>
  </si>
  <si>
    <t>National Aeronautics and Space Administration(National Aeronautics &amp; Space Administration (NASA))</t>
  </si>
  <si>
    <t>Supported by the National Aeronautics and Space Administration through NASA Cooperative Agreement NCC 9-58 with the National Space Biomedical Research Institute.</t>
  </si>
  <si>
    <t>MOSBY-ELSEVIER</t>
  </si>
  <si>
    <t>360 PARK AVENUE SOUTH, NEW YORK, NY 10010-1710 USA</t>
  </si>
  <si>
    <t>0091-6749</t>
  </si>
  <si>
    <t>1097-6825</t>
  </si>
  <si>
    <t>J ALLERGY CLIN IMMUN</t>
  </si>
  <si>
    <t>J. Allergy Clin. Immunol.</t>
  </si>
  <si>
    <t>10.1016/j.jaci.2008.12.016</t>
  </si>
  <si>
    <t>Allergy; Immunology</t>
  </si>
  <si>
    <t>431JW</t>
  </si>
  <si>
    <t>WOS:000265058600018</t>
  </si>
  <si>
    <t>Ruberto, L; Dias, R; Lo Balbo, A; Vazquez, SC; Hernandez, EA; Mac Cormack, WP</t>
  </si>
  <si>
    <t>Ruberto, L.; Dias, R.; Lo Balbo, A.; Vazquez, S. C.; Hernandez, E. A.; Mac Cormack, W. P.</t>
  </si>
  <si>
    <t>Influence of nutrients addition and bioaugmentation on the hydrocarbon biodegradation of a chronically contaminated Antarctic soil</t>
  </si>
  <si>
    <t>JOURNAL OF APPLIED MICROBIOLOGY</t>
  </si>
  <si>
    <t>Antarctica; bacterial consortia; bioremediation; biostimulation; hydrocarbon-contaminated soil</t>
  </si>
  <si>
    <t>POLYCYCLIC AROMATIC-HYDROCARBONS; DIESEL-OIL; STENOTROPHOMONAS-MALTOPHILIA; NATURAL ATTENUATION; DEGRADING BACTERIA; SITE REMEDIATION; ALPINE SOILS; SCOTT BASE; BIOREMEDIATION; SPILLS</t>
  </si>
  <si>
    <t>Complexity involved in the transport of soils and the restrictive legislation for the area makes on-site bioremediation the strategy of choice to reduce hydrocarbons contamination in Antarctica. The effect of biostimulation (with N and P) and bioaugmentation (with two bacterial consortia and a mix of bacterial strains) was analysed by using microcosms set up on metal trays containing 2 5 kg of contaminated soil from Marambio Station. At the end of the assay (45 days), all biostimulated systems showed significant increases in total heterotrophic aerobic and hydrocarbon-degrading bacterial counts. However, no differences were detected between bioaugmented and nonbioaugmented systems, except for J13 system which seemed to exert a negative effect on the natural bacterial flora. Hydrocarbons removal efficiencies agreed with changes in bacterial counts reaching 86 and 81% in M10 (bioaugmented) and CC (biostimulated only) systems. Results confirmed the feasibility of the application of bioremediation strategies to reduce hydrocarbon contamination in Antarctic soils and showed that, when soils are chronically contaminated, biostimulation is the best option. Bioaugmentation with hydrocarbon-degrading bacteria at numbers comparable to the total heterotrophic aerobic counts showed by the natural microflora did not improve the process and showed that they would turn the procedure unnecessarily more complex.</t>
  </si>
  <si>
    <t>[Mac Cormack, W. P.] Inst Antartico Argentino, Buenos Aires, DF, Argentina; [Ruberto, L.; Vazquez, S. C.] Consejo Nacl Invest Cient &amp; Tecn, RA-1033 Buenos Aires, DF, Argentina; [Ruberto, L.; Lo Balbo, A.; Vazquez, S. C.; Hernandez, E. A.; Mac Cormack, W. P.] Univ Buenos Aires, Fac Farm &amp; Bioquim, RA-1113 Buenos Aires, DF, Argentina; [Dias, R.] Comis Invest Cient, Buenos Aires, DF, Argentina</t>
  </si>
  <si>
    <t>Instituto Antartico Argentino; Consejo Nacional de Investigaciones Cientificas y Tecnicas (CONICET); University of Buenos Aires; Comision de Investigaciones Cientificas</t>
  </si>
  <si>
    <t>Mac Cormack, WP (corresponding author), Inst Antartico Argentino, Cerrito 1248 C1248AAZ, Buenos Aires, DF, Argentina.</t>
  </si>
  <si>
    <t>wmac@ffyb.uba.ar</t>
  </si>
  <si>
    <t>Vazquez, Susana/AEP-5214-2022</t>
  </si>
  <si>
    <t>Vazquez, Susana/0000-0002-0760-6254; Mac Cormack, Walter/0000-0002-5280-5463; Ruberto, Lucas Adolfo Mauro/0000-0001-5604-772X</t>
  </si>
  <si>
    <t>Universidad de Buenos Aires [UBACyT U007]; Agencia Nacional de Investigaciones Cientificas y Tecnicas [PICTO 11555]</t>
  </si>
  <si>
    <t>Universidad de Buenos Aires(University of Buenos Aires); Agencia Nacional de Investigaciones Cientificas y Tecnicas</t>
  </si>
  <si>
    <t>We thank Jubany and Marambio Station crews for the logistical support during the field studies and Cecilia Ferreiro for the correction of the English manuscript. This work was carried out under an agreement between the Instituto Anta rtico Argentino and the Facultad de Farmacia y Bioquimica of the Universidad de Buenos Aires and was supported in part by the Universidad de Buenos Aires (UBACyT U007) grant and the Agencia Nacional de Investigaciones Cientificas y Tecnicas (PICTO 11555).</t>
  </si>
  <si>
    <t>1364-5072</t>
  </si>
  <si>
    <t>1365-2672</t>
  </si>
  <si>
    <t>J APPL MICROBIOL</t>
  </si>
  <si>
    <t>J. Appl. Microbiol.</t>
  </si>
  <si>
    <t>10.1111/j.1365-2672.2008.04073.x</t>
  </si>
  <si>
    <t>Biotechnology &amp; Applied Microbiology; Microbiology</t>
  </si>
  <si>
    <t>416RD</t>
  </si>
  <si>
    <t>WOS:000264022300005</t>
  </si>
  <si>
    <t>Lei, RB; Li, ZJ; Cheng, YF; Wang, X; Chen, Y</t>
  </si>
  <si>
    <t>Lei, Ruibo; Li, Zhijun; Cheng, Yanfeng; Wang, Xin; Chen, Yao</t>
  </si>
  <si>
    <t>A New Apparatus for Monitoring Sea Ice Thickness Based on the Magnetostrictive-Delay-Line Principle</t>
  </si>
  <si>
    <t>JOURNAL OF ATMOSPHERIC AND OCEANIC TECHNOLOGY</t>
  </si>
  <si>
    <t>HEAT-FLUX; TEMPERATURE; EVOLUTION; GROWTH; SHEBA; THIN; BAY</t>
  </si>
  <si>
    <t>High-precision ice thickness observations are required to gain a better understanding of ocean-ice-atmosphere interactions and to validate numerical sea ice models. A new apparatus for monitoring sea ice and snow thickness has been developed, based on the magnetostrictive-delay-line (MDL) principle for positioning sensors. This system is suited for monitoring fixed measurement sites on undeformed ice. The apparatus presented herein has been tested on landfast ice near Zhongshan Station, East Antarctica, for about 6 months during the austral autumn and winter of 2006; valid data records from the deployment are available for more than 90% of the deployment's duration. The apparatus's precision has been estimated to be +/-0.002 m for the deployment. Therefore, it is possible that this apparatus may become a standard for sea ice/snow thickness monitoring.</t>
  </si>
  <si>
    <t>[Lei, Ruibo; Li, Zhijun; Wang, Xin] Dalian Univ Technol, State Key Lab Coastal &amp; Offshore Engn, Dalian 116024, Peoples R China; [Cheng, Yanfeng] Polar Res Inst China, Shanghai, Peoples R China; [Chen, Yao] Wu Xi Fengrun Sci &amp; Technol Ltd, Wuxi, Peoples R China</t>
  </si>
  <si>
    <t>Dalian University of Technology; Polar Research Institute of China</t>
  </si>
  <si>
    <t>Lei, RB (corresponding author), Dalian Univ Technol, State Key Lab Coastal &amp; Offshore Engn, Dalian 116024, Peoples R China.</t>
  </si>
  <si>
    <t>leiruibo@hotmail.com</t>
  </si>
  <si>
    <t>Li, Zhijun/A-5299-2019</t>
  </si>
  <si>
    <t>Li, Zhijun/0000-0002-2897-0450</t>
  </si>
  <si>
    <t>National Natural Science Foundation of China [40676001, 40233032]; National Key Technology Research and Development Program [2006BAB18B03]</t>
  </si>
  <si>
    <t>National Natural Science Foundation of China(National Natural Science Foundation of China (NSFC)); National Key Technology Research and Development Program(National Key Technology R&amp;D Program)</t>
  </si>
  <si>
    <t>This study was supported by the National Natural Science Foundation of China under Contracts 40676001 and 40233032, and by the National Key Technology Research and Development Program under Contract 2006BAB18B03. We are grateful to the Chinese Arctic and Antarctic Administration for its logistic support during our experiment; to Mr. Li Dong and Mr. Xiufeng Liu, who were part of the 2006 winter-over crew at Zhongshan Station in the 22nd CHINARE, for their field-work support; to the Meteorological Office of Zhongshan Station for providing meteorological data; and to the National Tidal Centre, Australian Bureau of Meteorology, for providing tide-prediction data. Three anonymous reviewers are thanked for their comments, which considerably improved this work.</t>
  </si>
  <si>
    <t>0739-0572</t>
  </si>
  <si>
    <t>1520-0426</t>
  </si>
  <si>
    <t>J ATMOS OCEAN TECH</t>
  </si>
  <si>
    <t>J. Atmos. Ocean. Technol.</t>
  </si>
  <si>
    <t>10.1175/2008JTECHO613.1</t>
  </si>
  <si>
    <t>Engineering, Ocean; Meteorology &amp; Atmospheric Sciences</t>
  </si>
  <si>
    <t>Engineering; Meteorology &amp; Atmospheric Sciences</t>
  </si>
  <si>
    <t>443ZN</t>
  </si>
  <si>
    <t>WOS:000265949400012</t>
  </si>
  <si>
    <t>Alfonsi, L; Kavanagh, AJ; Amata, E; Cilliers, P; Correia, E; Freeman, M; Kauristie, K; Liu, RY; Luntama, JP; Mitchell, CN; Zherebtsov, GA</t>
  </si>
  <si>
    <t>Alfonsi, Lucilla; Kavanagh, Andrew J.; Amata, Ermanno; Cilliers, Pierre; Correia, Emilia; Freeman, Mervyn; Kauristie, Kirsti; Liu, Ruiyuan; Luntama, Juha-Pekka; Mitchell, Cathryn N.; Zherebtsov, G. A.</t>
  </si>
  <si>
    <t>Probing the high latitude ionosphere from ground-based observations: The state of current knowledge and capabilities during IPY (2007-2009) (vol 70, pg 2293, 2008)</t>
  </si>
  <si>
    <t>JOURNAL OF ATMOSPHERIC AND SOLAR-TERRESTRIAL PHYSICS</t>
  </si>
  <si>
    <t>Correction</t>
  </si>
  <si>
    <t>[Alfonsi, Lucilla] INGV, Rome, Italy; [Kavanagh, Andrew J.] Univ Lancaster, Space Plasma Environm &amp; Radio Sci Grp, Dept Commun Syst, InfoLab 21, Lancaster LA1 4WA, England; [Amata, Ermanno] Ist Fis Spazio Interplanetario INAF, I-00133 Rome, Italy; [Cilliers, Pierre] HMO, Hermanus, South Africa; [Correia, Emilia] Inst Nacl Pesquisas Espaciais, BR-12201 Sao Jose Dos Campos, Brazil; [Correia, Emilia] Univ Presbiteriana Mackenzie, CRAAM, BR-01302907 Sao Paulo, Brazil; [Freeman, Mervyn] British Antarctic Survey, Cambridge CB3 0ET, England; [Kauristie, Kirsti; Luntama, Juha-Pekka] Finnish Meteorol Inst, FIN-00101 Helsinki, Finland; [Liu, Ruiyuan] Polar Res Inst China, Shanghai 200136, Peoples R China; [Mitchell, Cathryn N.] Univ Bath, Dept Elect Engn, Bath BA2 7AY, Avon, England; [Zherebtsov, G. A.] Russian Acad Sci, Siberian Branch, Inst Solar Terr Phys, Irkutsk 664003, Russia</t>
  </si>
  <si>
    <t>Istituto Nazionale Geofisica e Vulcanologia (INGV); Lancaster University; Istituto Nazionale Astrofisica (INAF); Instituto Nacional de Pesquisas Espaciais (INPE); Universidade Presbiteriana Mackenzie; UK Research &amp; Innovation (UKRI); Natural Environment Research Council (NERC); NERC British Antarctic Survey; Finnish Meteorological Institute; Polar Research Institute of China; University of Bath; Irkutsk Science Centre of the Russian Academy of Sciences; Russian Academy of Sciences; Institute of Solar-Terrestrial Physics of the Siberian Branch of the Russian Academy of Sciences</t>
  </si>
  <si>
    <t>Alfonsi, L (corresponding author), INGV, Via Vigna Murata 605, Rome, Italy.</t>
  </si>
  <si>
    <t>lucilla.alfonsi@ingv.it</t>
  </si>
  <si>
    <t>Zherebtsov, Geliy/T-5960-2017; Alfonsi, Lucilla/V-2969-2018; Correia, Emilia/F-6802-2012; Cilliers, Pierre/ABI-2944-2020; Freeman, Mervyn/E-5687-2019</t>
  </si>
  <si>
    <t>Correia, Emilia/0000-0003-4778-3834; Cilliers, Pierre/0000-0003-3175-5134; Alfonsi, Lucilla/0000-0002-1806-9327; Freeman, Mervyn/0000-0002-8653-8279; Mitchell, Cathryn/0000-0003-1964-8723</t>
  </si>
  <si>
    <t>STFC [PP/D002230/1] Funding Source: UKRI</t>
  </si>
  <si>
    <t>STFC(UK Research &amp; Innovation (UKRI)Science &amp; Technology Facilities Council (STFC))</t>
  </si>
  <si>
    <t>1364-6826</t>
  </si>
  <si>
    <t>J ATMOS SOL-TERR PHY</t>
  </si>
  <si>
    <t>J. Atmos. Sol.-Terr. Phys.</t>
  </si>
  <si>
    <t>10.1016/j.jastp.2009.01.008</t>
  </si>
  <si>
    <t>Geochemistry &amp; Geophysics; Meteorology &amp; Atmospheric Sciences</t>
  </si>
  <si>
    <t>441ZH</t>
  </si>
  <si>
    <t>WOS:000265808700012</t>
  </si>
  <si>
    <t>Bergholz, PW; Bakermans, C; Tiedje, JM</t>
  </si>
  <si>
    <t>Bergholz, Peter W.; Bakermans, Corien; Tiedje, James M.</t>
  </si>
  <si>
    <t>Psychrobacter arcticus 273-4 Uses Resource Efficiency and Molecular Motion Adaptations for Subzero Temperature Growth</t>
  </si>
  <si>
    <t>JOURNAL OF BACTERIOLOGY</t>
  </si>
  <si>
    <t>STRINGENT RESPONSE; ESCHERICHIA-COLI; LISTERIA-MONOCYTOGENES; ANTARCTIC ARCHAEON; STATISTICAL TESTS; BACILLUS-SUBTILIS; STRESS RESPONSES; GENE-EXPRESSION; PERMAFROST; BACTERIUM</t>
  </si>
  <si>
    <t>Permafrost soils are extreme environments that exert low-temperature, desiccation, and starvation stress on bacteria over thousands to millions of years. To understand how Psychrobacter arcticus 273-4 survived for &gt;20,000 years in permafrost, transcriptome analysis was performed during growth at 22 degrees C, 17 degrees C, 0 degrees C, and -6 degrees C using a mixed-effects analysis of variance model. Genes for transcription, translation, energy production, and most biosynthetic pathways were downregulated at low temperatures. Evidence of isozyme exchange was detected over temperature for D-alanyl-D-alanine carboxypeptidases (dac1 and dac2), DEAD-box RNA helicases (csdA and Psyc_0943), and energy-efficient substrate incorporation pathways for ammonium and acetate. Specific functions were compensated by upregulation of genes at low temperature, including genes for the biosynthesis of proline, tryptophan, and methionine. RNases and peptidases were generally upregulated at low temperatures. Changes in energy metabolism, amino acid metabolism, and RNase gene expression were consistent with induction of a resource efficiency response. In contrast to results observed for other psychrophiles and mesophiles, only clpB and hsp33 were upregulated at low temperature, and there was no upregulation of other chaperones and peptidyl-prolyl isomerases. relA, csdA, and dac2 knockout mutants grew more slowly at low temperature, but a dac1 mutant grew more slowly at 17 degrees C. The combined data suggest that the basal biological machinery, including translation, transcription, and energy metabolism, is well adapted to function across the growth range of P. arcticus from -6 degrees C to 22 degrees C, and temperature compensation by gene expression was employed to address specific challenges to low-temperature growth.</t>
  </si>
  <si>
    <t>Michigan State Univ, NASA Astrobiol Inst, Ctr Genom &amp; Evolutionary Studies Microbial Life L, E Lansing, MI 48824 USA; Michigan State Univ, Ctr Microbial Ecol, E Lansing, MI 48824 USA</t>
  </si>
  <si>
    <t>Michigan State University; National Aeronautics &amp; Space Administration (NASA); Michigan State University</t>
  </si>
  <si>
    <t>Bergholz, PW (corresponding author), Cornell Univ, Dept Crop &amp; Soil Sci, 709 Bradfield Hall, Ithaca, NY 14853 USA.</t>
  </si>
  <si>
    <t>pwb49@cornell.edu</t>
  </si>
  <si>
    <t>Bergholz, Peter/C-1293-2010</t>
  </si>
  <si>
    <t>Bergholz, Peter/0000-0002-3420-5261; Bakermans, Corien/0000-0002-3471-2570</t>
  </si>
  <si>
    <t>NASA Astrobiology Institute</t>
  </si>
  <si>
    <t>This work was supported by the NASA Astrobiology Institute.; We acknowledge the MSU Research Technology Support Facility for technical services, including microarray printing and proteome analysis. Teresa Bergholz, Lukas Wick, and Weihong Qi provided helpful discussions of microarray analysis techniques.</t>
  </si>
  <si>
    <t>AMER SOC MICROBIOLOGY</t>
  </si>
  <si>
    <t>1752 N ST NW, WASHINGTON, DC 20036-2904 USA</t>
  </si>
  <si>
    <t>0021-9193</t>
  </si>
  <si>
    <t>1098-5530</t>
  </si>
  <si>
    <t>J BACTERIOL</t>
  </si>
  <si>
    <t>J. Bacteriol.</t>
  </si>
  <si>
    <t>10.1128/JB.01377-08</t>
  </si>
  <si>
    <t>417OK</t>
  </si>
  <si>
    <t>WOS:000264085500040</t>
  </si>
  <si>
    <t>de Dinechin, M; Ottvall, R; Quillfeldt, P; Jouventin, P</t>
  </si>
  <si>
    <t>de Dinechin, Marc; Ottvall, Richard; Quillfeldt, Petra; Jouventin, Pierre</t>
  </si>
  <si>
    <t>Speciation chronology of rockhopper penguins inferred from molecular, geological and palaeoceanographic data</t>
  </si>
  <si>
    <t>DNA sequences; mid-Pleistocene transition; penguins; phylogeography; Southern Ocean; vicariant speciation; watermasses</t>
  </si>
  <si>
    <t>MITOCHONDRIAL-DNA; SECULAR VARIATION; SOUTH-ATLANTIC; BENTHIC FAUNA; INDIAN-OCEAN; EVOLUTION; ISLAND; CLOCK; DIVERGENCE; AGE</t>
  </si>
  <si>
    <t>The Southern Ocean is split into several biogeographical provinces between convergence zones that separate watermasses of different temperatures. Recent molecular phylogenies have uncovered a strong phylogeographic structure among rockhopper penguin populations, Eudyptes chrysocome sensu lato, from different biogeographical provinces. These studies suggested a reclassification as three species in two major clades, corresponding, respectively, to warm, subtropical and cold sub-Antarctic watermasses rather than to geographic proximity. Such a phylogeographic pattern, also observed in plants, invertebrates and fishes of the Southern Ocean, suggests that past changes in the positions of watermasses may have affected the evolutionary history of penguins. We calculated divergence times among various rockhopper penguin clades and calibrated these data with palaeomagmatic and palaeoceanographic events to generate a speciation chronology in rockhopper penguins. Southern Ocean. Divergence times between populations were calculated using five distinct mitochondrial DNA loci, and assuming a molecular clock model as implemented in mdiv. The molecular evolution rate of rockhopper penguins was calibrated using the radiochronological age of St Paul Island and Amsterdam Island in the southern Indian Ocean. Separations within other clades were correlated with palaeoceanographic data using this calibrated rate. The split between the Atlantic and Indian populations of rockhopper penguins was dated as 0.25 Ma, using the date of emergence of St Paul and Amsterdam islands, and the divergence between sub-Antarctic and subtropical rockhopper penguins was dated as c. 0.9 Ma (i.e. during the mid-Pleistocene transition, a major change in the Earth's climate cycles). The mid-Pleistocene transition is known to have caused a major southward shift in watermasses in the Southern Ocean, thus changing the environment around the northernmost rockhopper penguin breeding sites. This ecological isolation of northernmost populations may have caused vicariant speciation, splitting the species into two major clades. After the emergence of St Paul and Amsterdam islands in the subtropical Indian Ocean 0.25 Ma, these islands were colonized by penguins from the subtropical Atlantic, 6000 km away, rather than by penguins from the sub-Antarctic Indian Ocean, 5000 km closer.</t>
  </si>
  <si>
    <t>[de Dinechin, Marc; Ottvall, Richard; Jouventin, Pierre] CNRS, Ctr Ecol Fonct &amp; Evolut, UMR 5175, F-34293 Montpellier 5, France; [Ottvall, Richard] Lund Univ, Dept Anim Ecol, S-22362 Lund, Sweden; [Quillfeldt, Petra] Vogelwarte Radolfzell Max Planck Inst Ornithol, Radolfzell am Bodensee, Germany</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</si>
  <si>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Lund University; Max Planck Society</t>
  </si>
  <si>
    <t>de Dinechin, M (corresponding author), CNRS, Ctr Ecol Fonct &amp; Evolut, UMR 5175, 1919 Route Mende, F-34293 Montpellier 5, France.</t>
  </si>
  <si>
    <t>marc.de-dinechin@cefe.cnrs.fr</t>
  </si>
  <si>
    <t>Quillfeldt, Petra/A-9549-2009; de Dinechin, Marc/B-3683-2009</t>
  </si>
  <si>
    <t>CNRS</t>
  </si>
  <si>
    <t>CNRS(Centre National de la Recherche Scientifique (CNRS))</t>
  </si>
  <si>
    <t>Logistical and financial support for observations in the field was provided by the Institut Polaire Francais (IPEV Programme 354-Ethotaaf) and DDE-CNRS (Zone-Atelier de recherches sur l'environnement antarctique et subantarctique). Fieldwork in the Falkland Islands was funded by the German Science Foundation DFG (Qu 148/1-ff) and the New Island Conservation Trust, and approved by the Falkland Islands Government (Environmental Planning Office). We are grateful to Anders Solheim and Karl-Fredrik Forsberg from the Norwegian Geotechnical Institute for providing references regarding the palaeoclimate of the Southern Ocean; we thank Marie-Pierre Dubois for advice with laboratory work, and F. Stephen Dobson, Adrian Paterson, Robert McDowall, Joel Bried, Anne Charmantier and Francesco Bonadonna for useful comments on the manuscript.</t>
  </si>
  <si>
    <t>10.1111/j.1365-2699.2008.02014.x</t>
  </si>
  <si>
    <t>417JV</t>
  </si>
  <si>
    <t>WOS:000264073200010</t>
  </si>
  <si>
    <t>Barnes, DKA; Kaiser, S; Griffiths, HJ; Linse, K</t>
  </si>
  <si>
    <t>Barnes, David K. A.; Kaiser, Stefanie; Griffiths, Huw J.; Linse, Katrin</t>
  </si>
  <si>
    <t>Marine, intertidal, freshwater and terrestrial biodiversity of an isolated polar archipelago</t>
  </si>
  <si>
    <t>Bryozoa; Isopoda; macrobenthos; Mollusca; Southern Ocean; South Orkney Islands; species accumulation curves; species richness</t>
  </si>
  <si>
    <t>SOUTHERN-OCEAN; SCOTIA ARC; SEA; BIOGEOGRAPHY; ANTARCTICA; ISLAND; EXPEDITION; DIVERSITY; GRADIENTS; EVOLUTION</t>
  </si>
  <si>
    <t>We ask how biodiverse is a polar archipelago; how this faunal richness is spread across marine, intertidal, freshwater, terrestrial and parasitic realms; and how fast species are accumulated with increased sampling effort. The South Orkney Islands (SOI), Scotia Arc, Southern Ocean. We sampled mega- and macro-benthos at the SOI using scuba in the shallows (0-10 m), a rough bottom otter trawl at 150-250 m and an Agassiz trawl and epibenthic sledge, both at depths of 200, 500, 1000 and 1500 m. We also collated species occurrence at the SOI in each realm from a century of literature and modern databases to investigate patterns in species accumulation, endemism, faunistic affinities and bathymetric ranges in three model taxa. Our 11 benthic samples showed that point biodiversity at the SOI is high, yielding 19 classes and 158 species. Nearly a third were new to the area, whilst five species and one genus were new to science. The shallowest samples were richest but had fewest new records of species. Known richness at the SOI is dominated by marine species (1026), of which 821 (83.3%) were benthic. Across all realms, 1224 species (50 classes, 24 phyla) were recorded, of which 43 were intertidal, 64 freshwater, 100 terrestrial, 60 parasitic and 40 birds. Species accumulation curves for model taxa showed new sampling yields about 0.75% per sample of known benthic richness, so by Antarctic standards we know the SOI quite well. Most species are Southern Ocean endemics, but very few occur only at the SOI. This first estimate of faunal biodiversity of a polar locality demonstrates both high richness and high levels of knowledge at the SOI. As suspected but never quantified, the benthos dominates polar biodiversity, at least at the SOI. Marine species there constitute 20% of those recently listed for the entire Southern Ocean, whilst &gt; 60% of terrestrial species are known from Antarctica. The SOI, being one of the better-studied polar locations, of known age and with a discrete shelf, represent an important source of comparison for biodiversity studies. Our data clearly show that richness and our knowledge of the polar fauna differ across environments.</t>
  </si>
  <si>
    <t>[Barnes, David K. A.; Kaiser, Stefanie; Griffiths, Huw J.; Linse, Katrin] British Antarctic Survey, NERC, Cambridge CB3 0ET, England; [Kaiser, Stefanie] Univ Hamburg, Zool Museum, D-2000 Hamburg, Germany</t>
  </si>
  <si>
    <t>UK Research &amp; Innovation (UKRI); Natural Environment Research Council (NERC); NERC British Antarctic Survey; University of Hamburg</t>
  </si>
  <si>
    <t>Barnes, DKA (corresponding author), British Antarctic Survey, NERC, High Cross,Madingley Rd, Cambridge CB3 0ET, England.</t>
  </si>
  <si>
    <t>dkab@bas.ac.uk</t>
  </si>
  <si>
    <t>Griffiths, Huw J/D-4234-2009</t>
  </si>
  <si>
    <t>Griffiths, Huw J/0000-0003-1764-223X; Linse, Katrin/0000-0003-3477-3047; Kaiser, Stefanie/0000-0003-2026-4663</t>
  </si>
  <si>
    <t>British Antarctic Survey; Natural Environment Research Council [bas010015, dml011000] Funding Source: researchfish; NERC [dml011000, bas010015] Funding Source: UKRI</t>
  </si>
  <si>
    <t>British Antarctic Survey; Natural Environment Research Council(UK Research &amp; Innovation (UKRI)Natural Environment Research Council (NERC)); NERC(UK Research &amp; Innovation (UKRI)Natural Environment Research Council (NERC))</t>
  </si>
  <si>
    <t>We would like to thank Carmen Primo, Cath Waller, Claude de Broyer, Estefania Rodrigues, Jan Strugnall, Jens Bohn, Kai Horst George, Mark Belchier, Pete Convey, Rob Van Soest, Rolf Maslen, Sandra McInnes, Tony Martin and Ute Muhlenhardt-Siegel for greatly aiding our search for comprehensive species lists for particular taxa and reducing errors of synonymies and misidentifications. Thanks to Chester Sands, Richard Barnes, Claire Waluda and two anonymous referees for constructive and very helpful comments on the manuscript. This paper is a contribution to British Antarctic Survey core project 'BIOPEARL', and is also linked with the SCAR 'EBA' programme.</t>
  </si>
  <si>
    <t>10.1111/j.1365-2699.2008.02030.x</t>
  </si>
  <si>
    <t>WOS:000264073200015</t>
  </si>
  <si>
    <t>Timmermann, A; Timm, O; Stott, L; Menviel, L</t>
  </si>
  <si>
    <t>Timmermann, Axel; Timm, Oliver; Stott, Lowell; Menviel, Laurie</t>
  </si>
  <si>
    <t>The Roles of CO2 and Orbital Forcing in Driving Southern Hemispheric Temperature Variations during the Last 21 000 Yr</t>
  </si>
  <si>
    <t>ANTARCTIC ICE CORES; CARBON-CYCLE; SEA-ICE; CLIMATE VARIABILITY; EAST ANTARCTICA; RECORD; MODEL; PRECIPITATION; SENSITIVITY; SURFACE</t>
  </si>
  <si>
    <t>Transient climate model simulations covering the last 21 000 yr reveal that orbitally driven insolation changes in the Southern Hemisphere, combined with a rise in atmospheric pCO(2), were sufficient to jump-start the deglacial warming around Antarctica without direct Northern Hemispheric triggers. Analyses of sensitivity experiments forced with only one external forcing component (greenhouse gases, ice-sheet forcing, or orbital forcing) demonstrate that austral spring insolation changes triggered an early retreat of Southern Ocean sea ice starting around 19-18 ka BP. The associated sea ice-albedo feedback and the subsequent increase of atmospheric CO2 concentrations helped to further accelerate the deglacial warming in the Southern Hemisphere. Implications for the interpretation of Southern Hemispheric paleoproxy records are discussed.</t>
  </si>
  <si>
    <t>[Timmermann, Axel; Timm, Oliver] Univ Hawaii Manoa, SOEST, IPRC, Honolulu, HI 96822 USA; [Stott, Lowell] Univ So Calif, Dept Earth Sci, Los Angeles, CA USA; [Menviel, Laurie] Univ Hawaii Manoa, SOEST, Dept Oceanog, Honolulu, HI 96822 USA</t>
  </si>
  <si>
    <t>University of Hawaii System; University of Hawaii Manoa; University of Southern California; University of Hawaii System; University of Hawaii Manoa</t>
  </si>
  <si>
    <t>Timmermann, A (corresponding author), Univ Hawaii Manoa, SOEST, IPRC, 2525 Correa Rd, Honolulu, HI 96822 USA.</t>
  </si>
  <si>
    <t>axel@hawaii.edu</t>
  </si>
  <si>
    <t>Menviel, Laurie/D-6902-2013; Timmermann, Axel/Y-2799-2019; Menviel, Laurie/O-7833-2019; Elison Timm, Oliver/L-2543-2018</t>
  </si>
  <si>
    <t>Menviel, Laurie/0000-0002-5068-1591; Timmermann, Axel/0000-0003-0657-2969; Elison Timm, Oliver/0000-0001-8871-0602</t>
  </si>
  <si>
    <t>NSF [ATM06-28393]; Japan Agency for Marine-Earth Science and Technology (JAMSTEC); NASA [NNX07AG53G]; NOAA [NA17RJ1230]</t>
  </si>
  <si>
    <t>NSF(National Science Foundation (NSF)); Japan Agency for Marine-Earth Science and Technology (JAMSTEC); NASA(National Aeronautics &amp; Space Administration (NASA)); NOAA(National Oceanic Atmospheric Admin (NOAA) - USA)</t>
  </si>
  <si>
    <t>This research was supported by NSF Grant ATM06-28393. Additional support was provided by the Japan Agency for Marine-Earth Science and Technology (JAMSTEC), by NASA through Grant NNX07AG53G, and by NOAA through Grant NA17RJ1230, through their sponsorship of research activities at the International Pacific Research Center. We thank Valerie Masson-Delmotte, Andreas Schmittner, and one anonymous reviewer for their constructive comments.</t>
  </si>
  <si>
    <t>10.1175/2008JCLI2161.1</t>
  </si>
  <si>
    <t>437ZE</t>
  </si>
  <si>
    <t>WOS:000265524900003</t>
  </si>
  <si>
    <t>Zou, CZ; Gao, M; Goldberg, MD</t>
  </si>
  <si>
    <t>Zou, Cheng-Zhi; Gao, Mei; Goldberg, Mitchell D.</t>
  </si>
  <si>
    <t>Error Structure and Atmospheric Temperature Trends in Observations from the Microwave Sounding Unit</t>
  </si>
  <si>
    <t>MSU CHANNEL-2; RADIOSONDE VALIDATION; MERGING PROCEDURE; SURFACE; RECALIBRATION; PRECISION; ANOMALIES; CLIMATE</t>
  </si>
  <si>
    <t>The Microwave Sounding Unit (MSU) onboard the National Oceanic and Atmospheric Administration polar-orbiting satellites measures the atmospheric temperature from the surface to the lower stratosphere under all weather conditions, excluding precipitation. Although designed primarily for monitoring weather processes, the MSU observations have been extensively used for detecting climate trends, and calibration errors are a major source of uncertainty. To reduce this uncertainty, an intercalibration method based on the simultaneous nadir overpass (SNO) matchups for the MSU instruments on satellites NOAA-10, -11, -12, and -14 was developed. Due to orbital geometry, the SNO matchups are confined to the polar regions, where the brightness temperature range is slightly smaller than the global range. Nevertheless, the resulting calibration coefficients are applied globally to the entire life cycle of an MSU satellite. Such intercalibration reduces intersatellite biases by an order of magnitude compared to prelaunch calibration and, thus, results in well-merged time series for the MSU channels 2, 3, and 4, which respectively represent the deep layer temperature of themidtroposphere (T-2), tropopause (T-3), and lower stratosphere (T-4). Focusing on the global atmosphere over ocean surfaces, trends for the SNO-calibrated T-2, T-3, and T-4 are, respectively, 0.21 +/- 0.07, 0.08 +/- 0.08, and -0.38 +/- 0.27 K decade (-1) from 1987 to 2006. These trends are independent of the number of limb-corrected footprints used in the dataset, and trend differences are marginal for varying bias correction techniques for merging the overlapping satellites on top of the SNO calibration. The spatial pattern of the trends reveals the tropical midtroposphere to have warmed at a rate of 0.28 +/- 0.19 K decade (-1), while the Arctic atmosphere warmed 2 to 3 times faster than the global average. The troposphere and lower stratosphere, however, cooled across the southern Indian and Atlantic Oceans adjacent to the Antarctic continent. To remove the stratospheric cooling effect in T-2, channel trends from T-2 and T-3 (T-23) and T-2 and T-4 (T-24) were combined. The trend patterns for T-23 and T-24 are in close agreement, suggesting internal consistencies for the trend patterns of the three channels.</t>
  </si>
  <si>
    <t>[Zou, Cheng-Zhi] NOAA, Ctr Satellite Applicat &amp; Res, NESDIS, Ctr Sci, Camp Springs, MD 20746 USA; [Gao, Mei] Chinese Acad Meteorol Sci, China Meteorol Adm, Beijing, Peoples R China</t>
  </si>
  <si>
    <t>National Oceanic Atmospheric Admin (NOAA) - USA; China Meteorological Administration; Chinese Academy of Meteorological Sciences (CAMS)</t>
  </si>
  <si>
    <t>Zou, CZ (corresponding author), NOAA, Ctr Satellite Applicat &amp; Res, NESDIS, Ctr Sci, Room 712,5200 Auth Rd, Camp Springs, MD 20746 USA.</t>
  </si>
  <si>
    <t>cheng-zhi.zou@noaa.gov</t>
  </si>
  <si>
    <t>Goldberg, Mitch/F-5589-2010; Zou, Cheng-Zhi/E-3085-2010</t>
  </si>
  <si>
    <t>Zou, Cheng-Zhi/0000-0003-4124-6448</t>
  </si>
  <si>
    <t>10.1175/2008JCLI2233.1</t>
  </si>
  <si>
    <t>WOS:000265524900005</t>
  </si>
  <si>
    <t>Shaffrey, LC; Stevens, I; Norton, WA; Roberts, MJ; Vidale, PL; Harle, JD; Jrrar, A; Stevens, DP; Woodage, MJ; Demory, ME; Donners, J; Clark, DB; Clayton, A; Cole, JW; Wilson, SS; Connolley, WM; Davies, TM; Iwi, AM; Johns, TC; King, JC; New, AL; Slingo, JM; Slingo, A; Steenman-Clark, L; Martin, GM</t>
  </si>
  <si>
    <t>Shaffrey, L. C.; Stevens, I.; Norton, W. A.; Roberts, M. J.; Vidale, P. L.; Harle, J. D.; Jrrar, A.; Stevens, D. P.; Woodage, M. J.; Demory, M. E.; Donners, J.; Clark, D. B.; Clayton, A.; Cole, J. W.; Wilson, S. S.; Connolley, W. M.; Davies, T. M.; Iwi, A. M.; Johns, T. C.; King, J. C.; New, A. L.; Slingo, J. M.; Slingo, A.; Steenman-Clark, L.; Martin, G. M.</t>
  </si>
  <si>
    <t>UK HiGEM: The New UK High-Resolution Global Environment Model-Model Description and Basic Evaluation</t>
  </si>
  <si>
    <t>OCEAN GENERAL-CIRCULATION; SEA-SURFACE TEMPERATURE; THICKNESS DISTRIBUTION; HORIZONTAL RESOLUTION; PHYSICAL-PROPERTIES; COUPLED MODEL; CLIMATE MODEL; EL-NINO; ATMOSPHERE; ICE</t>
  </si>
  <si>
    <t>This article describes the development and evaluation of the U.K.'s new High-Resolution Global Environmental Model (HiGEM), which is based on the latest climate configuration of the Met Office Unified Model, known as the Hadley Centre Global Environmental Model, version 1 (HadGEM1). In HiGEM, the horizontal resolution has been increased to 0.83 degrees latitude x 1.25 degrees longitude for the atmosphere, and 1/3 degrees x 1/3 degrees globally for the ocean. Multidecadal integrations of HiGEM, and the lower-resolution HadGEM, are used to explore the impact of resolution on the fidelity of climate simulations. Generally, SST errors are reduced in HiGEM. Cold SST errors associated with the path of the North Atlantic drift improve, and warm SST errors are reduced in upwelling stratocumulus regions where the simulation of low-level cloud is better at higher resolution. The ocean model in HiGEM allows ocean eddies to be partially resolved, which dramatically improves the representation of sea surface height variability. In the Southern Ocean, most of the heat transports in HiGEM is achieved by resolved eddy motions, which replaces the parameterized eddy heat transport in the lower-resolution model. HiGEM is also able to more realistically simulate small-scale features in the wind stress curl around islands and oceanic SST fronts, which may have implications for oceanic upwelling and ocean biology. Higher resolution in both the atmosphere and the ocean allows coupling to occur on small spatial scales. In particular, the small-scale interaction recently seen in satellite imagery between the atmosphere and tropical instability waves in the tropical Pacific Ocean is realistically captured in HiGEM. Tropical instability waves play a role in improving the simulation of the mean state of the tropical Pacific, which has important implications for climate variability. In particular, all aspects of the simulation of ENSO (spatial patterns, the time scales at which ENSO occurs, and global teleconnections) are much improved in HiGEM.</t>
  </si>
  <si>
    <t>[Shaffrey, L. C.; Norton, W. A.; Vidale, P. L.; Demory, M. E.; Donners, J.; Cole, J. W.; Wilson, S. S.; Slingo, J. M.; Steenman-Clark, L.] Univ Reading, Dept Meteorol, Natl Ctr Atmospher Sci, Reading RG6 6BB, Berks, England; [Stevens, I.; Stevens, D. P.] Univ E Anglia, Sch Math, Norwich NR4 7TJ, Norfolk, England; [Roberts, M. J.; Vidale, P. L.; Demory, M. E.; Donners, J.; Clayton, A.] United Kingdom Japan Climate Collaborat, Earth Simulator Ctr, Yokohama, Kanagawa, Japan; [Roberts, M. J.; Clayton, A.; Wilson, S. S.; Johns, T. C.; Martin, G. M.] Met Off Hadley Ctr Climate Predict &amp; Res, Exeter, Devon, England; [Harle, J. D.; New, A. L.] Univ Southampton, Natl Oceanog Ctr Southampton, Southampton, Hants, England; [Jrrar, A.; Connolley, W. M.; King, J. C.] British Antarctic Survey, Cambridge CB3 0ET, England; [Woodage, M. J.; Slingo, A.] Univ Reading, Environm Syst Sci Ctr, Reading, Berks, England; [Clark, D. B.] Ctr Ecol &amp; Hydrol, Wallingford, Oxon, England; [Davies, T. M.] Met Off, Exeter, Devon, England; [Iwi, A. M.] Rutherford Appleton Lab, British Atmospher Data Ctr, Chilton, England</t>
  </si>
  <si>
    <t>University of Reading; UK Research &amp; Innovation (UKRI); Natural Environment Research Council (NERC); NERC National Centre for Atmospheric Science; University of East Anglia; Japan Agency for Marine-Earth Science &amp; Technology (JAMSTEC); Met Office - UK; Hadley Centre; NERC National Oceanography Centre; University of Southampton; UK Research &amp; Innovation (UKRI); Natural Environment Research Council (NERC); NERC British Antarctic Survey; University of Reading; UK Centre for Ecology &amp; Hydrology (UKCEH); Met Office - UK; UK Research &amp; Innovation (UKRI); Science &amp; Technology Facilities Council (STFC); STFC Rutherford Appleton Laboratory</t>
  </si>
  <si>
    <t>Shaffrey, LC (corresponding author), Univ Reading, Dept Meteorol, NCAS Climate, Reading RG6 6BB, Berks, England.</t>
  </si>
  <si>
    <t>l.c.shaffrey@reading.ac.uk</t>
  </si>
  <si>
    <t>New, Adrian/JVZ-4824-2024; Clark, Douglas B/A-6102-2010; Marie-Estelle, Demory/O-5684-2019; Vidale, Pier Luigi/AAF-6468-2019; Davies, Tilman M/D-3013-2013; Stevens, David/F-2509-2010</t>
  </si>
  <si>
    <t>Clark, Douglas B/0000-0003-1348-7922; Marie-Estelle, Demory/0000-0002-5764-3248; Vidale, Pier Luigi/0000-0002-1800-8460; Jrrar, Amna/0000-0002-3426-9783; Stevens, David/0000-0002-7283-4405</t>
  </si>
  <si>
    <t>NERC through the U. K. HiGEM; United Kingdom-Japan Climate Collaboration; United Kingdom-Japan Climate Collaboration through the Joint DEFRA and MoD Integrated Climate Programme [GA01101, CBC/2B/0417]; NERC [soc010011, bas0100023, ncas10010, ncas10005] Funding Source: UKRI; Natural Environment Research Council [NER/O/S/2002/00975, ceh010024, bas0100023, ncas10005, ncas10010, ceh010023, soc010011, ncas10009] Funding Source: researchfish</t>
  </si>
  <si>
    <t>NERC through the U. K. HiGEM(UK Research &amp; Innovation (UKRI)Natural Environment Research Council (NERC)); United Kingdom-Japan Climate Collaboration; United Kingdom-Japan Climate Collaboration through the Joint DEFRA and MoD Integrated Climate Programme; NERC(UK Research &amp; Innovation (UKRI)Natural Environment Research Council (NERC)); Natural Environment Research Council(UK Research &amp; Innovation (UKRI)Natural Environment Research Council (NERC))</t>
  </si>
  <si>
    <t>The support of NERC through the U. K. HiGEM project and the United Kingdom-Japan Climate Collaboration is acknowledged. The Met Office Hadley Centre also acknowledges the support of the United Kingdom-Japan Climate Collaboration through the Joint DEFRA and MoD Integrated Climate Programme GA01101, CBC/2B/0417-Annex C5.</t>
  </si>
  <si>
    <t>10.1175/2008JCLI2508.1</t>
  </si>
  <si>
    <t>444TH</t>
  </si>
  <si>
    <t>WOS:000266002800001</t>
  </si>
  <si>
    <t>Pei, JL; Sun, ZM; Wang, XS; Zhao, Y; Ge, XH; Guo, XZ; Li, HB; Si, JL</t>
  </si>
  <si>
    <t>Pei Junling; Sun Zhiming; Wang Xisheng; Zhao Yue; Ge Xiaohong; Guo Xinzhuan; Li Haibing; Si Jialiang</t>
  </si>
  <si>
    <t>Evidence for Tibetan Plateau Uplift in Qaidam Basin before Eocene-Oligocene Boundary and Its Climatic Implications</t>
  </si>
  <si>
    <t>JOURNAL OF EARTH SCIENCE</t>
  </si>
  <si>
    <t>Qaidam basin; Eocene-Oligocene boundary; growth stratum; magnetostratigraphy</t>
  </si>
  <si>
    <t>ANTARCTIC GLACIATION; DEFORMATION HISTORY; TECTONIC UPLIFT; NORTHERN TIBET; QINGHAI; CHINA; GROWTH; EVOLUTION; 40AR/39AR; SECTION</t>
  </si>
  <si>
    <t>Geometry analysis of the Hongsanhan ((sic)) Section in the northwestern Qaidam basin illustrates the typical growth strata in the Xiaganchaigou ((sic)) Formation. The age and sedimentation rates of the Xiaganchaigou and the Shangganchaigou ((sic)) formations were determined by the high-resolution magnetostratigraphy. This result shows that the growth strata began to form at ca. 38.0 Ma and increased sedimentation rates occurred at ca. 37.0 Ma. The uplift of the Tibetan plateau before the Eocene-Oligocene boundary is confirmed, which enables us to better understand the relationship between climatic changes and the tectonic uplift. This uplift event could have resulted in the regional drying by blocking the moisture and contributed to the Eocene-Oligocenc boundary global cooling event due to the declining atmospheric CO2 concentrations by increased weathering of the mountains.</t>
  </si>
  <si>
    <t>[Pei Junling; Sun Zhiming; Wang Xisheng; Zhao Yue] Chinese Acad Geol Sci, Inst Geomech, Key Lab Paleomagnetism, Beijing 100081, Peoples R China; [Ge Xiaohong; Guo Xinzhuan] Jilin Univ, Coll Earth Sci, Changchun 130061, Peoples R China; [Li Haibing; Si Jialiang] Chinese Acad Geol Sci, Inst Geol, Minist Land &amp; Resources, Key Lab Continental Dynam, Beijing 100037, Peoples R China</t>
  </si>
  <si>
    <t>China Geological Survey; Institute of Geomechanics, Chinese Academy of Geological Sciences; Chinese Academy of Geological Sciences; Jilin University; China Geological Survey; Chinese Academy of Geological Sciences; Ministry of Natural Resources of the People's Republic of China; Institute of Geology, Chinese Academy of Geological Sciences</t>
  </si>
  <si>
    <t>Pei, JL (corresponding author), Chinese Acad Geol Sci, Inst Geomech, Key Lab Paleomagnetism, Beijing 100081, Peoples R China.</t>
  </si>
  <si>
    <t>peijl@yahoo.com.cn</t>
  </si>
  <si>
    <t>Wang, zijun/JNS-5435-2023; Wang, Xisheng/E-4896-2011</t>
  </si>
  <si>
    <t>Wang, Xisheng/0000-0002-9986-9886</t>
  </si>
  <si>
    <t>National Natural Science Foundation of China [40602027, 40572122]; China Geological Survey [1212010610105, 1212010610108]</t>
  </si>
  <si>
    <t>National Natural Science Foundation of China(National Natural Science Foundation of China (NSFC)); China Geological Survey(China Geological Survey)</t>
  </si>
  <si>
    <t>This study was supported by the National Natural Science Foundation of China (Nos. 40602027, 40572122), and China Geological Survey (Nos. 1212010610105, 1212010610108).</t>
  </si>
  <si>
    <t>CHINA UNIV GEOSCIENCES, WUHAN</t>
  </si>
  <si>
    <t>WUHAN</t>
  </si>
  <si>
    <t>388 LIMO RD, WUHAN, CHINA MAINLAND 430074, PEOPLES R CHINA</t>
  </si>
  <si>
    <t>1674-487X</t>
  </si>
  <si>
    <t>1867-111X</t>
  </si>
  <si>
    <t>J EARTH SCI-CHINA</t>
  </si>
  <si>
    <t>J. Earth Sci.</t>
  </si>
  <si>
    <t>10.1007/s12583-009-0035-y</t>
  </si>
  <si>
    <t>439UX</t>
  </si>
  <si>
    <t>WOS:000265653900016</t>
  </si>
  <si>
    <t>Marais, E; Terblanche, JS; Chown, SL</t>
  </si>
  <si>
    <t>Marais, Elrike; Terblanche, John S.; Chown, Steven L.</t>
  </si>
  <si>
    <t>Life stage-related differences in hardening and acclimation of thermal tolerance traits in the kelp fly, Paractora dreuxi (Diptera, Helcomyzidae)</t>
  </si>
  <si>
    <t>JOURNAL OF INSECT PHYSIOLOGY</t>
  </si>
  <si>
    <t>Phenotypic plasticity; Supercooling; Ontogeny; Behaviour</t>
  </si>
  <si>
    <t>SUB-ANTARCTIC CATERPILLAR; HEAT-SHOCK PROTEINS; FLESH FLY; BENEFICIAL ACCLIMATION; PHENOTYPIC PLASTICITY; TEMPERATURE EXTREMES; COLD TOLERANCE; DROSOPHILA; RESISTANCE; EVOLUTIONARY</t>
  </si>
  <si>
    <t>It is widely appreciated that physiological tolerances differ between life stages. However, few studies have examined stage-related differences in acclimation and hardening. In addition, the behavioural responses involved in determining the form and extent of the short-term phenotypic response are rarely considered. Here, we investigate life stage differences in the acclimation and hardening responses of the survival of a standard heat shock (SHS) and standard low temperature (or cold) shock (SCS), and the crystallization temperature (or supercooling point, SCP) of adults and larvae of the sub-Antarctic kelp fly, Paractora dreuxi, These stages live in the same habitat, but differ substantially in their mobility and thus environmental temperatures experienced. Results showed that neither acclimation nor hardening affected the lower lethal limits in larvae or adults. Adults showed an increase in survival of upper lethal limits after low temperature acclimation, whilst larvae showed a consistent lack of response. The acclimation x hardening interaction significantly affected the SCP in adults, but no response to either acclimation or hardening was found in the larvae. This study further demonstrates the complexities of thermal tolerance responses in P. dreuxi. (C) 2009 Elsevier Ltd. All tights reserved.</t>
  </si>
  <si>
    <t>[Marais, Elrike; Terblanche, John S.; Chown, Steven L.] Univ Stellenbosch, Dept Bot &amp; Zool, Ctr Invas Biol, ZA-7602 Stellenbosch, South Africa</t>
  </si>
  <si>
    <t>Marais, E (corresponding author), Univ Stellenbosch, Dept Bot &amp; Zool, Ctr Invas Biol, Private Bag 11, ZA-7602 Stellenbosch, South Africa.</t>
  </si>
  <si>
    <t>emarais@sun.ac.za</t>
  </si>
  <si>
    <t>Terblanche, John/AAB-4457-2020; Chown, Steven/ABD-7646-2021; Chown, Steven/H-3347-2011</t>
  </si>
  <si>
    <t>Chown, Steven/0000-0001-6069-5105; Terblanche, John/0000-0001-9665-9405</t>
  </si>
  <si>
    <t>0022-1910</t>
  </si>
  <si>
    <t>1879-1611</t>
  </si>
  <si>
    <t>J INSECT PHYSIOL</t>
  </si>
  <si>
    <t>J. Insect Physiol.</t>
  </si>
  <si>
    <t>10.1016/j.jinsphys.2008.11.016</t>
  </si>
  <si>
    <t>Entomology; Physiology; Zoology</t>
  </si>
  <si>
    <t>425VV</t>
  </si>
  <si>
    <t>WOS:000264666700007</t>
  </si>
  <si>
    <t>Rennie, S; Hanson, CE; McCauley, RD; Pattiaratchi, C; Burton, C; Bannister, J; Jenner, C; Jenner, MN</t>
  </si>
  <si>
    <t>Rennie, S.; Hanson, C. E.; McCauley, R. D.; Pattiaratchi, C.; Burton, C.; Bannister, J.; Jenner, C.; Jenner, M. -N.</t>
  </si>
  <si>
    <t>Physical properties and processes in the Perth Canyon, Western Australia: Links to water column production and seasonal pygmy blue whale abundance</t>
  </si>
  <si>
    <t>JOURNAL OF MARINE SYSTEMS</t>
  </si>
  <si>
    <t>Leeuwin Current; Pygmy blue whales; Submarine canyon; Upwelling; Primary production; Physical oceanography; Perth Canyon; Western Australia</t>
  </si>
  <si>
    <t>MONTEREY SUBMARINE-CANYON; NW MEDITERRANEAN SEA; LEEUWIN CURRENT; NUTRIENT DYNAMICS; INDIAN-OCEAN; CHLOROPHYLL-A; CAPES CURRENT; PHYTOPLANKTON; COAST; EDDIES</t>
  </si>
  <si>
    <t>The oceanography of the Perth Canyon, off southwestern Australia, was examined through two major field excursions in austral spring/summer 2003/2004 combined with previous results from field analysis and numerical simulations. Water properties were used to identify water masses and vertical displacement. The field cruises and numerical simulation indicated unique circulation features of the Leeuwin Current and Undercurrent within the canyon associated with the topographic features. The input of nutrients to the euphotic zone occurred sporadically as the Leeuwin Current generally suppressed upwelling, although the Perth Canyon had increased nutrient concentrations within its rims. The distribution of chlorophyll in the surface layers indicated high spatial variability, with a prevalent deep chlorophyll (and phytoplankton biomass) maximum at similar to 80 m. Depth-integrated primary production within the study region ranged from 360 to 760 mg C m(-2) d(-1), which was on average 2.5 times higher than rates measured in continental shelf and offshore waters north of the canyon. Aggregations of krill and other acoustic backscatter targets were concentrated near the head of the canyon at a range of depths, which may have been promoted by the circulation. The findings here are consistent with seasonal variations in wind and insolation, along with variations in the Leeuwin Current, influencing the seasonal changes and mesoscale features within the region, while the canyon promotes localised upwelling, and enhances both pelagic production and physical aggregation of plankton to attract the whales. Canyon processes must be combined with outside factors to allow upwelled nutrients to reach the photic zone. It is concluded that a combination of factors, rather than one factor alone, contributes favourably to the appearance of feeding blue whales in the Perth Canyon during the summer. (C) 2008 Elsevier B.V. All rights reserved.</t>
  </si>
  <si>
    <t>[Rennie, S.; McCauley, R. D.] Curtin Univ Technol, Ctr Marine Sci &amp; Technol, Perth, WA 6845, Australia; [Hanson, C. E.; Pattiaratchi, C.] Univ Western Australia, Sch Environm Syst Engn, Crawley, WA 6009, Australia; [Hanson, C. E.] Edith Cowan Univ, Ctr Ecosyst Management, Joondalup, WA 6027, Australia; [Burton, C.] Western Whale Res Pty Ltd, Dunsbourough, WA 6281, Australia; [Bannister, J.] Western Australian Museum, Perth Cultural Ctr, Perth, WA 6000, Australia; [Jenner, C.; Jenner, M. -N.] Ctr Whale Res WA Inc, Fremantle, WA 6959, Australia</t>
  </si>
  <si>
    <t>Curtin University; University of Western Australia; Edith Cowan University; Western Australian Museum</t>
  </si>
  <si>
    <t>Rennie, S (corresponding author), Univ Reading, Dept Meteorol, Earley Gate,POB 243, Reading RG6 6BB, Berks, England.</t>
  </si>
  <si>
    <t>s.j.rennie@reading.ac.uk; r.mccauley@cmst.curtin.edu.au; chari.pattiaratchi@uwa.edu.au</t>
  </si>
  <si>
    <t>; Pattiaratchi, Charitha/E-6916-2011</t>
  </si>
  <si>
    <t>Rennie, Susan/0000-0002-6111-8497; Pattiaratchi, Charitha/0000-0003-2229-6183</t>
  </si>
  <si>
    <t>Australian Defence Forces; Western Australian Exercise Area Blue Whale Project; Commonwealth Science and Industrial Research Organisation [SS 09/2003, SS 02/2004]; CSIRO Marine Research (Floreat)</t>
  </si>
  <si>
    <t>Australian Defence Forces; Western Australian Exercise Area Blue Whale Project; Commonwealth Science and Industrial Research Organisation; CSIRO Marine Research (Floreat)</t>
  </si>
  <si>
    <t>Australian Defence Forces funded this work for the Western Australian Exercise Area Blue Whale Project. The summary report McCauley, R., BannisterJ., Burton, C., Jenner, C., Rennie, S.&amp; Salgado Kent, C. (2004) Western Australian Exercise Area Blue Whale Project - Final Summary Report Milestone 6 is available at: http://www.cmst.curtin.edu.au/ publicat/index.html. Additional funding of whale surveys came from the Commonwealth Department of Environment and Heritage, and the Australian Antarctic Division for satellite tagging. The Southern Surveyor field cruises were sponsored by the Commonwealth Science and Industrial Research Organisation, and we acknowledge the captain, crew and fellow scientific participants on voyages SS 09/2003 and SS 02/2004 for their assistance. For the phytoplankton work, we thank A. Waite and S. Pesant for assistance in planning the field program, C. Salgado Kent for field support, and CSIRO Marine Research (Floreat) for use of the incubation equipment.</t>
  </si>
  <si>
    <t>0924-7963</t>
  </si>
  <si>
    <t>J MARINE SYST</t>
  </si>
  <si>
    <t>J. Mar. Syst.</t>
  </si>
  <si>
    <t>10.1016/j.jmarsys.2008.11.008</t>
  </si>
  <si>
    <t>Geosciences, Multidisciplinary; Marine &amp; Freshwater Biology; Oceanography</t>
  </si>
  <si>
    <t>Geology; Marine &amp; Freshwater Biology; Oceanography</t>
  </si>
  <si>
    <t>441YP</t>
  </si>
  <si>
    <t>WOS:000265806800002</t>
  </si>
  <si>
    <t>Ozaki, H; Obata, H; Naganobu, M; Gamo, T</t>
  </si>
  <si>
    <t>Ozaki, Hirokazu; Obata, Hajime; Naganobu, Mikio; Gamo, Toshitaka</t>
  </si>
  <si>
    <t>Long-term bottom water warming in the north Ross Sea</t>
  </si>
  <si>
    <t>JOURNAL OF OCEANOGRAPHY</t>
  </si>
  <si>
    <t>Bottom water circulation; dissolved oxygen; long-term change; potential temperature; Ross Sea; salinity</t>
  </si>
  <si>
    <t>MERIDIONAL OVERTURNING CIRCULATION; OCEAN</t>
  </si>
  <si>
    <t>We measured potential temperature, salinity, and dissolved oxygen profiles from the surface to the bottom at two locations in the north Ross Sea (65.2A degrees S, 174.2A degrees E and 67.2A degrees S, 172.7A degrees W) in December 2004. Comparison of our data with previous results from the same region reveals an increase in potential temperature and decreases in salinity and dissolved oxygen concentration in the bottom layer (deeper than 3000 m) over the past four decades. The changes were significantly different from the analytical precisions. Detailed investigation of the temperature, salinity, dissolved oxygen and sigma (3) value distributions and the bottom water flow in the north Ross Sea suggests a long-term change in water mass mixing balance. That is to say, it is speculated that the influence of cool, saline, high-oxygen bottom water (high-salinity Ross Sea Bottom Water) formed in the southwestern Ross Sea has possibly been decreased, while the influences of relatively warmer and fresher bottom water (low-salinity Ross Sea Bottom Water) and the Ad,lie Land Bottom Water coming from the Australia-Antarctic Basin have increased. The possible impact of global warming on ocean circulation needs much more investigation.</t>
  </si>
  <si>
    <t>[Ozaki, Hirokazu; Obata, Hajime; Gamo, Toshitaka] Univ Tokyo, Ocean Res Inst, Marine Inorgan Chem Grp, Nakano Ku, Tokyo 1648639, Japan; [Naganobu, Mikio] Natl Res Inst Far Seas Fisheries, Ocean Resources Div, So Ocean Living Resources Res Sect, Kanagawa 2368648, Japan</t>
  </si>
  <si>
    <t>University of Tokyo; Japan Fisheries Research &amp; Education Agency (FRA)</t>
  </si>
  <si>
    <t>Ozaki, H (corresponding author), Univ Tokyo, Bunkyo Ku, Tokyo 1138656, Japan.</t>
  </si>
  <si>
    <t>h_ozaki@ir3s.u-tokyo.ac.jp</t>
  </si>
  <si>
    <t>0916-8370</t>
  </si>
  <si>
    <t>1573-868X</t>
  </si>
  <si>
    <t>J OCEANOGR</t>
  </si>
  <si>
    <t>J. Oceanogr.</t>
  </si>
  <si>
    <t>10.1007/s10872-009-0022-z</t>
  </si>
  <si>
    <t>416AS</t>
  </si>
  <si>
    <t>WOS:000263978200009</t>
  </si>
  <si>
    <t>Ringsby, TH; Berge, T; Saether, BE; Jensen, H</t>
  </si>
  <si>
    <t>Ringsby, Thor H.; Berge, Torborg; Saether, Bernt-Erik; Jensen, Henrik</t>
  </si>
  <si>
    <t>Reproductive success and individual variation in feeding frequency of House Sparrows (Passer domesticus)</t>
  </si>
  <si>
    <t>JOURNAL OF ORNITHOLOGY</t>
  </si>
  <si>
    <t>Feeding rate; House sparrow; Micro transponder; Passer domesticus; Parental care; Reproductive success</t>
  </si>
  <si>
    <t>STARLINGS STURNUS-VULGARIS; LONG-LIVED SEABIRD; BADGE SIZE; PARENTAL CARE; SEXUAL SELECTION; BODY CONDITION; ANTARCTIC PETREL; CLUTCH-SIZE; BROOD SIZE; EXPERIMENTAL MANIPULATION</t>
  </si>
  <si>
    <t>Parental care is assumed to be closely associated with individual differences in reproductive success. We investigated how feeding frequencies varied among parents and how this affected the subsequent reproductive success in insular populations of House Sparrows Passer domesticus in northern Norway. Female parents fed their offspring more than male parents did, and the feeding rates were positively related to the feeding rates of the partner. A positive relationship between feeding rates and bill depth was present in females. In males, the feeding rates were negatively related to total badge size and positively related to visible badge size, after the effect of other variables had been taken into account. A non-linear convex relationship between feeding frequency and hatch day was present in males, which could reflect either the seasonal change in weather conditions or the seasonal variation in food availability. For both sexes, feeding frequencies increased with increasing brood size, but at the same time the average feeding rate per nestling decreased with increased brood sizes. Finally, our results indicate that the amount of parental investment, measured as feeding rates during the nestling stage, may have a positive long-term influence both on the number of fledglings that recruit as well as the probability that fledglings survive until recruitment.</t>
  </si>
  <si>
    <t>[Ringsby, Thor H.; Berge, Torborg; Saether, Bernt-Erik; Jensen, Henrik] Norwegian Univ Sci &amp; Technol, N-7034 Trondheim, Norway</t>
  </si>
  <si>
    <t>Norwegian University of Science &amp; Technology (NTNU)</t>
  </si>
  <si>
    <t>Ringsby, TH (corresponding author), Norwegian Univ Sci &amp; Technol, N-7034 Trondheim, Norway.</t>
  </si>
  <si>
    <t>Thor.Harald.Ringsby@bio.ntnu.no</t>
  </si>
  <si>
    <t>Jensen, Henrik/B-5085-2011</t>
  </si>
  <si>
    <t>Jensen, Henrik/0000-0001-7804-1564</t>
  </si>
  <si>
    <t>European Commission; Research Council of Norway</t>
  </si>
  <si>
    <t>European Commission(European Union (EU)European Commission Joint Research Centre); Research Council of Norway(Research Council of Norway)</t>
  </si>
  <si>
    <t>We are grateful to H. Ellegren and S. C. Griffith for helping with the genetic parenthood analyses. We also thank A. Altwegg and N. M. Pedersen for help in the field and D. W. Mock for useful comments on the manuscript. The study complied with the laws of animal welfare in Norway at the time the study was conducted. This study was supported with grants from the European Commission (project METABIRD) and the Research Council of Norway (Program for Conservation of Biodiversity, Strategic University Program in Conservation Biology and Storforsk).</t>
  </si>
  <si>
    <t>2193-7192</t>
  </si>
  <si>
    <t>2193-7206</t>
  </si>
  <si>
    <t>J ORNITHOL</t>
  </si>
  <si>
    <t>J. Ornithol.</t>
  </si>
  <si>
    <t>10.1007/s10336-008-0365-z</t>
  </si>
  <si>
    <t>416ZG</t>
  </si>
  <si>
    <t>WOS:000264043500015</t>
  </si>
  <si>
    <t>Nadeau, LP; Straub, DN</t>
  </si>
  <si>
    <t>Nadeau, Louis-Philippe; Straub, David N.</t>
  </si>
  <si>
    <t>Basin and Channel Contributions to a Model Antarctic Circumpolar Current</t>
  </si>
  <si>
    <t>JOURNAL OF PHYSICAL OCEANOGRAPHY</t>
  </si>
  <si>
    <t>QUASI-GEOSTROPHIC MODEL; BETA-PLANE CHANNEL; WIND-DRIVEN; ZONAL JETS; TRANSPORT; CIRCULATION; BALANCE; TOPOGRAPHY; DYNAMICS; FLOW</t>
  </si>
  <si>
    <t>The idea that basinlike dynamics may play a major role in determining the Antarctic Circumpolar Current (ACC) transport is revisited. A simple analytic model is developed to describe the relationship between the wind stress and transport. At very low-wind stress, a nonzero minimum is predicted. This is followed by two distinct dynamical regimes for stronger forcing: 1) a Stommel regime in which transport increases linearly with forcing strength; and 2) a saturation regime in which the transport levels off. The baroclinic structure of the Sverdrup flux into the Drake Passage latitude band is central to the analytic model, and the geometry of characteristics, or geostrophic contours, is key to predicting the transition between the two regimes. A robustness analysis is performed using an eddy-permitting quasigeostrophic model in idealized geometries. Many simulations were carried out in large domains across a range of forcing strengths. The simulations agree qualitatively with the analytic model, with two main discrepancies being related to zonal jet structures and to a western boundary inertial recirculation. Eddy fluxes associated with zonal jets modify the baroclinic structure and lower the saturation transport value. Inertial effects increase the transport, although this effect is mainly limited to smaller domains.</t>
  </si>
  <si>
    <t>[Nadeau, Louis-Philippe; Straub, David N.] McGill Univ, Dept Atmospher &amp; Ocean Sci, Montreal, PQ H2W 1S9, Canada</t>
  </si>
  <si>
    <t>McGill University</t>
  </si>
  <si>
    <t>Nadeau, LP (corresponding author), McGill Univ, Dept Atmospher &amp; Ocean Sci, 805 Sherbrooke St W, Montreal, PQ H2W 1S9, Canada.</t>
  </si>
  <si>
    <t>louis-philippe.nadeau@mail.mcgill.ca</t>
  </si>
  <si>
    <t>FQRNT; Hydro-Quebec; NSERC</t>
  </si>
  <si>
    <t>FQRNT(FQRNT); Hydro-Quebec; NSERC(Natural Sciences and Engineering Research Council of Canada (NSERC))</t>
  </si>
  <si>
    <t>We would like to thank two anonymous reviewers for their helpful comments and FQRNT, Hydro-Quebec, and NSERC for their financial support.</t>
  </si>
  <si>
    <t>0022-3670</t>
  </si>
  <si>
    <t>1520-0485</t>
  </si>
  <si>
    <t>J PHYS OCEANOGR</t>
  </si>
  <si>
    <t>J. Phys. Oceanogr.</t>
  </si>
  <si>
    <t>10.1175/2008JPO4023.1</t>
  </si>
  <si>
    <t>439PO</t>
  </si>
  <si>
    <t>hybrid, Green Submitted</t>
  </si>
  <si>
    <t>WOS:000265639700010</t>
  </si>
  <si>
    <t>Suárez, M; De La Cruz, R; Aguirre-Urreta, B; Fanning, M</t>
  </si>
  <si>
    <t>Suarez, M.; De La Cruz, R.; Aguirre-Urreta, B.; Fanning, M.</t>
  </si>
  <si>
    <t>Relationship between volcanism and marine sedimentation in northern Austral (Aisen) Basin, central Patagonia: Stratigraphic, U-Pb SHRIMP and paleontologic evidence</t>
  </si>
  <si>
    <t>JOURNAL OF SOUTH AMERICAN EARTH SCIENCES</t>
  </si>
  <si>
    <t>Austral Basin; Gondwana; Transgression; Volcanism; SHRIMP geochronology; Patagonia; Late Jurassic-Early Cretaceous</t>
  </si>
  <si>
    <t>ANTARCTIC PENINSULA; APELEG FORMATION; CHILE; GEOCHRONOLOGY; CORDILLERA; SEQUENCES; MAGMATISM; BATHOLITH; REGION; ROCKS</t>
  </si>
  <si>
    <t>The northernmost part of the oil-producing Austral Basin, known as Aisen Basin or Rio Mayo Embayrnent (in central Patagonian Cordillera; 43-46 degrees S), is a special area within the basin where the interplay between volcanism and the initial stages of its development can be established. Stratigraphic, paleontologic and five new U-Pb SHRIMP age determinations presented here indicate that the Aisen Basin was synchronous with the later phases of volcanism of the Ibanez Formation for at least 11 m.yr. during the Tithonian to early Hauterivian. In this basin marine sedimentary rocks of the basal units of the Coihaique Group accumulated overlying and interfingering with the Ibanez Formation. which represents the youngest episode of volcanism of a mainly Jurassic acid large igneous province (Chon Aike Province). Five new U-Pb SHRIMP magmatic ages ranging between 140.3 +/- 1.0 and 136.1 +/- 1.6 Ma (early Valanginian to early Hauterivian) were obtained from the Ibanez Formation whilst ammonites from the overlying and interfingering Toqui Formation, the basal unit of the Coihaique Group, indicate Tithonian, early Berriasian and late Berriasian ages. The latter was a synvolcanic shallow marine facies accumulated in an intra-arc setting, subsequently developed into a retro-arc basin. (C) 2008 Elsevier Ltd. All rights reserved.</t>
  </si>
  <si>
    <t>[Suarez, M.; De La Cruz, R.] Serv Nacl Geol &amp; Mineria, Santiago, Chile; [Aguirre-Urreta, B.] Univ Buenos Aires, CONICET, Dept Ciencias Geol, RA-1428 Buenos Aires, DF, Argentina; [Fanning, M.] Australian Nacl Univ, Res Sch Earth Sci, Canberra, CT 0200, Australia</t>
  </si>
  <si>
    <t>Consejo Nacional de Investigaciones Cientificas y Tecnicas (CONICET); University of Buenos Aires; Australian National University</t>
  </si>
  <si>
    <t>Suárez, M (corresponding author), Serv Nacl Geol &amp; Mineria, Ave Santa Maria 0104, Santiago, Chile.</t>
  </si>
  <si>
    <t>msuarez@sernageomin.cl</t>
  </si>
  <si>
    <t>Fanning, Christopher Mark/I-6449-2016</t>
  </si>
  <si>
    <t>Fanning, Christopher Mark/0000-0003-3331-3145</t>
  </si>
  <si>
    <t>FONDECYT [1030162, 1960097]; Servicio Nacional de Geologia y Mineria, Chile</t>
  </si>
  <si>
    <t>FONDECYT(Comision Nacional de Investigacion Cientifica y Tecnologica (CONICYT)CONICYT FONDECYT); Servicio Nacional de Geologia y Mineria, Chile</t>
  </si>
  <si>
    <t>This work was financed by FONDECYT Projects No 1030162 and No 1960097 and the Servicio Nacional de Geologia y Mineria, Chile. We acknowledge the field assistance and friendship of Leonardo Zuhiga.</t>
  </si>
  <si>
    <t>0895-9811</t>
  </si>
  <si>
    <t>J S AM EARTH SCI</t>
  </si>
  <si>
    <t>J. South Am. Earth Sci.</t>
  </si>
  <si>
    <t>10.1016/j.jsames.2008.11.009</t>
  </si>
  <si>
    <t>454HL</t>
  </si>
  <si>
    <t>WOS:000266672900006</t>
  </si>
  <si>
    <t>Mukhopadhyay, D; Basak, K</t>
  </si>
  <si>
    <t>Mukhopadhyay, Dhruba; Basak, Krishnapriya</t>
  </si>
  <si>
    <t>The Eastern Ghats Belt - A Polycyclic Granulite Terrain</t>
  </si>
  <si>
    <t>JOURNAL OF THE GEOLOGICAL SOCIETY OF INDIA</t>
  </si>
  <si>
    <t>Granulite terrain; Rodinia assembly; Pan-African events; Eastern Ghats</t>
  </si>
  <si>
    <t>P-T PATH; CALC-SILICATE GRANULITES; CHILKA LAKE AREA; PRAKASAM ALKALINE PROVINCE; MASSIF-TYPE ANORTHOSITE; SAPPHIRINE GRANULITES; MOBILE-BELT; U-PB; REACTION TEXTURES; RB-SR</t>
  </si>
  <si>
    <t>The Eastern Ghats Belt is a polycyclic granulite terrain along the cast coast of India whose western boundary is marked by a shear zone along which the granulites are thrusted over the cratonic units of the Indian shield, and its northern margin is marked by the presence of a number of fault-bounded blocks. Recent work has convincingly brought out that there are domains within the belt having different evolutionary histories. The segment south of the Godavari Rift went through a high grade thermo-tectonic event at similar to 1.6-1.7 Ga. North of the Godavari Rift in a narrow zone along the western boundary the last high-grade metamorphic event is of late Archaean age. A series of alkaline plutons along the western boundary zone testifies to a rifting episode at similar to 1.3-1.5 Ga. In the major part of the EGB the metamorphism is broadly of Grenvillian age, with two major thermo-tectonic pulses at similar to 1. 1-1.2 Ga and similar to 0.95-1.0 Ga. But high grade conditions persisted for a long period and younger thermal events of similar to 0.65 Ga to similar to 0.80 Ga are locally recorded. There are differences in the tectonometamorphic histories of different domains, but the tectonic significance of these differences remains uncertain. Pan-African (0.50-0.55) thermal overprints are common and become conspicuous along the western boundary, zone. The thrusting of the Eastern Ghats granulites in a hot state over the cratons to the west is of Pan-African age. In the Rodinia assembly (-0.9 Ga) the Eastern Ghats and the Rayner-Napier Complexes of Antarctica were contiguous, but the pre-Rodinia configuration of these terrains remains unclear. At similar to 0.8 Ga during the Rodinia break up Greater India rifted apart from East Antarctica, and only later it docked with Australia-East Antarctica at 530-550 Ma. The continuation of the East Antarctic Pan-African orogenic belts into the Eastern Ghats is yet to be ascertained.</t>
  </si>
  <si>
    <t>[Mukhopadhyay, Dhruba; Basak, Krishnapriya] Univ Calcutta, Dept Geol, Kolkata 700019, W Bengal, India</t>
  </si>
  <si>
    <t>University of Calcutta</t>
  </si>
  <si>
    <t>Mukhopadhyay, D (corresponding author), Univ Calcutta, Dept Geol, Kolkata 700019, W Bengal, India.</t>
  </si>
  <si>
    <t>dhruba_38@yahoo.co.uk</t>
  </si>
  <si>
    <t>SPRINGER INDIA</t>
  </si>
  <si>
    <t>NEW DELHI</t>
  </si>
  <si>
    <t>7TH FLOOR, VIJAYA BUILDING, 17, BARAKHAMBA ROAD, NEW DELHI, 110 001, INDIA</t>
  </si>
  <si>
    <t>0016-7622</t>
  </si>
  <si>
    <t>0974-6889</t>
  </si>
  <si>
    <t>J GEOL SOC INDIA</t>
  </si>
  <si>
    <t>J. Geol. Soc. India</t>
  </si>
  <si>
    <t>10.1007/s12594-009-0034-8</t>
  </si>
  <si>
    <t>431FT</t>
  </si>
  <si>
    <t>WOS:000265047500005</t>
  </si>
  <si>
    <t>Han, JM; Choi, BG</t>
  </si>
  <si>
    <t>Han, Jang Mi; Choi, Byeon-Gak</t>
  </si>
  <si>
    <t>Metamorphic Temperatures of Equilibrated Ordinary Chondrites Recovered by the 1st and 2nd Korea Expedition for Antarctic Meteorites</t>
  </si>
  <si>
    <t>JOURNAL OF THE GEOLOGICAL SOCIETY OF KOREA</t>
  </si>
  <si>
    <t>Korean</t>
  </si>
  <si>
    <t>ordinary chondrites; metamorphic temperatures; pyroxene thermometry; olivine-spinel thermometry</t>
  </si>
  <si>
    <t>PETROGENETIC INDICATORS; SHOCK METAMORPHISM; THERMAL HISTORY; PYROXENE; SPINEL; OLIVINE</t>
  </si>
  <si>
    <t>In order to understand the thermal evolution of chondritic parent asteroids, it is important to determine the peak metamorphic temperatures of chondrites. We calculated metamorphic temperatures of 14 equilibrated ordinary chondrites recovered from the Thiel Mountains, West Antarctica, by Korea Expeditions using the pyroxene and olivine-spinel geothermometers. Average metamorphic temperatures using the olivine-spinel thermometry are 693-737 degrees C in eight petrological type-6 chondrites, 669-681 degrees C in five type-5 chondrites and 660 degrees C in one type-4 chondrite. Pyroxene thermometry applied for type-6 chondrites gives systematically 110-280 degrees C higher temperatures relative to those by the olivine-spinel thermometry. Our results agree with previous studies applied for other ordinary chondrites of the same petrological types. Discrepancy between olivine-spinel and pyroxene thermometers implies that the later may indicate the peak metamorphic temperatures, while the former recorded the blocking temperatures of cation exchange during cooling of chondrite parent asteroids. The olivine-spinel temperatures are lower in type-4 and -5 chondrites relative to type-6, possibly suggesting that low-type chondrites were cooled slower than higher-type chondrites.</t>
  </si>
  <si>
    <t>[Han, Jang Mi; Choi, Byeon-Gak] Seoul Natl Univ, Dept Earth Sci Educ, Seoul 151748, South Korea</t>
  </si>
  <si>
    <t>Seoul National University (SNU)</t>
  </si>
  <si>
    <t>Choi, BG (corresponding author), Seoul Natl Univ, Dept Earth Sci Educ, Seoul 151748, South Korea.</t>
  </si>
  <si>
    <t>bchoi@snu.ac.kr</t>
  </si>
  <si>
    <t>GEOLOGICAL SOC KOREA</t>
  </si>
  <si>
    <t>SEOUL</t>
  </si>
  <si>
    <t>KOREA SCIENCE &amp; TECHNOLOGY CTR, RM 813, 7 GIL 22, TEHERAN- RO, GANGNAM-GUNA, SEOUL, 06130, SOUTH KOREA</t>
  </si>
  <si>
    <t>0435-4036</t>
  </si>
  <si>
    <t>2288-7377</t>
  </si>
  <si>
    <t>J GEOL SOC KOREA</t>
  </si>
  <si>
    <t>J. Geol. Soc. Korea</t>
  </si>
  <si>
    <t>VH7CN</t>
  </si>
  <si>
    <t>WOS:000453985800006</t>
  </si>
  <si>
    <t>Thalmann, SJ; Baker, GB; Hindell, M; Tuck, GN</t>
  </si>
  <si>
    <t>Thalmann, Sam J.; Baker, G. Barry; Hindell, Mark; Tuck, Geoffrey N.</t>
  </si>
  <si>
    <t>Longline Fisheries and Foraging Distribution of Flesh-Footed Shearwaters in Eastern Australia</t>
  </si>
  <si>
    <t>JOURNAL OF WILDLIFE MANAGEMENT</t>
  </si>
  <si>
    <t>Australian Fishery Zone; flesh-footed shearwaters; geolocation; habitat utilization; longline fishery; Puffinus carneipes; seabird bycatch</t>
  </si>
  <si>
    <t>SOUTHERN ELEPHANT SEALS; PUFFINUS-CARNEIPES; NORTH PACIFIC; MITIGATION MEASURES; CORYS SHEARWATER; CATCH RATES; SEABIRDS; FRONT; GEOLOCATION; ALBATROSSES</t>
  </si>
  <si>
    <t>Incidental seabird mortality associated with bycatch during longline commercial fishing is a conservation concern. An initial step to estimating likelihood of seabird bycatch and conceiving conservation strategies is determining amount of overlap between foraging birds and commercial fishing effort, identifying oceanographic features associated with foraging birds, and quantifying dive characteristics. We tracked 24 adult flesh-footed shearwaters (Puffinus carneipes) breeding on Lord Howe Island located east of Australia during incubation and early and late chick-rearing periods from 6 January to 17 April 2005. At-sea foraging distribution of flesh-footed shearwaters was primarily confined within the jurisdictional Australian Fishing Zone. Foraging was strongly associated with sea-surface temperature &gt;248 degrees C. Spatial and temporal overlap of longline fishing with foraging shearwaters varied throughout the breeding season, but was greatest (63% overlap) during early chick-rearing. Mean maximum distance reached from the breeding colony during a foraging event was 804 km (SD 280) from Lord Howe Island. Foraging behavior was strongly diurnal, with 91% of dives occurring during daylight, and most dives (77%) were &lt;5 m. Given that longline fishing and flesh-footed shearwaters overlap substantially, the Australian Fisheries Management Authority should consider implementing additional regulations to further reduce bycatch. Conservation strategies such as setting longlines at nights may reduce flesh-footed shearwater bycatch. (JOURNAL OF WILDLIFE MANAGEMENT 73(3):399-406;2009)</t>
  </si>
  <si>
    <t>[Thalmann, Sam J.; Hindell, Mark] Univ Tasmania, Antarctic Wildlife Res Unit, Sch Zool, Hobart, Tas 7001, Australia; [Baker, G. Barry] Univ Tasmania, Inst Antarctic &amp; So Ocean Studies, Hobart, Tas 7001, Australia; [Tuck, Geoffrey N.] Australian Commonwealth Sci &amp; Ind Res Org Marine, Hobart, Tas 7001, Australia</t>
  </si>
  <si>
    <t>University of Tasmania; University of Tasmania; Commonwealth Scientific &amp; Industrial Research Organisation (CSIRO)</t>
  </si>
  <si>
    <t>Thalmann, SJ (corresponding author), Univ Tasmania, Antarctic Wildlife Res Unit, Sch Zool, GPO Box 252-05, Hobart, Tas 7001, Australia.</t>
  </si>
  <si>
    <t>Samthalmann@gmail.com</t>
  </si>
  <si>
    <t>Bond, Alexander L/A-3786-2010; Hindell, Mark A/K-1131-2013; Tuck, Geoff/E-2356-2012</t>
  </si>
  <si>
    <t>Tuck, Geoff/0000-0002-3640-6147; Hindell, Mark/0000-0002-7823-7185; Baker, G. Barry/0000-0003-4766-8182</t>
  </si>
  <si>
    <t>Natural Heritage Trust; CSIRO</t>
  </si>
  <si>
    <t>Natural Heritage Trust; CSIRO(Commonwealth Scientific &amp; Industrial Research Organisation (CSIRO))</t>
  </si>
  <si>
    <t>The program for determining geo-locations was developed by T. Patterson from CSIRO and performed at CSIRO Marine Laboratories, Tasmania. Funding was provided by the Natural Heritage Trust and CSIRO. This project was approved by the Lord Howe Island board, conducted under University of Tasmanian animal ethics approval, and New South Wales National Parks and Wildlife Service Scientific Investigation License A2635. D. Priddel, N. Carlisle, and M. Lea kindly assisted with fieldwork. We thank 2 anonymous referees for comments on an earlier draft of our manuscript.</t>
  </si>
  <si>
    <t>0022-541X</t>
  </si>
  <si>
    <t>1937-2817</t>
  </si>
  <si>
    <t>J WILDLIFE MANAGE</t>
  </si>
  <si>
    <t>J. Wildl. Manage.</t>
  </si>
  <si>
    <t>10.2193/2007-461</t>
  </si>
  <si>
    <t>Ecology; Zoology</t>
  </si>
  <si>
    <t>Environmental Sciences &amp; Ecology; Zoology</t>
  </si>
  <si>
    <t>430ZW</t>
  </si>
  <si>
    <t>Green Submitted, Green Accepted</t>
  </si>
  <si>
    <t>WOS:000265032100014</t>
  </si>
  <si>
    <t>Lehette, P; Hernández-León, S</t>
  </si>
  <si>
    <t>Lehette, Pascal; Hernandez-Leon, Santiago</t>
  </si>
  <si>
    <t>Zooplankton biomass estimation from digitized images: a comparison between subtropical and Antarctic organisms</t>
  </si>
  <si>
    <t>SILHOUETTE PHOTOGRAPHY; DRY-WEIGHT; IDENTIFICATION; CARBON; ENUMERATION; SAMPLES; SYSTEM; OCEAN</t>
  </si>
  <si>
    <t>The measurement of mesozooplankton biomass in the ocean requires the use of analytical procedures that destroy the samples. Alternatively, the development of methods to estimate biomass from optical systems and appropriate conversion factors could be a compromise between the accuracy of analytical methods and the need to preserve the samples for further taxonomic studies. The conversion of the body area recorded by an optical counter or a camera, by converting the digitized area of an organism into individual biomass, was suggested as a suitable method to estimate total biomass. In this study, crustacean mesozooplankton from subtropical waters were analyzed, and individual dry weight and body area were compared. The obtained relationships agreed with other measurements of biomass obtained from a previous study in Antarctic waters. Gelatinous mesozooplankton from subtropical and Antarctic waters were also sampled and processed for body area and biomass. As expected, differences between crustacean and gelatinous plankton were highly significant. Transparent gelatinous organisms have a lower dry weight per unit area. Therefore, to estimate biomass from digitized images, pattern recognition discerning, at least, between crustaceans and gelatinous forms is required.</t>
  </si>
  <si>
    <t>[Lehette, Pascal; Hernandez-Leon, Santiago] Univ Las Palmas Gran Canaria, Fac Ciencias Mar, Biol Oceanog Lab, Canary Isl, Spain</t>
  </si>
  <si>
    <t>Universidad de Las Palmas de Gran Canaria</t>
  </si>
  <si>
    <t>Lehette, P (corresponding author), Univ Las Palmas Gran Canaria, Fac Ciencias Mar, Biol Oceanog Lab, Canary Isl, Spain.</t>
  </si>
  <si>
    <t>pascal.lehette101@doctorandos.ulpgc.es</t>
  </si>
  <si>
    <t>Hernández-León, Santiago/M-2563-2014; Lehette, Pascal/L-3853-2017</t>
  </si>
  <si>
    <t>Lehette, Pascal/0000-0002-6923-6359; Hernandez-Leon, Santiago/0000-0002-3085-4969</t>
  </si>
  <si>
    <t>Spanish projects ICEPOS [Ren2002-04165]; ConAfrica [CTM2004-02319]; CICYT (Spanish Commission for Science and Technology)</t>
  </si>
  <si>
    <t>Spanish projects ICEPOS; ConAfrica; CICYT (Spanish Commission for Science and Technology)(Consejo Interinstitucional de Ciencia y Tecnologia (CICYT))</t>
  </si>
  <si>
    <t>This research was financially supported by Spanish projects ICEPOS (Ren2002-04165) and ConAfrica (CTM2004-02319) from the CICYT (Spanish Commission for Science and Technology). We acknowledge the assistance at sea of the members of the UTM (Unidad de Tecnologia Marina) and the crew of the R/V HespErides. The authors are indebted to A. Santana and J. C. GUmez Fernandez for their help and advice.</t>
  </si>
  <si>
    <t>10.4319/lom.2009.7.304</t>
  </si>
  <si>
    <t>458IM</t>
  </si>
  <si>
    <t>WOS:000267010800005</t>
  </si>
  <si>
    <t>Swift, HF; Hamner, WM; Robison, BH; Madin, LP</t>
  </si>
  <si>
    <t>Swift, Holly F.; Hamner, William M.; Robison, Bruce H.; Madin, Laurence P.</t>
  </si>
  <si>
    <t>Feeding behavior of the ctenophore Thalassocalyce inconstans: revision of anatomy of the order Thalassocalycida</t>
  </si>
  <si>
    <t>LOW DISSOLVED-OXYGEN; GULF-OF-CALIFORNIA; EUPHAUSIA-SUPERBA; VERTICAL-DISTRIBUTION; ANTARCTIC KRILL; UNDERWATER OBSERVATIONS; GELATINOUS ZOOPLANKTON; HYPOXIA TOLERANCE; MNEMIOPSIS-LEIDYI; INTRAGEL OXYGEN</t>
  </si>
  <si>
    <t>Behavioral observations using a remotely operated vehicle (ROV) in the Gulf of California in March, 2003, provided insights into the vertical distribution, feeding and anatomy of the rare and delicate ctenophore Thalassocalyce inconstans. Additional archived ROV video records from the Monterey Bay Aquarium Research Institute of 288 sightings of T. inconstans and 2,437 individual observations of euphausiids in the Gulf of California and Monterey Canyon between 1989 and 2005 were examined to determine ctenophore and euphausiid prey depth distributions with respect to temperature and dissolved oxygen concentration [dO]. In the Gulf of California most ctenophores (96.9%) were above 350 m, the top of the oxygen minimum layer. In Monterey Canyon the ctenophores were more widely distributed throughout the water column, including the hypoxic zone, to depths as great as 3,500 m. Computer-aided behavioral analysis of two video records of the capture of euphausiids by T. inconstans showed that the ctenophore contracted its bell almost instantly (0.5 s), transforming its flattened, hemispherical resting shape into a closed bi-lobed globe in which seawater and prey were engulfed. Euphausiids entrapped within the globe displayed a previously undescribed escape response for krill ('probing behavior'), in which they hovered and gently probed the inner surfaces of the globe with antennae without stimulating further contraction by the ctenophore. Such rapid bell contraction could be effected only by a peripheral sphincter muscle even though the presence of circumferential ring musculature was unknown for the Phylum Ctenophora. Thereafter, several live T. inconstans were collected by hand off Barbados and microscopic observations confirmed that assumption.</t>
  </si>
  <si>
    <t>[Swift, Holly F.] Univ Calif Merced, Sch Nat Sci, Merced, CA 95344 USA; [Hamner, William M.] Univ Calif Los Angeles, Dept Ecol &amp; Evolutionary Biol, Los Angeles, CA 90095 USA; [Robison, Bruce H.] Monterey Bay Aquarium Res Inst, Moss Landing, CA 95039 USA; [Madin, Laurence P.] Woods Hole Oceanog Inst, Woods Hole, MA 02543 USA</t>
  </si>
  <si>
    <t>University of California System; University of California Merced; University of California System; University of California Los Angeles; Monterey Bay Aquarium Research Institute; Woods Hole Oceanographic Institution</t>
  </si>
  <si>
    <t>Swift, HF (corresponding author), Univ Calif Merced, Sch Nat Sci, Merced, CA 95344 USA.</t>
  </si>
  <si>
    <t>hswift@ucmerced.edu</t>
  </si>
  <si>
    <t>David and Lucile Packard Foundation; NOAA [NA06OAR4600091]</t>
  </si>
  <si>
    <t>David and Lucile Packard Foundation(The David &amp; Lucile Packard Foundation); NOAA(National Oceanic Atmospheric Admin (NOAA) - USA)</t>
  </si>
  <si>
    <t>The authors thank MBARI for the use of its archives and video software. The help of George Matsumoto, Tony Moss, and Jack Costello, who read early versions of this manuscript, and Mike Dawson, who assisted with later drafts, is greatly appreciated. George Matsumoto and Kevin Raskoff were invaluable in assisting with questions about MBARI archives and data. We thank the pilots of MBARI's ROVs, Tiburon and Ventana, and the crews of the support ships R/V Western Flyer and R/V Point Lobos. Supported by the David and Lucile Packard Foundation and NOAA Grant # NA06OAR4600091.</t>
  </si>
  <si>
    <t>10.1007/s00227-009-1149-6</t>
  </si>
  <si>
    <t>413YA</t>
  </si>
  <si>
    <t>hybrid, Green Published</t>
  </si>
  <si>
    <t>WOS:000263829900020</t>
  </si>
  <si>
    <t>Higgs, ND; Reed, AJ; Hooke, R; Honey, DJ; Heilmayer, O; Thatje, S</t>
  </si>
  <si>
    <t>Higgs, Nicholas D.; Reed, Adam J.; Hooke, Rachel; Honey, David J.; Heilmayer, Olaf; Thatje, Sven</t>
  </si>
  <si>
    <t>Growth and reproduction in the Antarctic brooding bivalve Adacnarca nitens (Philobryidae) from the Ross Sea</t>
  </si>
  <si>
    <t>DISPERSAL MECHANISMS; INVERTEBRATES; COMMUNITIES; STRATEGIES; GASTROPODS; DIVERSITY; PARADIGM; MOLLUSKS; BIOLOGY; BIOMASS</t>
  </si>
  <si>
    <t>We present information on the reproductive biology, population structure, and growth of the brooding Antarctic bivalve Adacnarca nitens Pelseneer 1903, from the Ross Sea, Antarctica. Individuals ranging from 0.85 to 6.00 mm were found attached to a hydrozoan colony. This species shows low fecundity and large egg size, common to other brooding species. The minimum size at which oogenesis was detected was 2.3 mm and the minimum size at which brooding was evident was 3.9 mm. Embryos of a full range of developmental stages were brooded simultaneously in females. The population showed a log-normal distribution and results suggest non-periodic reproduction with continuous embryonic development. The reproductive traits of A. nitens are discussed in the context of circum-Antarctic species distribution and limitations to dispersal in brooding benthic invertebrates.</t>
  </si>
  <si>
    <t>[Higgs, Nicholas D.; Reed, Adam J.; Hooke, Rachel; Honey, David J.; Heilmayer, Olaf; Thatje, Sven] Univ Southampton, Sch Ocean &amp; Earth Sci, Natl Oceanog Ctr Southampton, Southampton SO14 3ZH, Hants, England</t>
  </si>
  <si>
    <t>Thatje, S (corresponding author), Univ Southampton, Sch Ocean &amp; Earth Sci, Natl Oceanog Ctr Southampton, European Way, Southampton SO14 3ZH, Hants, England.</t>
  </si>
  <si>
    <t>svth@noc.soton.ac.uk</t>
  </si>
  <si>
    <t>Higgs, Nicholas D/C-5484-2008; Reed, Adam/Q-7276-2017; Higgs, Nicholas/N-5117-2015</t>
  </si>
  <si>
    <t>Reed, Adam/0000-0003-2200-5067; Higgs, Nicholas/0000-0001-8029-1001; Heilmayer, Olaf/0000-0003-1849-1381</t>
  </si>
  <si>
    <t>6th European Framework Programme (FP6) [GOCE-CT-2003-505446]</t>
  </si>
  <si>
    <t>6th European Framework Programme (FP6)(European Union (EU))</t>
  </si>
  <si>
    <t>N.D. Higgs and A.J. Reed equally contributed to this work. The authors express their thanks to Peter Rehm and the members and crew of the Italian R/V Italica expedition for collection of samples. Katrin Linse is thanked for confirming the species identification. This project was supported by the Marine Biodiversity and Ecosystem Functioning Network of Excellence, MarBEF ( Contract no. GOCE-CT-2003-505446) of the 6th European Framework Programme (FP6).</t>
  </si>
  <si>
    <t>10.1007/s00227-009-1154-9</t>
  </si>
  <si>
    <t>WOS:000263829900022</t>
  </si>
  <si>
    <t>Friedlaender, AS; Lawson, GL; Halpin, PN</t>
  </si>
  <si>
    <t>Friedlaender, Ari S.; Lawson, Gareth L.; Halpin, Patrick N.</t>
  </si>
  <si>
    <t>Evidence of resource partitioning between humpback and minke whales around the western Antarctic Peninsula</t>
  </si>
  <si>
    <t>MARINE MAMMAL SCIENCE</t>
  </si>
  <si>
    <t>diving and foraging behavior; krill; spatial analysis; whales; Antarctica</t>
  </si>
  <si>
    <t>CONTINENTAL-SHELF; MARGUERITE BAY; AUSTRAL FALL; ABUNDANCE; WINTER; ZOOPLANKTON; FOOD</t>
  </si>
  <si>
    <t>For closely related sympatric species to coexist, they must differ to some degree in their ecological requirements or niches (e.g., diets) to avoid interspecific competition. Baleen whales in the Antarctic feed primarily on krill, and the large sympatric prewhaling community suggests resource partitioning among these species or a nonlimiting prey resource. In order to examine ecological differences between sympatric humpback and minke whales around the Western Antarctic Peninsula, we made measurements of the physical environment, observations of whale distribution, and concurrent acoustic measurements of krill aggregations. Mantel's tests and classification and regression tree models indicate both similarities and differences in the spatial associations between humpback and minke whales, environmental features, and prey. The data suggest (1) similarities (proximity to shore) and differences (prey abundance versus deep water temperatures) in horizontal spatial distribution patterns, (2) unambiguous vertical resource partitioning with minke whales associating with deeper krill aggregations across a range of spatial scales, and (3) that interference competition between these two species is unlikely. These results add to the paucity of ecological knowledge relating baleen whales and their prey in the Antarctic and should be considered in conservation and management efforts for Southern Ocean cetaceans and ecosystems.</t>
  </si>
  <si>
    <t>[Friedlaender, Ari S.; Halpin, Patrick N.] Duke Univ, Marine Lab, Beaufort, NC 28516 USA; [Friedlaender, Ari S.; Halpin, Patrick N.] Duke Univ, Marine Geospatial Ecol Lab, Nicholas Sch Environm &amp; Earth Sci, Durham, NC 27708 USA; [Lawson, Gareth L.] Woods Hole Oceanog Inst, Woods Hole, MA 02543 USA</t>
  </si>
  <si>
    <t>Duke University; Duke University; Woods Hole Oceanographic Institution</t>
  </si>
  <si>
    <t>Friedlaender, AS (corresponding author), Duke Univ, Marine Lab, 135 Pivers Isl Rd, Beaufort, NC 28516 USA.</t>
  </si>
  <si>
    <t>International Whaling Commission; Duke University Marine Laboratory; NSF US Antarctic Program [OPP-9910307]; Southern Ocean GLOBEC; Office of Naval Research [N00014-03-1-0212]</t>
  </si>
  <si>
    <t>International Whaling Commission; Duke University Marine Laboratory; NSF US Antarctic Program; Southern Ocean GLOBEC; Office of Naval Research(Office of Naval Research)</t>
  </si>
  <si>
    <t>We thank the officers and crew of the Nathaniel B Palmer and Lawrence M Gould for their cooperation in conducting field work. We also thank the whale observers and members of the BIOMAPER team without whom these data could not have been collected. We are grateful to Drs. E. Hofmann, R. Barber, P. Wiebe, D. Thiele, and A. Read and anonymous reviewers for their thoughtful and constructive comments. This research was supported by the International Whaling Commission, the Duke University Marine Laboratory, NSF US Antarctic Program Grant OPP-9910307 as part of the Southern Ocean GLOBEC project, and a Fulbright Scholarship and Office of Naval Research Grant N00014-03-1-0212 (to G. Lawson).</t>
  </si>
  <si>
    <t>0824-0469</t>
  </si>
  <si>
    <t>1748-7692</t>
  </si>
  <si>
    <t>MAR MAMMAL SCI</t>
  </si>
  <si>
    <t>Mar. Mamm. Sci.</t>
  </si>
  <si>
    <t>10.1111/j.1748-7692.2008.00263.x</t>
  </si>
  <si>
    <t>433TM</t>
  </si>
  <si>
    <t>WOS:000265228700009</t>
  </si>
  <si>
    <t>Pirzl, R; Patenaude, NJ; Burnell, S; Bannister, J</t>
  </si>
  <si>
    <t>Pirzl, Rebecca; Patenaude, Nathalie J.; Burnell, Stephen; Bannister, John</t>
  </si>
  <si>
    <t>Movements of southern right whales (Eubalaena australis) between Australian and subantarctic New Zealand populations</t>
  </si>
  <si>
    <t>DIVERSITY</t>
  </si>
  <si>
    <t>[Pirzl, Rebecca] Deakin Univ, Sch Life &amp; Environm Sci, Warrnambool, Vic 3280, Australia; [Patenaude, Nathalie J.] LGL Ltd, King City, ON L7B 1A6, Canada; [Burnell, Stephen] S Australian Museum, Adelaide, SA 5000, Australia; [Bannister, John] Western Australian Museum, Welshpool Dc, WA 6986, Australia</t>
  </si>
  <si>
    <t>Deakin University; Western Australian Museum</t>
  </si>
  <si>
    <t>Pirzl, R (corresponding author), Deakin Univ, Sch Life &amp; Environm Sci, POB 423, Warrnambool, Vic 3280, Australia.</t>
  </si>
  <si>
    <t>rpirzl@ozemail.com.au</t>
  </si>
  <si>
    <t>Pirzl, Rebecca/G-6151-2019</t>
  </si>
  <si>
    <t>Pirzl, Rebecca/0000-0002-4302-0736</t>
  </si>
  <si>
    <t>DEWHA; U.S. Department of State; Auckland University Research Council; Whale and Dolphin Conservation Society; Shell/WWF New Zealand; Percy Slade Memorial Fund; Western Australian Museum</t>
  </si>
  <si>
    <t>The authors thank Philip Hamilton, Catherine Kemper, Robyn McCulloch, Desray Reeb, Victoria Rowntree, Lex Hiby, Mandy Watson, and Ian Westhorpe for assistance with image matching, Barbara Todd and Mandy Watson for access to photo-identification images, and numerous field staff for data collection. BHP and the Australian Department of the Environment, Water, Heritage and the Arts (DEWHA) primarily funded Australian surveys. New Zealand surveys were funded by grants from the U.S. Department of State (Program for Cooperative U.S./NZ Antarctic Research), the Auckland University Research Council, the Whale and Dolphin Conservation Society, Shell/WWF New Zealand, and the Percy Slade Memorial Fund. Non-systematic photo-identification images were contributed by a number of organizations and individuals. The comparisons reported here were undertaken at a workshop funded by DEWHA with in-kind support from the South Australian Museum and workshop participants. Bannister thanks the Trustees, Executive Director, and staff of the Western Australian Museum for continued support and assistance. We thank Dr. James Estes, Dr. Doug Nowacek, and two anonymous reviewers for comments that improved this manuscript.</t>
  </si>
  <si>
    <t>10.1111/j.1748-7692.2008.00276.x</t>
  </si>
  <si>
    <t>WOS:000265228700015</t>
  </si>
  <si>
    <t>Chambellant, M; Ferguson, SH</t>
  </si>
  <si>
    <t>Chambellant, Magaly; Ferguson, Steven H.</t>
  </si>
  <si>
    <t>Ageing live ringed seals (Phoca hispida): Which tooth to pull?</t>
  </si>
  <si>
    <t>ANTARCTIC FUR SEALS; AGE-ESTIMATION; HARP SEAL; GROWTH; ACCURACY</t>
  </si>
  <si>
    <t>[Chambellant, Magaly] Univ Manitoba, Dept Biol Sci, Winnipeg, MB R3T 2N2, Canada; [Chambellant, Magaly; Ferguson, Steven H.] Fisheries &amp; Oceans Canada, Winnipeg, MB R3T 2N6, Canada</t>
  </si>
  <si>
    <t>University of Manitoba; Fisheries &amp; Oceans Canada</t>
  </si>
  <si>
    <t>Chambellant, M (corresponding author), Univ Manitoba, Dept Biol Sci, Winnipeg, MB R3T 2N2, Canada.</t>
  </si>
  <si>
    <t>magaly.chambellant@dfo-mpo.gc.ca</t>
  </si>
  <si>
    <t>Fisheries and Oceans Canada; Manitoba HydroUniversity of Manitoba; ArcticNet; Nunavut Wildlife Management Board</t>
  </si>
  <si>
    <t>We thank the Arviat Hunters and Trappers Organization, the Sanikiluaq Hunters and Trappers Association, Frank Nuturasungnik, Lucassie Ippak, Lucassie Takatak, and hunters from the communities of Arviat and Sanikiluaq, Nunavut, Canada, for providing seal samples. Drs. M. Hammill and I. Stirling warmly welcomed MC in their respective laboratories. Jean-Francois Gosselin, Richard LabbE and Cheryl Spencer provided valuable advice and support during the process of learning ageing procedures. Sebastian Luque provided useful comments and help with the use of the GNU R system. The manuscript was improved thanks to comments from Dr. R. E. A. Stewart and three anonymous reviewers. Seal sample collections were conducted under Fisheries and Oceans Canada License to fish for scientific purposes. This research was funded by Fisheries and Oceans Canada, Manitoba Hydro, University of Manitoba, ArcticNet, and the Nunavut Wildlife Management Board.</t>
  </si>
  <si>
    <t>10.1111/j.1748-7692.2008.00269.x</t>
  </si>
  <si>
    <t>WOS:000265228700017</t>
  </si>
  <si>
    <t>Riley, TR; Curtis, ML; Leat, PT; Millar, IL</t>
  </si>
  <si>
    <t>Riley, T. R.; Curtis, M. L.; Leat, P. T.; Millar, I. L.</t>
  </si>
  <si>
    <t>The geochemistry of Middle Jurassic dykes associated with the Straumsvola-Tvora alkaline plutons, Dronning Maud Land, Antarctica and their association with the Karoo large igneous province</t>
  </si>
  <si>
    <t>MINERALOGICAL MAGAZINE</t>
  </si>
  <si>
    <t>Gondwana; basanite; tephrite; phonolite; syenite; rift</t>
  </si>
  <si>
    <t>GEOLOGICAL CONSTRAINTS; GIANT OKAVANGO; BREAK-UP; PETROGENESIS; GEOCHRONOLOGY; EVOLUTION; COMPLEX; BASALTS; RIFT; AGE</t>
  </si>
  <si>
    <t>Jurassic dykes of western Dronning Maud Land (Antarctica) form a minor component of the Karoo large igneous province. Ail extensive local dyke swarm intrudes Neoproterozoic gneisses and Jurassic syenite plutons oil the margins of the Jutulstraumen palaeo rift in the Svedrupfjella region. The dykes were intruded in three distinct episodes (similar to 204, similar to 176 and similar to 170 Ma). The 204 Ma dykes are overwhelmingly low-Ti, olivine tholeiites including some primitive (pieritic) compositions (MgO &gt;12 wt.%; Fe2O3 &gt;12 wt.%; Cr &gt;1000 ppm; Ni &gt;600 ppm). This 204 Ma event precedes the main Karoo volcanic event by similar to 25 Ma, so any correlations to the wider province are difficult to make. However, it may record the earliest phase of rill activity along the Jutulstraumen. The 176 Ma dyke event is more intimately associated with the two syenite plutons. The dykes are alkaline (basanite/tephrite) and were small-degree melts from an enriched, locally derived Source and underwent at least some degree of interaction with a syenitic contaminant. This similar to 176 Ma dyke event is widespread elsewhere in the Karoo (southern Africa and Dronning Maud Land). Later-stage (170 Ma) felsic (phonolite-comendite) dykes intrude the 176 Ma basanite-tephrite suite and represent the last phase of magmatic activity in the region.</t>
  </si>
  <si>
    <t>[Riley, T. R.; Curtis, M. L.; Leat, P. T.] British Antarctic Survey, NERC, Cambridge CB3 0ET, England; [Millar, I. L.] NERC Isotope Geosci Lab, Keyworth NG12 5GG, Notts, England</t>
  </si>
  <si>
    <t>UK Research &amp; Innovation (UKRI); Natural Environment Research Council (NERC); NERC British Antarctic Survey; UK Research &amp; Innovation (UKRI); Natural Environment Research Council (NERC); NERC British Geological Survey</t>
  </si>
  <si>
    <t>Riley, TR (corresponding author), British Antarctic Survey, NERC, Madingley Rd,High Cross, Cambridge CB3 0ET, England.</t>
  </si>
  <si>
    <t>t.riley@bas.ac.uk</t>
  </si>
  <si>
    <t>Curtis, Mike/HKV-6176-2023; Millar, Ian L/F-1541-2010</t>
  </si>
  <si>
    <t>Riley, Teal/0000-0002-3333-5021</t>
  </si>
  <si>
    <t>British Antarctic Survey; SANAE; NERC [bgs04003, bas010020] Funding Source: UKRI; Natural Environment Research Council [bas010020, bgs04003] Funding Source: researchfish</t>
  </si>
  <si>
    <t>British Antarctic Survey; SANAE; NERC(UK Research &amp; Innovation (UKRI)Natural Environment Research Council (NERC)); Natural Environment Research Council(UK Research &amp; Innovation (UKRI)Natural Environment Research Council (NERC))</t>
  </si>
  <si>
    <t>Field support was provided by the British Antarctic Survey air unit and the staff at SANAE research station. Steve Hinde and Rob Smith are thanked for field assistance. The authors are grateful to Kathryn Goodenough for a thorough review, which significantly improved the manuscript.</t>
  </si>
  <si>
    <t>MINERALOGICAL SOC</t>
  </si>
  <si>
    <t>TWICKENHAM</t>
  </si>
  <si>
    <t>12 BAYLIS MEWS, AMYAND PARK ROAD,, TWICKENHAM TW1 3HQ, MIDDLESEX, ENGLAND</t>
  </si>
  <si>
    <t>0026-461X</t>
  </si>
  <si>
    <t>1471-8022</t>
  </si>
  <si>
    <t>MINERAL MAG</t>
  </si>
  <si>
    <t>Mineral. Mag.</t>
  </si>
  <si>
    <t>10.1180/minmag.2009.073.2.205</t>
  </si>
  <si>
    <t>Mineralogy</t>
  </si>
  <si>
    <t>490QB</t>
  </si>
  <si>
    <t>WOS:000269515000004</t>
  </si>
  <si>
    <t>Ivanov, VS; Kravchun, PN</t>
  </si>
  <si>
    <t>Ivanov, V. S.; Kravchun, P. N.</t>
  </si>
  <si>
    <t>The influence of the benthic frontal zone on acoustic wave propagation in the ocean and evaluation of the possibilities of its ray tomography</t>
  </si>
  <si>
    <t>MOSCOW UNIVERSITY PHYSICS BULLETIN</t>
  </si>
  <si>
    <t>benthic frontal zone; acoustic wave propagation in the ocean; ray acoustic tomography; basin; non-canonical caustics; sound velocity profile; reconstruction</t>
  </si>
  <si>
    <t>The specificity of ray trajectories in the presence of a benthic front, which is the boundary between the Antarctic deep and bottom waters, has been considered. Deep-water noncanonical caustic surfaces confined to the front have been found. The ability to reconstruct a sound velocity profile in the benthic frontal zone has been evaluated using methods of ray tomography in the ocean. A possible reconstruction of the profile using a horizontal displacement of the receiving antenna or transmitter at relatively small depths has been shown.</t>
  </si>
  <si>
    <t>[Ivanov, V. S.; Kravchun, P. N.] Moscow MV Lomonosov State Univ, Dept Acoust, Fac Phys, Moscow 119991, Russia</t>
  </si>
  <si>
    <t>Lomonosov Moscow State University</t>
  </si>
  <si>
    <t>Kravchun, PN (corresponding author), Moscow MV Lomonosov State Univ, Dept Acoust, Fac Phys, Moscow 119991, Russia.</t>
  </si>
  <si>
    <t>kravchun@phys.msu.ru</t>
  </si>
  <si>
    <t>Ivanov, Valery S/F-5310-2013</t>
  </si>
  <si>
    <t>0027-1349</t>
  </si>
  <si>
    <t>1934-8460</t>
  </si>
  <si>
    <t>MOSC U PHYS B+</t>
  </si>
  <si>
    <t>Mosc. Univ. Phys. Bull.</t>
  </si>
  <si>
    <t>10.3103/S0027134909020210</t>
  </si>
  <si>
    <t>Physics, Multidisciplinary</t>
  </si>
  <si>
    <t>447BU</t>
  </si>
  <si>
    <t>WOS:000266167400021</t>
  </si>
  <si>
    <t>Moy, AD; Howard, WR; Bray, SG; Trull, TW</t>
  </si>
  <si>
    <t>Moy, Andrew D.; Howard, William R.; Bray, Stephen G.; Trull, Thomas W.</t>
  </si>
  <si>
    <t>Reduced calcification in modern Southern Ocean planktonic foraminifera</t>
  </si>
  <si>
    <t>NATURE GEOSCIENCE</t>
  </si>
  <si>
    <t>CARBONATE ION CONCENTRATION; SHELL-WEIGHT; IMPACT; SEDIMENTATION</t>
  </si>
  <si>
    <t>Anthropogenic carbon dioxide has been accumulating in the oceans, lowering both the concentration of carbonate ions and the pH (ref. 1), resulting in the acidification of sea water. Previous laboratory experiments have shown that decreased carbonate ion concentrations cause many marine calcareous organisms to show reduced calcification rates(2-5). If these results are widely applicable to ocean settings, ocean acidification could lead to ecosystem shifts. Planktonic foraminifera are single-celled calcite-secreting organisms that represent between 25 and 50% of the total open-ocean marine carbonate flux(6) and influence the transport of organic carbon to the ocean interior(7). Here we compare the shell weights of the modern foraminifer Globigerina bulloides collected from sediment traps in the Southern Ocean with the weights of shells preserved in the underlying Holocene-aged sediments. We find that modern shell weights are 30-35% lower than those from the sediments, consistent with reduced calcification today induced by ocean acidification. We also find a link between higher atmospheric carbon dioxide and low shell weights in a 50,000-year-long record obtained from a Southern Ocean marine sediment core. It is unclear whether reduced calcification will affect the survival of this and other species, but a decline in the abundance of foraminifera caused by acidification could affect both marine ecosystems and the oceanic uptake of atmospheric carbon dioxide.</t>
  </si>
  <si>
    <t>[Moy, Andrew D.; Howard, William R.; Bray, Stephen G.; Trull, Thomas W.] Antarctic Climate &amp; Ecosyst Cooperat Res Ctr, Hobart, Tas 7001, Australia; [Moy, Andrew D.] Australian Antarctic Div, Dept Environm Water Heritage &amp; Arts, Kingston, Tas 7050, Australia; [Trull, Thomas W.] Univ Tasmania, Hobart, Tas 7001, Australia; [Trull, Thomas W.] CSIRO Marine &amp; Atmospher Res, Hobart, Tas 7001, Australia</t>
  </si>
  <si>
    <t>Antarctic Climate &amp; Ecosystems Cooperative Research Centre (ACE CRC); Australian Antarctic Division; University of Tasmania; Commonwealth Scientific &amp; Industrial Research Organisation (CSIRO)</t>
  </si>
  <si>
    <t>Howard, WR (corresponding author), Antarctic Climate &amp; Ecosyst Cooperat Res Ctr, Hobart, Tas 7001, Australia.</t>
  </si>
  <si>
    <t>Will.Howard@utas.edu.au</t>
  </si>
  <si>
    <t>Trull, Tom W/B-7028-2014</t>
  </si>
  <si>
    <t>Moy, Andrew/0000-0002-7664-9960</t>
  </si>
  <si>
    <t>Australian Government's Cooperative Research Centres Programme; Australian Government Department of Climate Change; The Australian Antarctic Division ASAC; Australian Institute of Nuclear Science and Engineering [07/072]</t>
  </si>
  <si>
    <t>Australian Government's Cooperative Research Centres Programme(Australian GovernmentDepartment of Industry, Innovation and ScienceCooperative Research Centres (CRC) Programme); Australian Government Department of Climate Change(Australian Government); The Australian Antarctic Division ASAC; Australian Institute of Nuclear Science and Engineering</t>
  </si>
  <si>
    <t>This work was supported by the Australian Government's Cooperative Research Centres Programme through the Antarctic Climate and Ecosystems Cooperative Research Centre (ACE CRC) and the Australian Government Department of Climate Change. The Australian Antarctic Division (ASAC grants to T. W. T.) supports the ongoing sediment trap program. The Australian Institute of Nuclear Science and Engineering provided radiocarbon dates (AINSE Grant 07/072) and Geoscience Australia provided sediment samples.</t>
  </si>
  <si>
    <t>75 VARICK ST, 9TH FLR, NEW YORK, NY 10013-1917 USA</t>
  </si>
  <si>
    <t>1752-0894</t>
  </si>
  <si>
    <t>1752-0908</t>
  </si>
  <si>
    <t>NAT GEOSCI</t>
  </si>
  <si>
    <t>Nat. Geosci.</t>
  </si>
  <si>
    <t>10.1038/NGEO460</t>
  </si>
  <si>
    <t>433XW</t>
  </si>
  <si>
    <t>WOS:000265240100018</t>
  </si>
  <si>
    <t>Sugden, DE; McCulloch, RD; Bory, AJM; Hein, AS</t>
  </si>
  <si>
    <t>Sugden, David E.; McCulloch, Robert D.; Bory, Aloys J. -M.; Hein, Andrew S.</t>
  </si>
  <si>
    <t>Influence of Patagonian glaciers on Antarctic dust deposition during the last glacial period</t>
  </si>
  <si>
    <t>ICE-CORE DUST; SOUTHERN-OCEAN; DOME-C; CENTRAL STRAIT; BAHIA INUTIL; MINERAL DUST; MAGELLAN; CLIMATE; VOSTOK; VARIABILITY</t>
  </si>
  <si>
    <t>Ice cores provide a record of changes in dust flux to Antarctica, which is thought to reflect changes in atmospheric circulation and environmental conditions in dust source areas(1-9). Isotopic tracers suggest that South America is the dominant source of the dust(10-12), but it is unclear what led to the variable deposition of dust at concentrations 20-50 times higher than present in glacial-aged ice(8,9). Here we characterize the age and composition of Patagonian glacial outwash sediments, to assess the relationship between the Antarctic dust record from Dome C (refs 9, 13) and Patagonian glacial fluctuations(14-16) for the past 80,000 years. We show that dust peaks in Antarctica coincide with periods in Patagonia when rivers of glacial meltwater deposited sediment directly onto easily mobilized outwash plains. No dust peaks were noted when the glaciers instead terminated directly into pro-glacial lakes. We thus propose that the variable sediment supply resulting from Patagonian glacial fluctuations may have acted as an on/off switch for Antarctic dust deposition. At the last glacial termination, Patagonian glaciers quickly retreated into lakes, which may help explain why the deglacial decline in Antarctic dust concentrations preceded the main phase of warming, sea-level rise and reduction in Southern Hemisphere sea-ice extent(13).</t>
  </si>
  <si>
    <t>[Sugden, David E.; Hein, Andrew S.] Univ Edinburgh, Sch Geosci, Edinburgh EH8 9XP, Midlothian, Scotland; [McCulloch, Robert D.] Univ Stirling, Sch Biol &amp; Environm Sci, Stirling FK9 4LA, Scotland; [Bory, Aloys J. -M.] British Antarctic Survey, Cambridge CB3 0ET, England</t>
  </si>
  <si>
    <t>University of Edinburgh; University of Stirling; UK Research &amp; Innovation (UKRI); Natural Environment Research Council (NERC); NERC British Antarctic Survey</t>
  </si>
  <si>
    <t>Sugden, DE (corresponding author), Univ Edinburgh, Sch Geosci, Edinburgh EH8 9XP, Midlothian, Scotland.</t>
  </si>
  <si>
    <t>David.Sugden@ed.ac.uk</t>
  </si>
  <si>
    <t>Hein, Andrew/JWO-3756-2024</t>
  </si>
  <si>
    <t>BORY, Aloys/0000-0002-0251-6372; Hein, Andrew/0000-0003-3397-3813; McCulloch, Robert/0000-0001-5542-3703</t>
  </si>
  <si>
    <t>NERC; Royal Society; Carnegie Trust; Universities of Scotland; British Antarctic Survey; FONDECYT [1060020]; EU Marie Curie Fellowship; NERC [NE/E018254/1, NRCF010001, bas010016] Funding Source: UKRI; Natural Environment Research Council [NRCF010001, NE/E018254/1, bas010016] Funding Source: researchfish</t>
  </si>
  <si>
    <t>NERC(UK Research &amp; Innovation (UKRI)Natural Environment Research Council (NERC)); Royal Society(Royal Society); Carnegie Trust(Ministry of Education, Culture, Sports, Science and Technology, Japan (MEXT)Japan Society for the Promotion of Science); Universities of Scotland; British Antarctic Survey; FONDECYT(Comision Nacional de Investigacion Cientifica y Tecnologica (CONICYT)CONICYT FONDECYT); EU Marie Curie Fellowship(European Union (EU)); NERC(UK Research &amp; Innovation (UKRI)Natural Environment Research Council (NERC)); Natural Environment Research Council(UK Research &amp; Innovation (UKRI)Natural Environment Research Council (NERC))</t>
  </si>
  <si>
    <t>We thank for financial support: NERC, Royal Society, Carnegie Trust for the Universities of Scotland, British Antarctic Survey, FONDECYT 1060020, EU Marie Curie Fellowship; and for laboratory support: C. Bryant and NERC Radiocarbon Laboratory, A. Hanley (Lamont-Doherty Earth Observatory, Columbia University) and M. Greaves (Cambridge University). P. Biscaye, T. Crowley, B. Delmonte, H. Elderfield, T. Hoey, R. Purves and E. Wolff were encouraging and insightful.</t>
  </si>
  <si>
    <t>10.1038/NGEO474</t>
  </si>
  <si>
    <t>WOS:000265240100019</t>
  </si>
  <si>
    <t>Golivets, SV; Koshlyakov, MN</t>
  </si>
  <si>
    <t>Golivets, S. V.; Koshlyakov, M. N.</t>
  </si>
  <si>
    <t>Synoptic eddies of the Subantarctic and Agulhas fronts and generation of the Antarctic Intermediate Water in the Atlantic Ocean</t>
  </si>
  <si>
    <t>OCEANOLOGY</t>
  </si>
  <si>
    <t>BRAZIL-MALVINAS CONFLUENCE; SOUTH ATLANTIC; ABYSSAL CIRCULATION; INTEROCEAN EXCHANGE; LAGRANGIAN VIEW; WORLD OCEAN; MODEL; TOPEX/POSEIDON; VARIABILITY; DIFFUSIVITY</t>
  </si>
  <si>
    <t>The concept developed in [9] and [10], according to which the Antarctic Intermediate Water is generated owing to the formation and subsequent decay of cyclonic eddies of the Subantarctic Front, is tested for the Atlantic Ocean. The cross frontal water and salt transport by the Subantarctic Front eddies and the Agulhas Front anticyclones is estimated by developing cinematic eddy models and analyzing satellite altimetry maps. Calculations of the water and salt balance for a box in the South Atlantic based on these results and various experimental data confirmed the above-mentioned concept.</t>
  </si>
  <si>
    <t>[Golivets, S. V.; Koshlyakov, M. N.] Russian Acad Sci, Shirshov Inst Oceanol, Moscow 117997, Russia</t>
  </si>
  <si>
    <t>Russian Academy of Sciences; Shirshov Institute of Oceanology</t>
  </si>
  <si>
    <t>Golivets, SV (corresponding author), Russian Acad Sci, Shirshov Inst Oceanol, Pr Nakhimovskii 36, Moscow 117997, Russia.</t>
  </si>
  <si>
    <t>serg-vlad@hotmail.ru; mnkoshl@ocean.ru</t>
  </si>
  <si>
    <t>Russian Foundation for Basic Research [06-05-64210a]; Russian Academy of Sciences [17]; World Ocean Federal Targeted Program</t>
  </si>
  <si>
    <t>Russian Foundation for Basic Research(Russian Foundation for Basic Research (RFBR)Spanish Government); Russian Academy of Sciences(Russian Academy of Sciences); World Ocean Federal Targeted Program</t>
  </si>
  <si>
    <t>This work was supported by the Russian Foundation for Basic Research (project no. 06-05-64210a), the Basic Research Program (no. 17) of the Russian Academy of Sciences, and the World Ocean Federal Targeted Program.</t>
  </si>
  <si>
    <t>0001-4370</t>
  </si>
  <si>
    <t>1531-8508</t>
  </si>
  <si>
    <t>OCEANOLOGY+</t>
  </si>
  <si>
    <t>Oceanology</t>
  </si>
  <si>
    <t>10.1134/S0001437009020015</t>
  </si>
  <si>
    <t>440XN</t>
  </si>
  <si>
    <t>WOS:000265733100001</t>
  </si>
  <si>
    <t>Karlsson, J; Säwström, C</t>
  </si>
  <si>
    <t>Karlsson, Jan; Sawstrom, Christin</t>
  </si>
  <si>
    <t>Benthic algae support zooplankton growth during winter in a clear-water lake</t>
  </si>
  <si>
    <t>OIKOS</t>
  </si>
  <si>
    <t>STABLE-ISOTOPE APPROACH; FOOD WEBS; ORGANIC-CARBON; ANTARCTIC LAKES; FRESH-WATER; FRACTIONATION; ASSUMPTIONS; CLADOCERA; TURNOVER; BACTERIA</t>
  </si>
  <si>
    <t>We used stable carbon (delta(13)C) and nitrogen (delta(15)N) isotopes to assess the importance of benthic algae for the zooplankton individual growth in winter in a shallow, clear subarctic lake. The delta(13)C values of calanoid (Eudiaptomus graciloides) and cyclopoid (Cyclops scutifer) zooplankton in autumn suggest a food resource of pelagic origin during the ice-free period. The zooplankton delta(13)C values were high in spring compared to autumn. E. graciloides did not grow over winter and the change in delta(13)C was attributed to a decrease in lipid content during the winter. In contrast, the increase in delta(13)C values of C. scutifer over the winter was explained by their growth on organic carbon generated by benthic algae. The delta(15)N of the C. scutifer food resource during winter was low compared to delta(15)N of the benthic community, suggesting that organic matter generated by benthic algae was mainly channelled to zooplankton via (15)N-depleted heterotrophic bacteria. The results demonstrate that benthic algae can sustain zooplankton metabolic demands and growth during long winters, which, in turn, may promote zooplankton growth on pelagic resources during the summer. Such multi-chain omnivory challenges the view of zooplankton as mainly dependent on internal primary production and stresses the importance of benthic resources for the productivity of plankton food webs in shallow lakes.</t>
  </si>
  <si>
    <t>[Karlsson, Jan; Sawstrom, Christin] Umea Univ, Dept Ecol &amp; Environm Sci, CIRC, SE-98107 Abisko, Sweden</t>
  </si>
  <si>
    <t>Umea University</t>
  </si>
  <si>
    <t>Karlsson, J (corresponding author), Umea Univ, Dept Ecol &amp; Environm Sci, CIRC, Box 62, SE-98107 Abisko, Sweden.</t>
  </si>
  <si>
    <t>jan.karlsson@emg.umu.se</t>
  </si>
  <si>
    <t>Sawstrom, Christin/F-5462-2018</t>
  </si>
  <si>
    <t>Sawstrom, Christin/0000-0001-9297-3093</t>
  </si>
  <si>
    <t>Climate Impacts Research Centre (CIRC); Umea Univ</t>
  </si>
  <si>
    <t>We thank Heike Siegmund and Magnus Morth for the stable isotopic analyses. This study was financially supported by the Climate Impacts Research Centre (CIRC), Umea Univ.</t>
  </si>
  <si>
    <t>0030-1299</t>
  </si>
  <si>
    <t>Oikos</t>
  </si>
  <si>
    <t>10.1111/j.1600-0706.2009.17239.x</t>
  </si>
  <si>
    <t>427NG</t>
  </si>
  <si>
    <t>WOS:000264785400008</t>
  </si>
  <si>
    <t>Watkins, NW; Credgington, D; Sanchez, R; Rosenberg, SJ; Chapman, SC</t>
  </si>
  <si>
    <t>Watkins, N. W.; Credgington, D.; Sanchez, R.; Rosenberg, S. J.; Chapman, S. C.</t>
  </si>
  <si>
    <t>Kinetic equation of linear fractional stable motion and applications to modeling the scaling of intermittent bursts</t>
  </si>
  <si>
    <t>PHYSICAL REVIEW E</t>
  </si>
  <si>
    <t>Brownian motion; diffusion; spatiotemporal phenomena</t>
  </si>
  <si>
    <t>SOLAR-WIND; ANOMALOUS DIFFUSION; SELF-SIMILARITY; LEVY MOTION; DISTRIBUTIONS; TURBULENCE</t>
  </si>
  <si>
    <t>Levy flights and fractional Brownian motion have become exemplars of the heavy-tailed jumps and long-ranged memory widely seen in physics. Natural time series frequently combine both effects, and linear fractional stable motion (lfsm) is a model process of this type, combining alpha-stable jumps with a memory kernel. In contrast complex physical spatiotemporal diffusion processes where both the above effects compete have for many years been modeled using the fully fractional kinetic equation for the continuous-time random walk (CTRW), with power laws in the probability density functions of both jump size and waiting time. We derive the analogous kinetic equation for lfsm and show that it has a diffusion coefficient with a power law in time rather than having a fractional time derivative like the CTRW. We discuss some preliminary results on the scaling of burst sizes and durations in lfsm time series, with applications to modeling existing observations in space physics and elsewhere.</t>
  </si>
  <si>
    <t>[Watkins, N. W.; Credgington, D.; Rosenberg, S. J.] British Antarctic Survey, NERC, Div Phys Sci, Cambridge CB3 0ET, England; [Sanchez, R.] Oak Ridge Natl Lab, Div Fus Energy, Oak Ridge, TN 37830 USA; [Chapman, S. C.] Univ Warwick, Ctr Fus Space &amp; Astrophys, Coventry CV4 7AL, W Midlands, England; [Watkins, N. W.; Chapman, S. C.] Kavli Inst Theoret Phys, Santa Barbara, CA USA</t>
  </si>
  <si>
    <t>UK Research &amp; Innovation (UKRI); Natural Environment Research Council (NERC); NERC British Antarctic Survey; United States Department of Energy (DOE); Oak Ridge National Laboratory; University of Warwick</t>
  </si>
  <si>
    <t>Watkins, NW (corresponding author), British Antarctic Survey, NERC, Div Phys Sci, Cambridge CB3 0ET, England.</t>
  </si>
  <si>
    <t>Sanchez, Raul/E-2979-2014; Sanchez, Raul/Z-2208-2019; Credgington, Dan/B-4132-2010; Watkins, Nicholas Wynn/C-5140-2008; Watkins, Nick/GPX-7439-2022; Chapman, Sandra/C-2216-2008</t>
  </si>
  <si>
    <t>Sanchez, Raul/0000-0003-1593-3930; Sanchez, Raul/0000-0003-1593-3930; Credgington, Dan/0000-0003-4246-2118; Watkins, Nicholas Wynn/0000-0003-4484-6588; Watkins, Nick/0000-0003-4484-6588; Chapman, Sandra/0000-0003-0053-1584</t>
  </si>
  <si>
    <t>EPSRC-GB; STFC; NSF [NSF PHY05-51164]; EPSRC [EP/H02395X/1, EP/D062837/1, EP/H002189/1] Funding Source: UKRI; NERC [bas010021] Funding Source: UKRI; STFC [ST/F00205X/1] Funding Source: UKRI; Engineering and Physical Sciences Research Council [EP/D062837/1, EP/H02395X/1] Funding Source: researchfish; Natural Environment Research Council [bas010021] Funding Source: researchfish; Science and Technology Facilities Council [ST/F00205X/1] Funding Source: researchfish</t>
  </si>
  <si>
    <t>EPSRC-GB(UK Research &amp; Innovation (UKRI)Engineering &amp; Physical Sciences Research Council (EPSRC)); STFC(UK Research &amp; Innovation (UKRI)Science &amp; Technology Facilities Council (STFC)); NSF(National Science Foundation (NSF)); EPSRC(UK Research &amp; Innovation (UKRI)Engineering &amp; Physical Sciences Research Council (EPSRC)); NERC(UK Research &amp; Innovation (UKRI)Natural Environment Research Council (NERC)); STFC(UK Research &amp; Innovation (UKRI)Science &amp; Technology Facilities Council (STFC));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t>
  </si>
  <si>
    <t>We thank in particular our anonymous referee for numerous detailed and constructive suggestions, and Alex Weron, Krzysztof Burnecki, and Marcin Magdziarz for many helpful comments on earlier versions of the paper. We appreciate the public provision by Stilian Stoev and Aaron Clauset of the algorithms and codes from the papers (41,59). N. W. W. is also grateful to Mikko Alava, Robin Ball, Tom Chang, Aleksei Chechkin, Joern Davidsen, Mervyn Freeman, Bogdan Hnat, Mike Kearney, Khurom Kiyani, Yossi Klafter, Vassili Kolokoltsev, Eric Lutz, Satya Majumdar, Martin Rypdal, Cosma Shalizi, Vadim Uritsky, Dimitri Vyushin, and Lev Zelenyi for valuable interactions. N. W. W. acknowledges the stimulating environments of the Newton Institute program PDS03 and the KITP program  The Physics of Climate Change. Research was carried out in part at Oak Ridge National Laboratory, managed by UT-Battelle, LLC, for U. S. DOE under Contract No. DE-AC05-00OR22725. This research was supported in part by the EPSRC-GB, STFC, and NSF under Grant No. NSF PHY05-51164.</t>
  </si>
  <si>
    <t>AMER PHYSICAL SOC</t>
  </si>
  <si>
    <t>COLLEGE PK</t>
  </si>
  <si>
    <t>ONE PHYSICS ELLIPSE, COLLEGE PK, MD 20740-3844 USA</t>
  </si>
  <si>
    <t>1539-3755</t>
  </si>
  <si>
    <t>1550-2376</t>
  </si>
  <si>
    <t>PHYS REV E</t>
  </si>
  <si>
    <t>Phys. Rev. E</t>
  </si>
  <si>
    <t>10.1103/PhysRevE.79.041124</t>
  </si>
  <si>
    <t>Physics, Fluids &amp; Plasmas; Physics, Mathematical</t>
  </si>
  <si>
    <t>443WK</t>
  </si>
  <si>
    <t>WOS:000265941300035</t>
  </si>
  <si>
    <t>Vítek, P; Osterrothová, K; Jehlicka, J</t>
  </si>
  <si>
    <t>Vitek, Petr; Osterrothova, Katerina; Jehlicka, Jan</t>
  </si>
  <si>
    <t>Beta-carotene-A possible biomarker in the Martian evaporitic environment: Raman micro-spectroscopic study</t>
  </si>
  <si>
    <t>beta-Carotene; Mars-analog; Biomarker; Raman spectroscopy</t>
  </si>
  <si>
    <t>ANTARCTIC HABITATS; IN-SITU; CYANOBACTERIA; ANALOGS; SYSTEM</t>
  </si>
  <si>
    <t>Due to the discovery of the evaporitic environment on the Martian surface, there is a reasonable possibility that evaporites served (or still serve) as habitats for microbial life if ever present on Mars. At the very least, if no signatures of extant life exist within these rocks, it may sustain molecular remnants as evidence for living organisms in the past. beta-Carotene, among other carotenoids, could be such a suitable biomarker. In this study, Raman micro-spectroscopy was tested as a nondestructive method of determining the presence of beta-carotene in experimentally prepared evaporitic matrices. Samples prepared by mixing beta-carotene with powdered gypsum (CaSO4 center dot 2H(2)O), halite (NaCl) and epsomite (MgSO4 center dot 7H(2)O) were analyzed using a 785 nm excitation source. Various concentrations of beta-carotene in the matrices were investigated to determine the lowest beta-carotene content detectable by Raman microspectroscopy. Mixtures were also measured with a laser beam permeating the crystals of gypsum and epsomite in order to evaluate the possibility of identifying beta-carotene inside the mineral matrix. We were able to obtain a clear beta-carotene signal at the 10 mg kg(-1) concentration level-the number of registered beta-carotene Raman bands differed depending on the particular mineral matrix. Spectral signatures of beta-carotene were detected even when analyzing samples containing 1 mg kg(-1) of this molecule. The 10-100 mg kg(-1) of beta-carotene in mineral matrices (halite, epsomite) was detected when analyzed through the monocrystal of gypsum and epsomite, respectively. These results will aid both in-situ analyses on Mars and sample analyses on Earth. (C) 2008 Elsevier Ltd. All rights reserved.</t>
  </si>
  <si>
    <t>[Vitek, Petr; Osterrothova, Katerina; Jehlicka, Jan] Charles Univ Prague, Inst Geochem Mineral &amp; Mineral Resources, Prague 12843 2, Czech Republic</t>
  </si>
  <si>
    <t>Charles University Prague</t>
  </si>
  <si>
    <t>Vítek, P (corresponding author), Charles Univ Prague, Inst Geochem Mineral &amp; Mineral Resources, Albertov 6, Prague 12843 2, Czech Republic.</t>
  </si>
  <si>
    <t>vitek2@natur.cuni.cz</t>
  </si>
  <si>
    <t>Vitek, Petr/R-8022-2016; Jehlicka, Jan/H-9357-2016; Osterrothova, Katerina/A-2882-2017</t>
  </si>
  <si>
    <t>Jehlicka, Jan/0000-0002-4294-876X; Osterrothova, Katerina/0000-0002-4753-8786</t>
  </si>
  <si>
    <t>Grant Agency of Charles University in Prague [83007, 133107]; Ministry of Education of the Czech Republic [MSM 0021620855]</t>
  </si>
  <si>
    <t>Grant Agency of Charles University in Prague; Ministry of Education of the Czech Republic(Ministry of Education, Youth &amp; Sports - Czech Republic)</t>
  </si>
  <si>
    <t>The authors are grateful to the Grant Agency of Charles University in Prague for the financial support provided by Grant Nos. 83007 and 133107. This work was supported also by the research project of Ministry of Education of the Czech Republic (MSM 0021620855).</t>
  </si>
  <si>
    <t>10.1016/j.pss.2008.06.001</t>
  </si>
  <si>
    <t>444PV</t>
  </si>
  <si>
    <t>WOS:000265993800007</t>
  </si>
  <si>
    <t>John, UP; Polotnianka, RM; Sivakumaran, KA; Chew, O; MacKin, L; Kuiper, MJ; Talbot, JP; Nugent, GD; Mautord, J; Schrauf, GE; Spangenberg, GC</t>
  </si>
  <si>
    <t>John, Ulrik P.; Polotnianka, Renata M.; Sivakumaran, Kailayapillai A.; Chew, Orinda; MacKin, Leanne; Kuiper, Michael J.; Talbot, Jonathan P.; Nugent, Gregory D.; Mautord, Julie; Schrauf, Gustavo E.; Spangenberg, German C.</t>
  </si>
  <si>
    <t>Ice recrystallization inhibition proteins (IRIPs) and freeze tolerance in the cryophilic Antarctic hair grass Deschampsia antarctica E. Desv.</t>
  </si>
  <si>
    <t>PLANT CELL AND ENVIRONMENT</t>
  </si>
  <si>
    <t>abiotic stress; Antarctica; cold acclimation; IRIP</t>
  </si>
  <si>
    <t>LEUCINE-RICH-REPEAT; STABLE ANTIFREEZE PROTEIN; COLD-ACCLIMATION; VASCULAR PLANTS; ARABIDOPSIS; GENES; TRANSFORMATION; ENVIRONMENT; RESISTANCE; RADIATION</t>
  </si>
  <si>
    <t>Antarctic hair grass (Deschampsia antarctica E. Desv.), the only grass indigenous to Antarctica, has well-developed freezing tolerance, strongly induced by cold acclimation. Here, we show that in response to low temperatures, D. antarctica expresses potent recrystallization inhibition (RI) activity that, inhibits the growth of small ice crystals into potentially damaging large ones, is proteinaceous and localized to the apoplasm. A gene family from D. antarctica encoding putative homologs of an ice recrystallization inhibition protein (IRIP) has been isolated and characterized. IRIPs are apoplastically targeted proteins with two potential ice-binding motifs: 1-9 leucine-rich repeats (LRRs) and c. 16 'IRIP' repeats. IRIP genes appear to be confined to the grass subfamily Pooideae and their products, exhibit sequence similarity to phytosulphokine receptors and are predicted to adopt conformations with two ice-binding surfaces. D. antarctica IRIP (DaIRIP) transcript levels are greatly enhanced in leaf tissue following cold acclimation. Transgenic Arabidopsis thaliana expressing a DaIRIP has novel RI activity, and purified DaIRIP, when added back to extracts of leaves from non-acclimated D. antarctica, can reconstitute the activity found in acclimated plants. We propose that IRIP-mediated RI activity may contribute to the cryotolerance of D. antarctica, and thus to its unique ability to have colonized Antarctica.</t>
  </si>
  <si>
    <t>[John, Ulrik P.; Polotnianka, Renata M.; Sivakumaran, Kailayapillai A.; Chew, Orinda; MacKin, Leanne; Talbot, Jonathan P.; Nugent, Gregory D.; Mautord, Julie; Spangenberg, German C.] Victorian AgriBiosci Ctr, Dept Primary Ind, Biosci Res Div, Bundoora, Vic 3086, Australia; [John, Ulrik P.; Polotnianka, Renata M.; Nugent, Gregory D.; Spangenberg, German C.] Victorian AgriBiosci Ctr, Victorian Ctr Plant Funct Genom, Bundoora, Vic 3086, Australia; [Kuiper, Michael J.] Victorian Partnership Adv Comp, Carlton Sth, Vic 3053, Australia; [Schrauf, Gustavo E.] Univ Buenos Aires, Fac Agron, Buenos Aires, DF, Argentina; [John, Ulrik P.; Polotnianka, Renata M.; Sivakumaran, Kailayapillai A.; Chew, Orinda; Talbot, Jonathan P.; Mautord, Julie; Spangenberg, German C.] Victorian AgriBiosci Ctr, Australian Ctr Plant Funct Genom, Bundoora, Vic 3086, Australia</t>
  </si>
  <si>
    <t>Victorian Department of Environment &amp; Primary Industries; University of Buenos Aires</t>
  </si>
  <si>
    <t>John, UP (corresponding author), Victorian AgriBiosci Ctr, Dept Primary Ind, Biosci Res Div, 1 Pk Dr, Bundoora, Vic 3086, Australia.</t>
  </si>
  <si>
    <t>ulrik.john@dpi.vic.gov.au</t>
  </si>
  <si>
    <t>Australian Research Council; Grains Research and Development Corporation; Victorian Department of Innovation; Industry and Regional Development; Victorian Department of Primary Industries</t>
  </si>
  <si>
    <t>Australian Research Council(Australian Research Council); Grains Research and Development Corporation(Grains R&amp;D Corp); Victorian Department of Innovation; Industry and Regional Development; Victorian Department of Primary Industries</t>
  </si>
  <si>
    <t>We thank Jessica White and Suzanne Lelean for propagation and collection of plant material, Jutta Nagel for technical assistance, Tim Sawbridge for advice on bioinformatics and Michael Emmerling for assistance with figure preparation. This work was supported by the Australian Research Council, the Grains Research and Development Corporation, the Victorian Department of Innovation, Industry and Regional Development and the Victorian Department of Primary Industries.</t>
  </si>
  <si>
    <t>0140-7791</t>
  </si>
  <si>
    <t>1365-3040</t>
  </si>
  <si>
    <t>PLANT CELL ENVIRON</t>
  </si>
  <si>
    <t>Plant Cell Environ.</t>
  </si>
  <si>
    <t>10.1111/j.1365-3040.2009.01925.x</t>
  </si>
  <si>
    <t>415CB</t>
  </si>
  <si>
    <t>WOS:000263910800003</t>
  </si>
  <si>
    <t>Kang, DH; Ahn, IY; Choi, KS</t>
  </si>
  <si>
    <t>Kang, Do-Hyung; Ahn, In-Young; Choi, Kwang-Sik</t>
  </si>
  <si>
    <t>The annual reproductive pattern of the Antarctic clam, Laternula elliptica from Marian Cove, King George Island</t>
  </si>
  <si>
    <t>Antarctic bivalve; Laternula elliptica; Reproduction; Food availability; Follicle index; Oocyte growth; Egg resorption</t>
  </si>
  <si>
    <t>LIMPET NACELLA-CONCINNA; BRODERIP ANOMALODESMATA; SEASONAL-VARIATIONS; LARVAL DEVELOPMENT; CRASSOSTREA-GIGAS; PECTEN-MAXIMUS; GROWTH; BIVALVIA; INVERTEBRATES; CYCLE</t>
  </si>
  <si>
    <t>The annual reproductive cycle of the Antarctic soft-shelled clam, Laternula elliptica, in Marian Cove, King George Island was studied over a 2-year period from February 1998 to January 2000. Annual changes in the gametogenesis were investigated by measuring the percentage of area occupied by oocytes in a follicle [follicle index (FI)] and the oocyte size. In 1998, the monthly mean FI increased significantly from October to November, peaked in December, and decreased rapidly from December to January. In February and March 1999, degenerated eggs were observed in the spent follicles. Degeneration and resorption of residual eggs by phagocytosis occurred mostly in February and March in both 1998 and 1999, although the resorption process was observed year-round. The histology indicated that complete vitellogenic growth of L. ellpitica at Marian Cove takes at least a year and the clams spawn annually during the austral summer. The ripening and subsequent spawning of clams at Marian Cove in 1998 and 1999 coincided with the algal blooming (September-October 1998 and December and January 1999-2000) suggesting that in coastal Antarctica food supply is a crucial factor that governs gonad maturation and subsequent spawning along with the water temperature.</t>
  </si>
  <si>
    <t>[Choi, Kwang-Sik] Cheju Natl Univ, Sch Appl Marine Sci, Cheju 690756, South Korea; [Ahn, In-Young] KORDI, Korea Polar Res Inst KOPRI, Inchon 406840, South Korea; [Kang, Do-Hyung] KORDI, Marine Living Resources Res Dept, Seoul 425744, South Korea</t>
  </si>
  <si>
    <t>Jeju National University; Korea Polar Research Institute (KOPRI); Korea Institute of Ocean Science &amp; Technology (KIOST); Korea Institute of Ocean Science &amp; Technology (KIOST)</t>
  </si>
  <si>
    <t>Choi, KS (corresponding author), Cheju Natl Univ, Sch Appl Marine Sci, 66 Jejudaehakno, Cheju 690756, South Korea.</t>
  </si>
  <si>
    <t>dohkang@kordi.re.kr; iahn@kopri.re.kr; skchoi@cheju.ac.kr</t>
  </si>
  <si>
    <t>Choi, Kwang-Sik Albert/B-5367-2011; Kang, Do-Hyung/E-1585-2012</t>
  </si>
  <si>
    <t>Korea Polar Research Institute (KOPRI) of the Korea Ocean Research &amp; Development Institute (KORDI) [PE08040]; Korea Research Foundation (KRF) [BK21, KRF-2005213-F00005]</t>
  </si>
  <si>
    <t>Korea Polar Research Institute (KOPRI) of the Korea Ocean Research &amp; Development Institute (KORDI); Korea Research Foundation (KRF)(National Research Foundation of Korea)</t>
  </si>
  <si>
    <t>This research was part of the project Status and changes of polar indicator species and coastal/terrestrial ecosystems (PE08040) and was supported by the Korea Polar Research Institute (KOPRI) of the Korea Ocean Research &amp; Development Institute (KORDI). This study was also supported in part by the Korea Research Foundation (KRF) through The Second Stage of BK21 and KRF-2005213-F00005 to Kang DH. We are grateful to the divers, Mr. Hyunsoo Kim and Mr. Sungsoo Han, for collecting the clams, and to Dr. Joseph G. Loesch for reviewing an early draft of this paper.</t>
  </si>
  <si>
    <t>10.1007/s00300-008-0544-7</t>
  </si>
  <si>
    <t>420ZW</t>
  </si>
  <si>
    <t>WOS:000264328700001</t>
  </si>
  <si>
    <t>Rey, AR; Pütz, K; Luna-Jorquera, G; Lüthi, B; Schiavini, A</t>
  </si>
  <si>
    <t>Rey, Andrea Raya; Puetz, Klemens; Luna-Jorquera, Guillermo; Luethi, Benno; Schiavini, Adrian</t>
  </si>
  <si>
    <t>Diving patterns of breeding female rockhopper penguins (Eudyptes chrysocome): Noir Island, Chile</t>
  </si>
  <si>
    <t>Rockhopper penguin; Eudyptes chrysocome; Noir Island; Diving behaviour; Chile</t>
  </si>
  <si>
    <t>TIERRA-DEL-FUEGO; SOUTHERN ROCKHOPPER; FALKLAND ISLANDS; OCEANOGRAPHIC CONDITIONS; PROVISIONING BEHAVIOR; INTERANNUAL VARIATION; SOUTHWEST ATLANTIC; POPULATION TRENDS; FORAGING BEHAVIOR; DIET COMPOSITION</t>
  </si>
  <si>
    <t>The diving behaviour of female southern rockhopper penguins (Eudyptes chrysocome) was studied at Noir Island (54A degrees 30'S-73A degrees 00'W), Chile, in the southeast Pacific Ocean. This isolated island is located at the edge of the continental shelf in an area where the Humboldt Current originates, and holds a population of more than 150,000 breeding pairs. On 13 December 2005, four TDRs were successfully attached to females at the end of the brooding period and recorded diving activity at intervals of 2 s over the next 4 weeks. In total, 40 complete foraging trips were recorded. Trip duration was on average 42.4 +/- A 40.1 h and the proportion of overnight trips (60%) was the highest value found so far for this species. Mean dive depth and dive duration was 20.6 +/- A 19.4 m and 63.7 +/- A 36.4 s, respectively. The diving effort was higher than that of brooding females from the Indian Ocean and comparable with that of conspecifics from colonies in the southwest Atlantic in terms of diving rate (38 +/- A 14.2 dives h(-1)), but slightly lower as regards the proportion of time spent underwater (61 +/- A 10.5%). This study confirms that the diving behaviour of rockhopper penguins varies as a function of the physical and biological characteristics of the foraging areas and of the particular stage of the breeding season.</t>
  </si>
  <si>
    <t>[Rey, Andrea Raya; Schiavini, Adrian] CADIC, Consejo Nacl Invest Cient &amp; Tecn, Tierra Del Fuego, Argentina; [Puetz, Klemens] Antarctic Res Trust, Stanley FIQQ 1ZZ, Falkland Isl, England; [Luna-Jorquera, Guillermo] Univ Catolica Norte, Dept Biol Marina, Coquimbo, Chile; [Luethi, Benno] Antarctic Res Trust Switzerland, CH-8127 Zurich, Switzerland; [Schiavini, Adrian] Wildlife Conservat Soc, Bronx, NY 10460 USA</t>
  </si>
  <si>
    <t>Consejo Nacional de Investigaciones Cientificas y Tecnicas (CONICET); Universidad Catolica del Norte; Wildlife Conservation Society</t>
  </si>
  <si>
    <t>Rey, AR (corresponding author), CADIC, Consejo Nacl Invest Cient &amp; Tecn, Bernardo Houssay 200,V9410BFD Ushuaia, Tierra Del Fuego, Argentina.</t>
  </si>
  <si>
    <t>arayarey@cadic.gov.ar</t>
  </si>
  <si>
    <t>Luna-Jorquera, Guillermo/B-4350-2010</t>
  </si>
  <si>
    <t>Raya Rey, Andrea/0000-0003-0127-6650; Guillermo, Luna-Jorquera/0000-0003-4274-7025; Puetz, Klemens/0000-0003-1375-2669; Schiavini, Adrian Carlos Miguel/0000-0001-6621-4827</t>
  </si>
  <si>
    <t>Consejo Nacional de Investigaciones Cient Wcas y Tecnicas (CONICET) [N 02820, PEI N 6045]; Vontobel-Stiftung, Switzerland</t>
  </si>
  <si>
    <t>Consejo Nacional de Investigaciones Cient Wcas y Tecnicas (CONICET)(Consejo Nacional de Investigaciones Cientificas y Tecnicas (CONICET)); Vontobel-Stiftung, Switzerland</t>
  </si>
  <si>
    <t>This research was made possible through the support of Consejo Nacional de Investigaciones Cient Wcas y Tecnicas (CONICET) though projects PIP N 02820 and PEI N 6045, from the, Wildlife Conservation Society, National Geographic Society and the Financial support to the Antarctic Research Trust by the Vontobel-Stiftung, Switzerland. Special thanks are due to Lesley Baxter for language editing.</t>
  </si>
  <si>
    <t>10.1007/s00300-008-0550-9</t>
  </si>
  <si>
    <t>WOS:000264328700005</t>
  </si>
  <si>
    <t>Main, CE; Collins, MA; Mitchell, R; Belchier, M</t>
  </si>
  <si>
    <t>Main, Charlotte E.; Collins, Martin A.; Mitchell, Richard; Belchier, Mark</t>
  </si>
  <si>
    <t>Identifying patterns in the diet of mackerel icefish (Champsocephalus gunnari) at South Georgia using bootstrapped confidence intervals of a dietary index</t>
  </si>
  <si>
    <t>Channichthyidae; Dietary index; Feeding ecology; Krill; Euphausia superba; Scotia Sea, interannual variability, fish stocks</t>
  </si>
  <si>
    <t>ANTARCTIC FUR SEALS; INTERANNUAL VARIATION; ECOSYSTEM; FISHERIES; MANAGEMENT; CHANNICHTHYIDAE; VARIABILITY; CONSUMPTION; PREDATORS; STOCK</t>
  </si>
  <si>
    <t>Ontogenetic, inter-annual and regional variations in diet were investigated for mackerel icefish, Champsocephalus gunnari, in three successive summer seasons around South Georgia. Stomach contents from 2239 C. gunnari (130-560 mm total length) were examined. A bootstrapping technique was used to calculate confidence intervals for an index of relative importance of prey categories (% IRIDC). Diet varied significantly between years and age classes but there was little regional difference in diet. In general, diet was dominated by krill, Euphausia superba and by the amphipod Themisto gaudichaudii. Smaller (younger) fish tended to prey on a higher proportion of T. gaudichaudii and small euphausiids such as Thysanoessa sp. and took smaller quantities of E. superba. In a season of poor krill availability (summer of 2003-2004) the proportion of krill in the diet, stomach fullness and fish condition (indicated by length-weight relationships) were significantly lower than in the other summer seasons. A large reduction (&gt; 80%) in the estimated annual (2005) biomass of the C. gunnari stock directly followed the season of poor krill availability. This decline was largely because of mortality of 2+ and 3+ fish, which were more krill dependent than 1+ fish. Younger fish appear to have survived, leading to an increase in the estimated population biomass in 2006.</t>
  </si>
  <si>
    <t>[Main, Charlotte E.; Collins, Martin A.; Mitchell, Richard; Belchier, Mark] British Antarctic Survey, Nat Environm Res Council, Cambridge CB3 0ET, England</t>
  </si>
  <si>
    <t>Main, CE (corresponding author), Marine Lab, Fisheries Res Serv, Aberdeen AB11 9DB, Scotland.</t>
  </si>
  <si>
    <t>c.main@marlab.ac.uk</t>
  </si>
  <si>
    <t>, Martin/ABE-6728-2020; Collins, Martin A/J-8560-2017</t>
  </si>
  <si>
    <t>, Martin/0000-0001-7132-8650;</t>
  </si>
  <si>
    <t>NERC [bas010017] Funding Source: UKRI; Natural Environment Research Council [bas010017] Funding Source: researchfish</t>
  </si>
  <si>
    <t>10.1007/s00300-008-0552-7</t>
  </si>
  <si>
    <t>WOS:000264328700006</t>
  </si>
  <si>
    <t>Zúñiga-Feest, A; Bascuñán-Godoy, L; Reyes-Diaz, M; Bravo, LA; Corcuera, LJ</t>
  </si>
  <si>
    <t>Zuniga-Feest, Alejandra; Bascunan-Godoy, Luisa; Reyes-Diaz, Marjorie; Bravo, Leon A.; Corcuera, Luis J.</t>
  </si>
  <si>
    <t>Is survival after ice encasement related with sugar distribution in organs of the Antarctic plants Deschampsia antarctica Desv. (Poaceae) and Colobanthus quitensis (Kunth) Bartl. (Caryophyllaceae)?</t>
  </si>
  <si>
    <t>Sugars allocation; Cold acclimation; Ice encasement; Antarctic plants</t>
  </si>
  <si>
    <t>CARBOHYDRATE-LEVELS; COLD RESISTANCE; SUCROSE; CRYOPROTECTION; STABILIZATION; GLUCOSE; GRASS</t>
  </si>
  <si>
    <t>Deschampsia antarctica and Colobanthus quitensis are usually covered by snow from April to November. It is unknown whether the leaves survive ice encasement. This study proposes that day length influences sugar distribution in C. quitensis and that sugar accumulation favors re-growths after an ice encasement period. The objectives of this work were: (1) to study the effect of day length and low temperature on sugar distribution in organs of C. quitensis and (2) to study the survival and recovery of D. antarctica and C. quitensis after a period of ice encasement. Extremely short day length (SD) (8/16 h) and long day length (LD) (21/3 h) was used, medium (MD) (16/8 h) corresponding at control day length. Also two temperatures: 4A degrees C (cold acclimated) and 15A degrees C (control) were evaluated. Both factors: day length and cold acclimation significantly affected sugar distribution in C. quitensis. Both species presented a high rate of survival after ice encasement. D. antarctica conserved most of their leaves green, while C. quitensis presented dead leaves and new shoots in plants from cold acclimated under SD. Only in D. antarctica the number of green leaves after ice encasement was positively correlated with sugar content in underground organs. The high sugar content in green leaves of both species suggested fast activity recovery after snow melting.</t>
  </si>
  <si>
    <t>[Zuniga-Feest, Alejandra] Univ Austral Chile, Inst Geociencias, Fac Ciencias, Valdivia, Chile; [Bascunan-Godoy, Luisa; Bravo, Leon A.; Corcuera, Luis J.] Univ Concepcion, Dept Bot, Fac Ciencias Nat &amp; Oceanog, Concepcion, Chile; [Reyes-Diaz, Marjorie] Univ La Frontera, Fac Ingn, Inst Agroind Ciencias &amp; Adm, Temuco, Chile</t>
  </si>
  <si>
    <t>Universidad Austral de Chile; Universidad de Concepcion; Universidad de La Frontera</t>
  </si>
  <si>
    <t>Zúñiga-Feest, A (corresponding author), Univ Austral Chile, Inst Geociencias, Fac Ciencias, Campus Isla Teja,Casilla 567, Valdivia, Chile.</t>
  </si>
  <si>
    <t>alejandrazuniga@uach.cl</t>
  </si>
  <si>
    <t>Bascunan-Godoy, Luisa/H-7357-2015; Bravo, Leon/H-9251-2018; Bravo, León/AAO-8437-2020; Corcuera, Luis J/G-1714-2014; Godoy, Luisa Bascunan/AAF-2978-2019; Zuniga-Feest, Alejandra/D-8308-2015</t>
  </si>
  <si>
    <t>Bascunan-Godoy, Luisa/0000-0001-8346-7295; Bravo, Leon/0000-0003-4705-4842; Bravo, León/0000-0003-4705-4842; Godoy, Luisa Bascunan/0000-0001-8346-7295; Zuniga-Feest, Alejandra/0000-0002-3524-9813</t>
  </si>
  <si>
    <t>Fondecyt [2000136]; Instituto Chileno Antartico</t>
  </si>
  <si>
    <t>Fondecyt(Comision Nacional de Investigacion Cientifica y Tecnologica (CONICYT)CONICYT FONDECYT); Instituto Chileno Antartico</t>
  </si>
  <si>
    <t>The authors gratefully acknowledge Fondecyt 2000136 project for its financial support, and Instituto Chileno Antartico for the logistic and official permits for collecting plants in a special protected area. We also thank Alexis Estay and Valeria Neira for their technical assistance.</t>
  </si>
  <si>
    <t>10.1007/s00300-008-0553-6</t>
  </si>
  <si>
    <t>WOS:000264328700007</t>
  </si>
  <si>
    <t>Corbera, J; Vicente, CS; Sorbe, JC</t>
  </si>
  <si>
    <t>Corbera, Jordi; Vicente, Carles San; Sorbe, Jean-Claude</t>
  </si>
  <si>
    <t>Cumaceans (Crustacea) from the Bellingshausen Sea and off the western Antarctic Peninsula: a deep-water link with fauna of the surrounding oceans</t>
  </si>
  <si>
    <t>Cumacea; Suprabenthos; Abundance; Environmental factors; Bellingshausen Sea; Antarctic Peninsula</t>
  </si>
  <si>
    <t>SOUTH-SHETLAND ISLANDS; NEAR-BOTTOM DISTRIBUTION; PETER-I ISLAND; SUPRABENTHIC ASSEMBLAGES; SPATIAL-DISTRIBUTION; COMMUNITY STRUCTURE; BRANSFIELD STRAIT; WEDDELL SEA; MALACOSTRACA; PERACARIDA</t>
  </si>
  <si>
    <t>During the austral summers of 2003 and 2006, two cruise were carried out in the Bellingshausen Sea and west off Antarctic Peninsula on board of RV Hesp,rides. Samples were collected at 26 stations with a multinet Macer-GIROQ sled. A total of 557 cumaceans belonging to 36 species of five families were collected. Nannastacidae was the most abundant and speciose family. Hemilamprops pellucidus and Cyclaspis gigas were the most frequently collected species (38.5% of sampling stations). Cumella asutralis reached the highest density (514.7 individuals/1,000 m(2) at stn 7). Maximum species richness (S = 15) and diversity (H' = 3.53) was observed at one of the deepest station. Positive correlations were found between the cumacean distribution and the organic content and percentage of coarse sand of the sediments. Predominance of Nannastacidae in front of other cumaceans could be explained by their type of feeding (i.e. predators or scavengers), which may be more successful in the deep seafloor of an oligotrophic sea such as studied herein. The presence in the deepest sampling sites of species shared with faunas of surrounding oceans suggests a link between these faunas and those of deep Antarctic waters.</t>
  </si>
  <si>
    <t>[Sorbe, Jean-Claude] UB1, CNRS, Stn Marine, UMR 5805, F-33120 Arcachon, France</t>
  </si>
  <si>
    <t>Centre National de la Recherche Scientifique (CNRS); Universite de Bordeaux; CNRS - National Institute for Earth Sciences &amp; Astronomy (INSU)</t>
  </si>
  <si>
    <t>Corbera, J (corresponding author), Carrer Gran 90, Argentona 08310, Catalonia, Spain.</t>
  </si>
  <si>
    <t>corbera@sct.ictnet.es</t>
  </si>
  <si>
    <t>Spanish Ministry of Science and Technology (MCYT) [REN2001-1074/ANT, CGL2004-01856]</t>
  </si>
  <si>
    <t>Spanish Ministry of Science and Technology (MCYT)(Spanish Government)</t>
  </si>
  <si>
    <t>The BENTART cruises were carried out under the auspices of two Spanish Ministry of Science and Technology (MCYT) Antarctic Programmes (REN2001-1074/ANT and CGL2004-01856). We express our gratitude to the head of campaign Ana Ramos, to the officers and crew of the RV Hesperides and to our colleagues from the BENTART cruises in 2003 and 2006. B. Mourino (Universidad de Vigo) communicated useful comments on oceanographic data.</t>
  </si>
  <si>
    <t>10.1007/s00300-008-0561-6</t>
  </si>
  <si>
    <t>WOS:000264328700010</t>
  </si>
  <si>
    <t>Griffith, GP; Vennell, R; Lamare, MD</t>
  </si>
  <si>
    <t>Griffith, Gary P.; Vennell, Ross; Lamare, Miles D.</t>
  </si>
  <si>
    <t>Diadinoxanthin cycle of the bottom ice algal community during spring in McMurdo Sound, Antarctica</t>
  </si>
  <si>
    <t>Ice algae; Photoprotection; Diadinoxanthin cycle; Light-mixing simulator</t>
  </si>
  <si>
    <t>XANTHOPHYLL-CYCLE; POOL SIZE; ROSS SEA; PHYTOPLANKTON; PHOTOPROTECTION; PRODUCTIVITY; FLUORESCENCE; DIATOM; KINETICS; PIGMENTS</t>
  </si>
  <si>
    <t>Using the ice algal community growing at the bottom of the annual sea ice in McMurdo Sound Antarctica, the response of the photoprotective diadinoxanthin (DD)-cycle to exposure to light was investigated. Changes in pigment concentration were detected using high-performance liquid chromatography. A light mixing simulator (LMS) was developed and used to simulate the pigment response to mixing in the upper water column. No DD-cycle was detected under the sea ice under natural light conditions. The DD-cycle was activated after exposure to surface natural light conditions and artificial light conditions. The first-order kinetic rates of the DD-cycle under constant artificial irradiance, natural irradiance and simulations with the LMS were found to be similar to other studies suggesting that ice algae do not vary the rate of deepoxidation depending on light history. Simulations under natural light using the LMS demonstrated that the response of the DD-cycle to static incubations and when subject to vertical mixing was not similar, and that static incubations overestimate DD-cycle activity over the long term. Algae in a simulated vertically mixed environment were able to increase the pool of xanthophyll pigments compared to static conditions where the pool remained the same or decreased. The recovery of DD in the dark or under low light was found to be significantly faster than in temperate algal communities. These results suggest that ice algae at the sea ice bottom can activate the photoprotective DD-cycle to regulate excess thermal energy. Unlike temperate species of diatoms, ice algae can rapidly reconstruct the pigment pool under low light or in the dark and is likely a particular adaptation to the unique light environment in Antarctica.</t>
  </si>
  <si>
    <t>[Griffith, Gary P.; Vennell, Ross; Lamare, Miles D.] Univ Otago, Dept Marine Sci, Dunedin, New Zealand</t>
  </si>
  <si>
    <t>Griffith, GP (corresponding author), Univ Otago, Dept Marine Sci, POB 56, Dunedin, New Zealand.</t>
  </si>
  <si>
    <t>ggriffith@otago.ac.nz</t>
  </si>
  <si>
    <t>Lamare, Miles M/A-7020-2010; Vennell, Ross/A-7425-2010</t>
  </si>
  <si>
    <t>Lamare, Miles/0000-0001-8656-7240; Vennell, Ross/0000-0001-6961-9977</t>
  </si>
  <si>
    <t>Antarctic New Zealand [KO68]; University of Otago Division of Science award; University of Otago Research Grant</t>
  </si>
  <si>
    <t>Antarctic New Zealand; University of Otago Division of Science award; University of Otago Research Grant</t>
  </si>
  <si>
    <t>This work was supported by Antarctic New Zealand as part of project KO68. The work was also supported and funded by a University of Otago Division of Science award (G. P. G) and a University of Otago Research Grant (M. D. L). We thank the staff of Antarctic New Zealand for invaluable logistic support for the field work. Karen Bonney and Bev Dickson of Portobello Marine Laboratory for their assistance with laboratory analysis.</t>
  </si>
  <si>
    <t>10.1007/s00300-008-0562-5</t>
  </si>
  <si>
    <t>WOS:000264328700011</t>
  </si>
  <si>
    <t>Takahashi, KT; Kawaguchi, S; Toda, T</t>
  </si>
  <si>
    <t>Takahashi, Kunio T.; Kawaguchi, So; Toda, Tatsuki</t>
  </si>
  <si>
    <t>Observation by electron microscopy of a gregarine parasite of Antarctic krill: its histological aspects and ecological explanations</t>
  </si>
  <si>
    <t>Antarctic krill; Gregarine; Parasite; Pathogenic impact; Large gamont; Southern Ocean</t>
  </si>
  <si>
    <t>EUPHAUSIA-SUPERBA-DANA; N-SP APICOMPLEXA; CEPHALOIDOPHORA-PACIFICA; EUGREGARINIDA; BODY</t>
  </si>
  <si>
    <t>Antarctic krill are parasitized by gregarines (Phylum Apicomplexa, Class Sporozoea, Order Eugregarinida), which were observed in this study by light, scanning, and transmission electron microscopy. Eighty seven percentage of the krill examined (n = 93) were infected with the parasites in the cephalin stage, which were regularly found in the hind-gut epithelium of their host. Cephalins were found attached to the epithelium, and then were liberated into the intestinal lumen. The gamont stage, which follows the cephalin stage, was found in the intestinal lumen, as well as the diverticulum of mid-gut gland. However, gamonts found in the mid-gut gland were considerably larger and elongated in comparison with those in the intestinal lumen. Gamonts in the diverticulum appear to damage microvilli, which are involved in the uptake of digested nutrients and secretion of various enzymes. Therefore, elevated infestation of this parasite in the mid-gut gland may have a significant impact on the nutritional state of the Antarctic krill host.</t>
  </si>
  <si>
    <t>[Takahashi, Kunio T.; Kawaguchi, So] Australian Antarctic Div, Kingston, Tas 7050, Australia; [Toda, Tatsuki] Soka Univ, Fac Engn, Tokyo 1928577, Japan</t>
  </si>
  <si>
    <t>Australian Antarctic Division; Soka University</t>
  </si>
  <si>
    <t>Takahashi, KT (corresponding author), Natl Inst Polar Res, Itabashi Ku, 9-10 Kaga 1 Chome, Tokyo 1738515, Japan.</t>
  </si>
  <si>
    <t>takahashi.kunio@nipr.ac.jp</t>
  </si>
  <si>
    <t>Kawaguchi, So/N-1795-2017</t>
  </si>
  <si>
    <t>Kawaguchi, So/0000-0002-2042-5095; Toda, Tatsuki/0000-0001-9279-030X</t>
  </si>
  <si>
    <t>The Japan Society for the Promotion of Science</t>
  </si>
  <si>
    <t>The Japan Society for the Promotion of Science(Ministry of Education, Culture, Sports, Science and Technology, Japan (MEXT)Japan Society for the Promotion of Science)</t>
  </si>
  <si>
    <t>We thank the officers and crew of the RSV Aurora Australis, Australian National Antarctic Research Expeditions for their kind assistance during the cruise. We are grateful to Drs. Graham W. Hosie, Stephen Nicol, Anna McEldowney, Gerry Nash, and Harvey J. Marchant, Australian Antarctic Division, Mikio Naganobu and Taro Ichii, National Research Institute of Far Seas Fisheries, Mr. Masaki Kobayashi, Soka University, for various advises and supports throughout this study. The Japan Society for the Promotion of Science also is acknowledged for financial support during this study.</t>
  </si>
  <si>
    <t>10.1007/s00300-008-0563-4</t>
  </si>
  <si>
    <t>WOS:000264328700012</t>
  </si>
  <si>
    <t>Green, JA; Wilson, RP; Boyd, IL; Woakes, AJ; Green, CJ; Butler, PJ</t>
  </si>
  <si>
    <t>Green, Jonathan A.; Wilson, Rory P.; Boyd, Ian L.; Woakes, Anthony J.; Green, Chris J.; Butler, Patrick J.</t>
  </si>
  <si>
    <t>Tracking macaroni penguins during long foraging trips using 'behavioural geolocation'</t>
  </si>
  <si>
    <t>Penguin; Geolocation; Foraging; Polar frontal zone</t>
  </si>
  <si>
    <t>IMPLANTED SATELLITE TRANSMITTERS; ROYAL EUDYPTES-SCHLEGELI; BREEDING KING PENGUINS; SOUTH GEORGIA; MAGELLANIC PENGUINS; CHRYSOCOME PENGUINS; CHINSTRAP PENGUINS; SEASONAL-CHANGES; ANTARCTIC KRILL; DIVING SEABIRDS</t>
  </si>
  <si>
    <t>The movement of marine vertebrates has been tracked using a variety of techniques, all of which depend on the external attachment of a transmitting or recording device. However, these devices can have negative effects on the subject animals, limiting both the quantity and quality of data collected. We present a new method for monitoring large-scale movement of marine vertebrates that uses behavioural data stored on a surgically implanted data logger. The technique ('behavioural geolocation') relies on the principles of light-based geolocation but rather than measuring ambient light levels, changes in diving behaviour associated with sunrise and sunset are used to infer daylength and time of local sunrise, and hence location. We present data from a trial, post-hoc, analysis of diving data collected from macaroni penguins Eudyptes chrysolophus during long foraging trips associated with incubation and preparation for moult. Our results showed that the penguins usually travelled to the polar frontal zone to the north of their breeding colony at South Georgia, an area broadly consistent with previously measured behaviour and the availability of preferred prey at this period of the annual cycle.</t>
  </si>
  <si>
    <t>[Green, Jonathan A.] La Trobe Univ, Dept Zool, Melbourne, Vic 3070, Australia; [Wilson, Rory P.] Univ Swansea, Inst Environm Sustainabil, Sch Environm &amp; Soc, Swansea SA2 8PP, W Glam, Wales; [Boyd, Ian L.] Univ St Andrews, Gatty Marine Lab, Sea Mammal Res Unit, St Andrews KY15 8LB, Fife, Scotland; [Woakes, Anthony J.; Butler, Patrick J.] Univ Birmingham, Sch Biosci, Birmingham B15 2TT, W Midlands, England; [Green, Chris J.] British Antarctic Survey, Cambridge CB3 0ET, England</t>
  </si>
  <si>
    <t>La Trobe University; Swansea University; University of St Andrews; University of Birmingham; UK Research &amp; Innovation (UKRI); Natural Environment Research Council (NERC); NERC British Antarctic Survey</t>
  </si>
  <si>
    <t>Green, JA (corresponding author), Univ Liverpool, Sch Biol Sci, Crown St, Liverpool L69 7ZB, Merseyside, England.</t>
  </si>
  <si>
    <t>jonathan.green@liverpool.ac.uk</t>
  </si>
  <si>
    <t>Green, Jonathan A/B-8799-2011; Woakes, Anthony/JYD-0387-2024</t>
  </si>
  <si>
    <t>Green, Jonathan A/0000-0001-8692-0163;</t>
  </si>
  <si>
    <t>Natural Environment Research Council [smru10001] Funding Source: researchfish</t>
  </si>
  <si>
    <t>Natural Environment Research Council(UK Research &amp; Innovation (UKRI)Natural Environment Research Council (NERC))</t>
  </si>
  <si>
    <t>10.1007/s00300-008-0568-z</t>
  </si>
  <si>
    <t>WOS:000264328700013</t>
  </si>
  <si>
    <t>Martin, AR; Poncet, S; Barbraud, C; Foster, E; Fretwell, P; Rothery, P</t>
  </si>
  <si>
    <t>Martin, A. R.; Poncet, S.; Barbraud, C.; Foster, E.; Fretwell, P.; Rothery, P.</t>
  </si>
  <si>
    <t>The white-chinned petrel (Procellaria aequinoctialis) on South Georgia: population size, distribution and global significance</t>
  </si>
  <si>
    <t>White-chinned petrel (Procellaria aequinoctialis); Population size; Burrow-nesting; South Georgia; Antarctic</t>
  </si>
  <si>
    <t>TOOTHFISH LONGLINE FISHERY; SEABIRD MORTALITY; LINNAEUS 1758; BIRD ISLAND; ARCHIPELAGO; ATLANTIC</t>
  </si>
  <si>
    <t>More white-chinned petrels (Procellaria aequinoctialis) are accidentally killed in fisheries than probably any other seabird in the world, but the population impact of this mortality is poorly understood, partly because there have been no recent estimates of the species' abundance. The breeding aggregation on the sub-Antarctic island of South Georgia is believed to be larger than all others combined. We estimated the size of this population by calculating the area of suitable habitat and the density of occupied burrows within it. Some 670,000 occupied nests were estimated for the island at mid-incubation, representing 0.9 million pairs of breeding-age birds associated with South Georgia in the survey seasons (2005/06 and 06/07). This is 40-45% of the previous estimate, but still represents well over half of the global population. If the population is declining due to fishery bycatch, as is likely, the scale of annual mortality in this population alone is at least in the high tens of thousands, and plausibly hundreds of thousands.</t>
  </si>
  <si>
    <t>[Martin, A. R.; Foster, E.; Fretwell, P.] British Antarctic Survey, Cambridge CB3 0ET, England; [Poncet, S.] S Georgia Surveys, Stanley FIQQ 1ZZ, Falkland Isl, England; [Barbraud, C.] Ctr Etudes Biol Chize, F-79360 Villiers En Bois, Beauvoir Sur Ni, France; [Rothery, P.] Abbots Ripton, CEH Monks Wood, Huntingdon PE28 2LS, Cambs, England</t>
  </si>
  <si>
    <t>UK Research &amp; Innovation (UKRI); Natural Environment Research Council (NERC); NERC British Antarctic Survey; UK Centre for Ecology &amp; Hydrology (UKCEH)</t>
  </si>
  <si>
    <t>Martin, AR (corresponding author), British Antarctic Survey, Madingley Rd, Cambridge CB3 0ET, England.</t>
  </si>
  <si>
    <t>arm@bas.ac.uk</t>
  </si>
  <si>
    <t>Barbraud, Christophe/A-5870-2012</t>
  </si>
  <si>
    <t>Barbraud, Christophe/0000-0003-0146-212X</t>
  </si>
  <si>
    <t>Overseas Territories Environment Programme (OTEP); Government of South Georgia; South Sandwich Islands; NERC [bas010017] Funding Source: UKRI; Natural Environment Research Council [bas010017, CEH010021] Funding Source: researchfish</t>
  </si>
  <si>
    <t>Overseas Territories Environment Programme (OTEP); Government of South Georgia; South Sandwich Islands; NERC(UK Research &amp; Innovation (UKRI)Natural Environment Research Council (NERC)); Natural Environment Research Council(UK Research &amp; Innovation (UKRI)Natural Environment Research Council (NERC))</t>
  </si>
  <si>
    <t>We thank Dion Poncet, Leiv Poncet, Ken Passfield, Steve Cartwright, Kilian de Couedic and Russell Evans for running the SV Golden Fleece and looking after the field team so well, and Ash Morton, Catrin Thomas, Olly Watts, Andy Black, Leiv Poncet, Carolina Mantella and Ronnie Reyes-Arriagada for their contribution to the fieldwork. Peter Rothery kindly contributed statistical advice, and Richard Phillips was an excellent source of advice and stimulating discussion. Funding for this study was provided by the Overseas Territories Environment Programme (OTEP) and the Government of South Georgia and the South Sandwich Islands. This study is a contribution to the BAS Discovery 2010 research programme.</t>
  </si>
  <si>
    <t>10.1007/s00300-008-0570-5</t>
  </si>
  <si>
    <t>WOS:000264328700014</t>
  </si>
  <si>
    <t>Gan, I</t>
  </si>
  <si>
    <t>Gan, Irina</t>
  </si>
  <si>
    <t>'Will the Russians abandon Mirny to the penguins after 1959 ... or will they stay?'</t>
  </si>
  <si>
    <t>POLAR RECORD</t>
  </si>
  <si>
    <t>This paper traces the Soviet responses to initiatives of international scientific institutions for collaborative research in the Antarctic dating from the International Geophysical Year (IGY) through to the formation of the Special Committee for Antarctic Research (SCAR) and the extension of the IGY for a year during the International Geophysical Cooperation. It demonstrates the consistently positive attitudes of the USSR to these initiatives and the steps that were taken at the national level to enable it to continue international collaboration. Other countries with interests in the Antarctic conjectured whether the Soviets had a long term strategy for continuing their presence in the South Polar region. The evidence suggests that from the day the Soviets set foot on the Antarctic continent, they had no intention of leaving.</t>
  </si>
  <si>
    <t>Univ Tasmania, Inst Antarctic &amp; So Ocean Studies, Hobart, Tas 7001, Australia</t>
  </si>
  <si>
    <t>University of Tasmania</t>
  </si>
  <si>
    <t>Gan, I (corresponding author), Univ Tasmania, Inst Antarctic &amp; So Ocean Studies, Private Bag 77, Hobart, Tas 7001, Australia.</t>
  </si>
  <si>
    <t>0032-2474</t>
  </si>
  <si>
    <t>1475-3057</t>
  </si>
  <si>
    <t>POLAR REC</t>
  </si>
  <si>
    <t>POLAR REC.</t>
  </si>
  <si>
    <t>10.1017/S0032247408007948</t>
  </si>
  <si>
    <t>423SN</t>
  </si>
  <si>
    <t>WOS:000264516100007</t>
  </si>
  <si>
    <t>Splettstoesser, J</t>
  </si>
  <si>
    <t>Splettstoesser, John</t>
  </si>
  <si>
    <t>Una Peaks: a long overdue Antarctic geographical naming</t>
  </si>
  <si>
    <t>A new name for a geographical feature in the Antarctic Peninsula known for many years by its colloquial name of Una's Tits, was formally approved by the Antarctic place names committee of the United Kingdom. It is now known as Una Peaks, named for a former secretary in the governor's office, Stanley, Falkland Islands.</t>
  </si>
  <si>
    <t>Splettstoesser, J (corresponding author), POB 515, Waconia, MN 55387 USA.</t>
  </si>
  <si>
    <t>10.1017/S0032247408008036</t>
  </si>
  <si>
    <t>WOS:000264516100009</t>
  </si>
  <si>
    <t>Bracegirdle, TJ; Gray, SL</t>
  </si>
  <si>
    <t>Bracegirdle, Thomas J.; Gray, Suzanne L.</t>
  </si>
  <si>
    <t>The dynamics of a polar low assessed using potential vorticity inversion</t>
  </si>
  <si>
    <t>QUARTERLY JOURNAL OF THE ROYAL METEOROLOGICAL SOCIETY</t>
  </si>
  <si>
    <t>cyclone; case-study; attribution</t>
  </si>
  <si>
    <t>EXTRATROPICAL CYCLOGENESIS; NUMERICAL-SIMULATION; CYCLONES; FASTEX; SEA; CLASSIFICATION; CLIMATOLOGY; SENSITIVITY; DISTURBANCE; PREDICTION</t>
  </si>
  <si>
    <t>The dynamics of a polar low are examined using a piecewise potential vorticity (PV) inversion method. In previous studies of this and other polar lows, structural evolution has been described in terms of regions of anomalous PV. In this study the relative importance of different PV anomalies and the interactions between them have been quantified using PV diagnostics. The intensification of the polar low occurred in three stages (in contrast to previous studies of polar lows that have only identified two stages). The dynamical characteristics of stages one and two are consistent with the proposed type C cyclogenesis mechanism. A diabatically-generated lower-tropospheric PV anomaly dominated intensification after initial triggering by a positive upper-level PV anomaly. A phase tilt between the upper and lower levels was maintained through retardation of the positive upper-level anomaly by the effects of latent heat release. Stage three was a period of growth dominated by wind-induced surface heat exchange (WISHE), which contributed at least 18% to the amplitude of the mature surface polar low. Copyright (C) 2009 Royal Meteorological Society</t>
  </si>
  <si>
    <t>[Bracegirdle, Thomas J.; Gray, Suzanne L.] Univ Reading, Reading, Berks, England</t>
  </si>
  <si>
    <t>University of Reading</t>
  </si>
  <si>
    <t>Bracegirdle, TJ (corresponding author), British Antarctic Survey, Cambridge CB3 0ET, England.</t>
  </si>
  <si>
    <t>tjbra@bas.ac.uk</t>
  </si>
  <si>
    <t>Bracegirdle, Tom/AAD-6060-2020; Gray, Suzanne/J-6485-2016</t>
  </si>
  <si>
    <t>Gray, Suzanne/0000-0001-8658-362X; Bracegirdle, Thomas/0000-0002-8868-4739</t>
  </si>
  <si>
    <t>UK Natural Environment Research Council [NER/S/A/2002/10539]; NERC [bas0100023, ncas10003] Funding Source: UKRI; Natural Environment Research Council [bas0100023, ncas10003]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</si>
  <si>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</si>
  <si>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the Met Office for the use of their Unified Model and for the advice and support in using the model provided by the University/Met Office Joint Centre for Mesoscale Meteorology at the University of Reading. We also gratefully acknowledge the use of diagnostic and plotting tools supported by Chang-Gui Wang via the National Centre for Atmospheric Science (NCAS). Robert Plant and Brian Hoskins are thanked for their advice and helpful discussions. Two anonymous reviewers are also thanked for their useful comments. Thomas Bracegirdle was supported by a studentship from the UK Natural Environment Research Council; studentship reference NER/S/A/2002/10539.</t>
  </si>
  <si>
    <t>0035-9009</t>
  </si>
  <si>
    <t>1477-870X</t>
  </si>
  <si>
    <t>Q J ROY METEOR SOC</t>
  </si>
  <si>
    <t>Q. J. R. Meteorol. Soc.</t>
  </si>
  <si>
    <t>B</t>
  </si>
  <si>
    <t>10.1002/qj.411</t>
  </si>
  <si>
    <t>473QL</t>
  </si>
  <si>
    <t>WOS:000268222800005</t>
  </si>
  <si>
    <t>Savijärvi, H</t>
  </si>
  <si>
    <t>Savijarvi, Hannu</t>
  </si>
  <si>
    <t>Stable boundary layer: Parametrizations for local and larger scales</t>
  </si>
  <si>
    <t>stability functions; subgrid-scale fluxes; topography; katabatic flows</t>
  </si>
  <si>
    <t>NUMERICAL SIMULATIONS; ATMOSPHERIC MODELS; SURFACE; VARIABILITY; CLIMATE; FLUXES</t>
  </si>
  <si>
    <t>Stability functions f(Ri) for a very stable boundary layer were studied by experimenting in winter Antarctic conditions with a one-dimensional (1D) numerical model and comparing with the Plateau Site tower observations. The local representations for f(Ri) produced good simulations of the temperature profiles and wind hodographs, while the standard Monin-Obukhov formulation indicated too little, and the general-circulation model (GCM)-type formulations too much, vertical mixing. Next, idealised simulations were made for winter-night hilly northern Finland landscape with a high-resolution 2D model, using a local f(Ri) at each column. Realistic quasi-steady mesoscale katabatic flows resulted. These enhanced vertical mixing both locally and regionally. Area-averaged (i.e. regional) surface fluxes were compared with those obtained from simulations using GCM-type large-scale stability functions over flat land. New parametrizations for both local and larger scales are suggested based on the experiments. Copyright (C) 2009 Royal Meteorological Society</t>
  </si>
  <si>
    <t>Univ Helsinki, Dept Phys, FIN-00014 Helsinki, Finland</t>
  </si>
  <si>
    <t>University of Helsinki</t>
  </si>
  <si>
    <t>Savijärvi, H (corresponding author), Univ Helsinki, Dept Phys, POB 64,Gustav Hallstromin Katu 2, FIN-00014 Helsinki, Finland.</t>
  </si>
  <si>
    <t>hannu.savijarvi@helsinki.fi</t>
  </si>
  <si>
    <t>Academy of Finland [210794, 128799]; Academy of Finland (AKA) [128799, 210794] Funding Source: Academy of Finland (AKA)</t>
  </si>
  <si>
    <t>Academy of Finland(Research Council of Finland); Academy of Finland (AKA)(Research Council of Finland)</t>
  </si>
  <si>
    <t>This work was related to the Academy of Finland projects 210794 and 128799. The calculations were made in the Centre for Scientific Computing, Espoo. Comments of the three anonymous reviewers are acknowledged.</t>
  </si>
  <si>
    <t>10.1002/qj.423</t>
  </si>
  <si>
    <t>WOS:000268222800007</t>
  </si>
  <si>
    <t>Lu, H; Gray, LJ; Baldwin, MP; Jarvis, MJ</t>
  </si>
  <si>
    <t>Lu, Hua; Gray, Lesley J.; Baldwin, Mark P.; Jarvis, Martin J.</t>
  </si>
  <si>
    <t>Life cycle of the QBO-modulated 11-year solar cycle signals in the Northern Hemispheric winter</t>
  </si>
  <si>
    <t>solar influences; climate variability; stratospheric circulation</t>
  </si>
  <si>
    <t>QUASI-BIENNIAL OSCILLATION; STRATOSPHERIC SUDDEN WARMINGS; SUNSPOT CYCLE; POLAR-REGION; TEMPERATURE; VARIABILITY; CLIMATE; OZONE; CIRCULATION; EVENTS</t>
  </si>
  <si>
    <t>paper provides some insights on the quasi-biennial oscillation (QBO) modulated 11-year solar cycle (11-yr SC) signals in Northern Hemisphere (NH) winter temperature and zonal wind. Daily ERA-40 Reanalysis and ECMWF Operational data for the period of 1958-2006 were used to examine the seasonal evolution of the QBO-solar cycle relationship at various pressure levels up to the stratopause. The results show that the solar signals in the NH winter extratropics are indeed QBO-phase dependent, moving poleward and downward as winter progresses with a faster descent rate under westerly QBO than under easterly QBO. In the stratosphere, the signals are highly significant in late January to early March and have a life span of similar to 30-50 days. Under westerly QBO, the stratospheric solar signals clearly lead and connect to those in the troposphere in late March and early April where they have a life span of similar to 10 days. As the structure changes considerably from the upper stratosphere to the lower troposphere, the exact month when the maximum solar signals occur depends largely on the altitude chosen. For the low-latitude stratosphere, our analysis supports a vertical double-peaked structure of positive signature of the 11-yr SC in temperature, and demonstrates that this structure is further modulated by the QBO. These solar signals have a longer life span (similar to 3-4 months) in comparison to those in the extratropics. The solar signals in the lower stratosphere are stronger in early winter but weaker in late winter, while the reverse holds in the upper stratosphere. Copyright (C) 2009 Royal Meteorological Society</t>
  </si>
  <si>
    <t>[Lu, Hua; Jarvis, Martin J.] British Antarctic Survey, Div Phys Sci, Cambridge CB3 0ET, England; [Gray, Lesley J.] Univ Reading, Dept Meteorol, NCAS Climate, Reading, Berks, England; [Baldwin, Mark P.] NW Res Associates Inc, Redmond, WA USA</t>
  </si>
  <si>
    <t>UK Research &amp; Innovation (UKRI); Natural Environment Research Council (NERC); NERC British Antarctic Survey; University of Reading; UK Research &amp; Innovation (UKRI); Natural Environment Research Council (NERC); NERC National Centre for Atmospheric Science; NorthWest Research Associates</t>
  </si>
  <si>
    <t>Lu, H (corresponding author), British Antarctic Survey, Div Phys Sci, Madingley Rd, Cambridge CB3 0ET, England.</t>
  </si>
  <si>
    <t>hlu@bas.ac.uk</t>
  </si>
  <si>
    <t>Lu, Hua/GXA-0276-2022; Gray, Lesley J/D-3610-2009; Baldwin, Mark P/J-6720-2012</t>
  </si>
  <si>
    <t>Lu, Hua/0000-0001-9485-5082; Gray, Lesley/0000-0002-7803-9277</t>
  </si>
  <si>
    <t>UK Natural Environment Research Council (NERC); UK NERC National Centre for Atmospheric Science (NCAS); NSF under the US CLIVAR programme; NERC [NE/D002753/1, NE/D003652/1, bas0100023] Funding Source: UKRI; Natural Environment Research Council [bas0100023, NE/D003652/1, NER/A/S/2003/00370, NE/D002753/1, ncas10009] Funding Source: researchfish; Directorate For Geosciences; Div Atmospheric &amp; Geospace Sciences [0822009] Funding Source: National Science Foundation</t>
  </si>
  <si>
    <t>UK Natural Environment Research Council (NERC)(UK Research &amp; Innovation (UKRI)Natural Environment Research Council (NERC)); UK NERC National Centre for Atmospheric Science (NCAS); NSF under the US CLIVAR programme; NERC(UK Research &amp; Innovation (UKRI)Natural Environment Research Council (NERC)); Natural Environment Research Council(UK Research &amp; Innovation (UKRI)Natural Environment Research Council (NERC)); Directorate For Geosciences; Div Atmospheric &amp; Geospace Sciences(National Science Foundation (NSF)NSF - Directorate for Geosciences (GEO))</t>
  </si>
  <si>
    <t>HL and MJJ were supported by the UK Natural Environment Research Council (NERC). LJG was supported by the UK NERC National Centre for Atmospheric Science (NCAS). MPB was funded by NSF under the US CLIVAR programme and the Office of Polar Programs. We are grateful to two anonymous reviewers for their constructive comments.</t>
  </si>
  <si>
    <t>10.1002/qj.419</t>
  </si>
  <si>
    <t>WOS:000268222800016</t>
  </si>
  <si>
    <t>Smith, AM; Murray, T</t>
  </si>
  <si>
    <t>Smith, Andy M.; Murray, Tavi</t>
  </si>
  <si>
    <t>Bedform topography and basal conditions beneath a fast-flowing West Antarctic ice stream</t>
  </si>
  <si>
    <t>SCALE GLACIAL LINEATIONS; MARINE-SEDIMENTS; SUBGLACIAL TILL; DEFORMATION; VELOCITY; MECHANICS; RHEOLOGY; SYSTEM; MODEL; SHEAR</t>
  </si>
  <si>
    <t>A grid of seismic reflection lines has been used to image basal topography and infer basal conditions and flow processes beneath similar to 140 km(2) of Rutford Ice Stream, West Antarctica. The subglacial topography in this region consists of two troughs flanking a central high and the bed is composed of water-saturated sediments. The two troughs are filled with deforming sediment, whereas the bed in the central region appears to undergo a transition from largely deforming conditions upstream to basal sliding downstream. The deforming bed is very flat along flow, but undulates across flow. Sliding areas show rougher bed topography. Cross-stream bed topography is characterised by streamlined mounds of deforming sediment aligned in the ice flow direction. These bedforms occur superimposed on the bed in regions of both basal sliding and sediment deformation. In places, they form finger-like mounds of material, which extend into the sliding region further downstream. Mean bedform height is 22 m, mean width is 267 m, and many of them extend for at least 1-2 km along flow. We interpret most of these bedforms as drumlins and one as a mega-scale glacial lineation. The juxtaposition of different basal conditions is consistent with models proposed from terrestrial studies in which the glacier bed is a mosaic of stable and deforming bed areas, variable both spatially and temporally. Any theory of subglacial sediment rheology must also be able to account for our conclusion that, at any given time, pervasive deformation extends at least a few metres into the bed and can persist over a considerable area (many km(2)). Bedform geometry and basal conditions concur with interpretations of former ice streams, with evidence for increasing elongation ratio with distance downstream. However, those studies also identified bedrock cropping out at the ice-bed interface, for which there is no evidence on Rutford Ice Stream. (C) 2008 Elsevier Ltd. All rights reserved.</t>
  </si>
  <si>
    <t>[Smith, Andy M.] British Antarctic Survey, NERC, Cambridge CB3 0ET, England; [Murray, Tavi] Swansea Univ, Sch Environm &amp; Soc, Swansea SA2 8PP, W Glam, Wales</t>
  </si>
  <si>
    <t>UK Research &amp; Innovation (UKRI); Natural Environment Research Council (NERC); NERC British Antarctic Survey; Swansea University</t>
  </si>
  <si>
    <t>Smith, AM (corresponding author), British Antarctic Survey, NERC, High Cross,Madingley Rd, Cambridge CB3 0ET, England.</t>
  </si>
  <si>
    <t>amsm@bas.ac.uk</t>
  </si>
  <si>
    <t>Murray, Tavi/0000-0001-6714-6512</t>
  </si>
  <si>
    <t>UK NERC [GR3/G005]; British Antarctic Survey (BAS); NERC [bas010018] Funding Source: UKRI; Natural Environment Research Council [bas010018] Funding Source: researchfish</t>
  </si>
  <si>
    <t>UK NERC(UK Research &amp; Innovation (UKRI)Natural Environment Research Council (NERC)); British Antarctic Survey (BAS); NERC(UK Research &amp; Innovation (UKRI)Natural Environment Research Council (NERC)); Natural Environment Research Council(UK Research &amp; Innovation (UKRI)Natural Environment Research Council (NERC))</t>
  </si>
  <si>
    <t>This work was funded by UK NERC (GR3/G005) and the British Antarctic Survey (BAS). Field support was provided by BAS. TMs participation in fieldwork was funded by a Leverhulme Fellowship' We thank the numerous people who assisted in the fieldwork and data acquisition.</t>
  </si>
  <si>
    <t>7-8</t>
  </si>
  <si>
    <t>10.1016/j.quascirev.2008.05.010</t>
  </si>
  <si>
    <t>430RH</t>
  </si>
  <si>
    <t>WOS:000265005700003</t>
  </si>
  <si>
    <t>van der Meer, JJM; Kjær, KH; Krüger, J; Rabassa, J; Kilfeather, AA</t>
  </si>
  <si>
    <t>van der Meer, Jaap J. M.; Kjaer, K. H.; Krueger, J.; Rabassa, J.; Kilfeather, A. A.</t>
  </si>
  <si>
    <t>Under pressure: clastic dykes in glacial settings</t>
  </si>
  <si>
    <t>LATE PLEISTOCENE DRUMLIN; WATER-ESCAPE STRUCTURES; CENTRAL POLAND; ICELAND; SEDIMENT; DEPOSITS; ICE; DEFORMATION; IRELAND; FLUIDIZATION</t>
  </si>
  <si>
    <t>Clastic dykes are widespread in glacial settings, and we provide examples from Switzerland, Patagonia, Iceland and the Antarctic, ranging in age from Tertiary to recent. On the basis of these examples we establish the general characteristics of clastic dykes and proceed to establish the direction of propagation on sedimentological grounds. Micromorphological analysis reveals that sedimentation in the dykes is ruled by pressure gradients and that ordinary sedimentological rules do not apply. Clastic dykes act like safety valves in the subglacial hydraulic system. Their development depends on specific subglacial conditions like water volume and pressure, the nature of the bed, sediments or bedrock, and the hydraulic properties of the bed. A number of scenarios for clastic dyke development are presented as there is not just one set of conditions under which they form. Development of clastic dykes affects glaciodynamics, like velocity and surging and landform formation, like till thickness and bedrock disruption. (C) 2008 Elsevier Ltd. All rights reserved.</t>
  </si>
  <si>
    <t>[van der Meer, Jaap J. M.; Kilfeather, A. A.] Univ London, Dept Geog, London E1 4NS, England; [Kjaer, K. H.] Univ Copenhagen, Nat Hist Museum, DK-1350 Copenhagen K, Denmark; [Krueger, J.] Univ Copenhagen, Inst Geog &amp; Geol, DK-1350 Copenhagen K, Denmark; [Rabassa, J.] CADIC CONICET, Lab Geol Cuaternario, RA-9410 Ushuaia, Argentina; [Kilfeather, A. A.] Univ Durham, Dept Geog, Durham DH1 3LE, England</t>
  </si>
  <si>
    <t>University of London; University of Copenhagen; University of Copenhagen; Consejo Nacional de Investigaciones Cientificas y Tecnicas (CONICET); Durham University</t>
  </si>
  <si>
    <t>van der Meer, JJM (corresponding author), Univ London, Dept Geog, Mile End Rd, London E1 4NS, England.</t>
  </si>
  <si>
    <t>j.meer@qmul.ac.uk</t>
  </si>
  <si>
    <t>Kjaer, Kurt/A-4199-2013</t>
  </si>
  <si>
    <t>Kjaer, Kurt/0000-0002-8871-5179</t>
  </si>
  <si>
    <t>10.1016/j.quascirev.2008.07.017</t>
  </si>
  <si>
    <t>WOS:000265005700011</t>
  </si>
  <si>
    <t>Blagoveshchensky, DV; Borisova, TD; Kalishin, AS</t>
  </si>
  <si>
    <t>Blagoveshchensky, D. V.; Borisova, T. D.; Kalishin, A. S.</t>
  </si>
  <si>
    <t>Non-great-circle propagation modes on the high-latitude HF radio path</t>
  </si>
  <si>
    <t>RADIOPHYSICS AND QUANTUM ELECTRONICS</t>
  </si>
  <si>
    <t>MULTIPATH SPREAD; DOPPLER; IRREGULARITIES; CHANNEL</t>
  </si>
  <si>
    <t>We consider characteristics of the non-great-circle signals on the Murmansk-St. Petersburg oblique sounding path with a distance of 1050 km. The path crosses the main ionospheric trough and is highly influenced by the trough's polar wall and the boundary of diffuse precipitations. Field-aligned ionospheric irregularities and ionization gradients are often observed in this area. The data analysis was performed for quiet, moderately disturbed, and strongly disturbed conditions and for different local times. The main results are as follows. Non-great-circle signals in the form of scattered waves mostly occur in the nighttime hours. The nighttime non-great-circle signals always appear under both quiet and disturbed conditions, while the signals reflected from the ionization gradients appear at any local time during the disturbed periods (storms, substorms). Non-great-circle signals with intense reflections from the ionization gradients are most often observed during a moderate disturbance, especially in the nighttime hours. The ray-tracing model of non-great-circle propagation shows that the calculated oblique sounding ionograms generally coincide with the experimental ones.</t>
  </si>
  <si>
    <t>[Blagoveshchensky, D. V.] State Univ Aerosp Instrumentat, St Petersburg, Russia; [Borisova, T. D.; Kalishin, A. S.] Arctic &amp; Antarctic Res Inst, St Petersburg 199226, Russia</t>
  </si>
  <si>
    <t>Saint Petersburg State University of Aerospace Instrumentation; Arctic &amp; Antarctic Research Institute</t>
  </si>
  <si>
    <t>Blagoveshchensky, DV (corresponding author), State Univ Aerosp Instrumentat, St Petersburg, Russia.</t>
  </si>
  <si>
    <t>Borisova, Tatiana/AAK-7698-2020</t>
  </si>
  <si>
    <t>Kalishin, Alexey/0000-0001-7299-6546; Borisova, Tatiana/0000-0003-1727-5310</t>
  </si>
  <si>
    <t>0033-8443</t>
  </si>
  <si>
    <t>RADIOPHYS QUANT EL+</t>
  </si>
  <si>
    <t>Radiophys. Quantum Electron.</t>
  </si>
  <si>
    <t>10.1007/s11141-009-9135-x</t>
  </si>
  <si>
    <t>Engineering, Electrical &amp; Electronic; Physics, Applied; Physics, Fluids &amp; Plasmas</t>
  </si>
  <si>
    <t>Engineering; Physics</t>
  </si>
  <si>
    <t>481DV</t>
  </si>
  <si>
    <t>WOS:000268788400003</t>
  </si>
  <si>
    <t>Barreda, V; Palazzesi, L; Marenssi, S</t>
  </si>
  <si>
    <t>Barreda, Viviana; Palazzesi, Luis; Marenssi, Sergio</t>
  </si>
  <si>
    <t>Palynological record of the Paleogene Rio Leona Formation (southernmost South America): Stratigraphical and paleoenvironmental implications</t>
  </si>
  <si>
    <t>REVIEW OF PALAEOBOTANY AND PALYNOLOGY</t>
  </si>
  <si>
    <t>palynology; Patagonia; Oligocene; biostratigraphy</t>
  </si>
  <si>
    <t>EARLY NEOGENE; POLLEN; VEGETATION; OLIGOCENE; PATAGONIA; PROVINCE; CLIMATE; AGE; ARGENTINA; MIOCENE</t>
  </si>
  <si>
    <t>Terrestrial palynomorph assemblages have been recovered from the Rio Leona Formation, southwestern Santa Cruz Province, southern South America. Organic debris (spores, pollen grains. fresh water algae, plant tissues and fungi) are preserved in shales associated with other plant fossil remains (leaves and wood). The Rio Leona Formation is here assigned to the early Late Oligocene based on the presence of key species of the M-M palynological zone (Margocolporites tenuireticulatus Barreda, Diporites aspis Pocknall and Mildenhall, Granodiporites nebulosus Partridge, Mutisiapollis spp.) and the virtual absence of warmth-adapted taxa (abundant from the latest Late Oligocene to Middle Miocene in Patagonia). A temporal gap between the Rio Leona Formation and the overlying Centinela Formation (Early Miocene) - exposed in the studied region - is suggested here based on the differences observed in their palynological assemblages. The Rio Leona Formation was deposited in a continental environment, with local peat swamps and coastal plain environments. The presence of Antarctic lineages in the lower and middle sections of the Rio Leona Formation is consistent with the cooling trend globally recognized during the Late Eocene and Early Oligocene times. The appearance of some Neotropical families in the upper section might indicate the beginning of the Late Oligocene warming event. Records of Asteraceae (Mutisiapollis telleriae Barreda and Palazzesi sp. nov.), Menyanthaceae (Striasyncolpites laxus Mildenhall and Pocknall), and Rosaceae (Psilatricolporites quenua Barreda and Palazzesi sp. nov., Psilatricolporites sp.) are the oldest reports in Patagonia to date, and provide significant information on the early divergence and radiation times of these major angiosperm families. (C) 2008 Elsevier B.V. All rights reserved.</t>
  </si>
  <si>
    <t>[Barreda, Viviana; Palazzesi, Luis] Museo Argentina Ciencias Nat Bernardino Rivadavia, Secc Paleopalinol, Div Paleobot, Buenos Aires, DF, Argentina; [Barreda, Viviana; Palazzesi, Luis; Marenssi, Sergio] Consejo Natl Invest Cient &amp; Tecn, Buenos Aires, DF, Argentina; [Marenssi, Sergio] Univ Buenos Aires, Inst Antart Argentino, Buenos Aires, DF, Argentina</t>
  </si>
  <si>
    <t>Museo Argentino de Ciencias Naturales Bernardino Rivadavia (MACN); Consejo Nacional de Investigaciones Cientificas y Tecnicas (CONICET); Instituto Antartico Argentino; University of Buenos Aires</t>
  </si>
  <si>
    <t>Barreda, V (corresponding author), Museo Argentina Ciencias Nat Bernardino Rivadavia, Secc Paleopalinol, Div Paleobot, Angel Gallardo 470,C1405DJR, Buenos Aires, DF, Argentina.</t>
  </si>
  <si>
    <t>vbarreda@macn.gov.ar</t>
  </si>
  <si>
    <t>Barreda, Viviana Dora/0000-0002-1560-1277; Palazzesi, Luis/0000-0001-8026-4679</t>
  </si>
  <si>
    <t>0034-6667</t>
  </si>
  <si>
    <t>1879-0615</t>
  </si>
  <si>
    <t>REV PALAEOBOT PALYNO</t>
  </si>
  <si>
    <t>Rev. Palaeobot. Palynology</t>
  </si>
  <si>
    <t>10.1016/j.revpalbo.2008.11.005</t>
  </si>
  <si>
    <t>Plant Sciences; Paleontology</t>
  </si>
  <si>
    <t>435OS</t>
  </si>
  <si>
    <t>WOS:000265353800003</t>
  </si>
  <si>
    <t>Sluijs, A; Brinkhuis, H; Williams, GL; Fensome, RA</t>
  </si>
  <si>
    <t>Sluijs, Appy; Brinkhuis, Henk; Williams, Graham L.; Fensome, Rob A.</t>
  </si>
  <si>
    <t>Taxonomic revision of some Cretaceous-Cenozoic spiny organic-walled peridiniacean dinoflagellate cysts</t>
  </si>
  <si>
    <t>organic-walled dinoflagellate cysts; (dinocysts); Spinidinium; Vozzhennikovia; peridiniaceans; taxonomy; Eocene; Southern Ocean</t>
  </si>
  <si>
    <t>BIOSTRATIGRAPHY</t>
  </si>
  <si>
    <t>In the marginal marine Eocene sediments recovered on Ocean Drilling Program Leg 189, offshore Tasmania. the dominant peridiniacean dinoflagellate cysts in many samples are spiny forms with generally steno-isodeltaform 2a plates assigned to Spinidinium, Vozzhennikovia and allied genera. Many of the species are endemic Antarctic taxa. Based on new observations we propose taxonomic revisions on the basis of the distribution of the ornamentation and the shape of the second anterior intercalary (2a) plate, as well as the nature of archeopyle formation. which always involves the 2a plate. We regard Magallanesium and Volkheimeridium to be taxonomic junior synonyms of Spinidinium. We erect the genus Moria and the species Moria zachosii, Spinidinium schellenbergii, Vozzhennikovia stickleyae and Vozzhennikovia roehliae. We also propose a new morphological term, proximosutural. The refinement of these taxonomic concepts and the addition of new taxa will enable spiny peridinaiacean dinocysts to be more effectively used in biostratigraphic and paleoenvironmental interpretations. (C) 2008 Elsevier B.V. All rights reserved.</t>
  </si>
  <si>
    <t>[Sluijs, Appy; Brinkhuis, Henk] Univ Utrecht, Inst Environm Biol, Palaeobot &amp; Palynol Lab, NL-3584 CD Utrecht, Netherlands; [Williams, Graham L.; Fensome, Rob A.] Geol Survey Canada Atlantic, Bedford Inst Oceanog, Nat Resources Canada, Dartmouth, NS B2Y 4A2, Canada</t>
  </si>
  <si>
    <t>Utrecht University; Natural Resources Canada; Lands &amp; Minerals Sector - Natural Resources Canada; Geological Survey of Canada; Bedford Institute of Oceanography</t>
  </si>
  <si>
    <t>Sluijs, A (corresponding author), Univ Utrecht, Inst Environm Biol, Palaeobot &amp; Palynol Lab, Budapestlaan 4, NL-3584 CD Utrecht, Netherlands.</t>
  </si>
  <si>
    <t>A.Sluijs@uu.nl</t>
  </si>
  <si>
    <t>Brinkhuis, Henk/B-4223-2009; Brinkhuis, Henk/IUO-8165-2023; Sluijs, Appy/B-3726-2009</t>
  </si>
  <si>
    <t>Brinkhuis, Henk/0000-0003-0253-6610; Sluijs, Appy/0000-0003-2382-0215</t>
  </si>
  <si>
    <t>Utrecht Center of Biogeology; LPP Foundation; Utrecht University; Netherlands Organisation; NWO; [VENI grant 863.07.001]</t>
  </si>
  <si>
    <t>Utrecht Center of Biogeology; LPP Foundation; Utrecht University; Netherlands Organisation(Netherlands Organization for Scientific Research (NWO)); NWO(Netherlands Organization for Scientific Research (NWO));</t>
  </si>
  <si>
    <t>This research used samples and/or data provided by the Ocean Drilling Program (ODP). Appy Sluijs thanks the Utrecht Center of Biogeology, the LPP Foundation, Utrecht University and the Netherlands Organisation for Scientific Research (NWO; VENI grant # 863.07.001) for funding. Appy Sluijs and Henk Brinkhuis thank NWO for their continued support of the ODP. We thank Erica Crouch, Geoff Eaton, Raquel Guerstein, Jorg Pross and Graeme Wilson for their discussions and Ian Harding for a constructive review of an earlier version of this paper.</t>
  </si>
  <si>
    <t>10.1016/j.revpalbo.2008.11.006</t>
  </si>
  <si>
    <t>WOS:000265353800004</t>
  </si>
  <si>
    <t>Musko, SB; Clauer, CR; Ridley, AJ; Arnett, KL</t>
  </si>
  <si>
    <t>Musko, Stephen B.; Clauer, C. Robert; Ridley, Aaron J.; Arnett, Kennneth L.</t>
  </si>
  <si>
    <t>Autonomous low-power magnetic data collection platform to enable remote high latitude array deployment</t>
  </si>
  <si>
    <t>geomagnetic variations; geophysical equipment; geophysical techniques; satellite communication</t>
  </si>
  <si>
    <t>IONOSPHERIC ELECTRODYNAMICS TECHNIQUE; FIELD ORIENTATION; CONVECTION; BOUNDARY; REVERSAL; EVENT; STORM</t>
  </si>
  <si>
    <t>A major driver in the advancement of geophysical sciences is improvement in the quality and resolution of data for use in scientific analysis, discovery, and for assimilation into or validation of empirical and physical models. The need for more and better measurements together with improvements in technical capabilities is driving the ambition to deploy arrays of autonomous geophysical instrument platforms in remote regions. This is particularly true in the southern polar regions where measurements are presently sparse due to the remoteness, lack of infrastructure, and harshness of the environment. The need for the acquisition of continuous long-term data from remote polar locations exists across geophysical disciplines and is a generic infrastructure problem. The infrastructure, however, to support autonomous instrument platforms in polar environments is still in the early stages of development. We report here the development of an autonomous low-power magnetic variation data collection system. Following 2 years of field testing at the south pole station, the system is being reproduced to establish a dense chain of stations on the Antarctic plateau along the 40 degrees magnetic meridian. The system is designed to operate for at least 5 years unattended and to provide data access via satellite communication. The system will store 1 s measurements of the magnetic field variation (&lt; 0.2 nT resolution) in three vector components plus a variety of engineering status and environment parameters. We believe that the data collection platform can be utilized by a variety of low-power instruments designed for low-temperature operation. The design, technical characteristics, and operation results are presented here.</t>
  </si>
  <si>
    <t>[Musko, Stephen B.; Ridley, Aaron J.; Arnett, Kennneth L.] Univ Michigan, Ann Arbor, MI 48109 USA; [Clauer, C. Robert] Virginia Polytech Inst &amp; State Univ, Blacksburg, VA 24061 USA</t>
  </si>
  <si>
    <t>University of Michigan System; University of Michigan; Virginia Polytechnic Institute &amp; State University</t>
  </si>
  <si>
    <t>Musko, SB (corresponding author), Univ Michigan, Ann Arbor, MI 48109 USA.</t>
  </si>
  <si>
    <t>rclauer@vt.edu</t>
  </si>
  <si>
    <t>Ridley, Aaron/F-3943-2011</t>
  </si>
  <si>
    <t>Ridley, Aaron/0000-0001-6933-8534</t>
  </si>
  <si>
    <t>National Science Foundation [ANT-0341470, ANT-0341158, ANT-0636691]</t>
  </si>
  <si>
    <t>Support for this development has been provided by the National Science Foundation through Grant Nos. ANT-0341470 to Siena College, ANT-0341158 to the University of Michigan and ANT-0636691 to Virginia Tech.</t>
  </si>
  <si>
    <t>CIRCULATION &amp; FULFILLMENT DIV, 2 HUNTINGTON QUADRANGLE, STE 1 N O 1, MELVILLE, NY 11747-4501 USA</t>
  </si>
  <si>
    <t>10.1063/1.3108527</t>
  </si>
  <si>
    <t>453FZ</t>
  </si>
  <si>
    <t>WOS:000266597100036</t>
  </si>
  <si>
    <t>Trivinos, G; Faundez, E</t>
  </si>
  <si>
    <t>Trivinos, Gilberto; Faundez, Edson</t>
  </si>
  <si>
    <t>Miramontes, Antarctic Arms, Firbas</t>
  </si>
  <si>
    <t>REVISTA CHILENA DE LITERATURA</t>
  </si>
  <si>
    <t>[Trivinos, Gilberto; Faundez, Edson] Univ Concepcion, Concepcion, Chile</t>
  </si>
  <si>
    <t>Universidad de Concepcion</t>
  </si>
  <si>
    <t>Trivinos, G (corresponding author), Univ Concepcion, Concepcion, Chile.</t>
  </si>
  <si>
    <t>gtrivino@udec.cl; efaundez@udec.cl</t>
  </si>
  <si>
    <t>UNIV CHILE FAC FILOS HUMAN EDUC</t>
  </si>
  <si>
    <t>SANTIAGO</t>
  </si>
  <si>
    <t>DEPT LITERATURA CASILLA 10136, SANTIAGO, CHILE</t>
  </si>
  <si>
    <t>0048-7651</t>
  </si>
  <si>
    <t>REV CHIL LIT</t>
  </si>
  <si>
    <t>Rev. Chil. Lit.</t>
  </si>
  <si>
    <t>Literature, Romance</t>
  </si>
  <si>
    <t>Literature</t>
  </si>
  <si>
    <t>468IM</t>
  </si>
  <si>
    <t>WOS:000267810700008</t>
  </si>
  <si>
    <t>Aslanian, D; Moulin, M; Olivet, JL; Unternehr, P; Matias, L; Bache, F; Rabineau, M; Nouzé, H; Klingelheofer, F; Contrucci, I; Labails, C</t>
  </si>
  <si>
    <t>Aslanian, Daniel; Moulin, Maryline; Olivet, Jean-Louis; Unternehr, Patrick; Matias, Luis; Bache, Francois; Rabineau, Marina; Nouze, Herve; Klingelheofer, Frauke; Contrucci, Isabelle; Labails, Cinthia</t>
  </si>
  <si>
    <t>Brazilian and African passive margins of the Central Segment of the South Atlantic Ocean: Kinematic constraints</t>
  </si>
  <si>
    <t>TECTONOPHYSICS</t>
  </si>
  <si>
    <t>South Atlantic Ocean; Passive continental margin; Kinematic reconstruction and constraints; Thinning processes; Lower continental crust</t>
  </si>
  <si>
    <t>CRUSTAL DETACHMENT SURFACES; PACIFIC-ANTARCTIC RIDGE; DEEP SEISMIC-REFLECTION; SAO-PAULO PLATEAU; SUB-ANDEAN BASINS; CONTINENTAL-MARGIN; NORTHEASTERN BRAZIL; OFFSHORE BRAZIL; GABON BASIN; TECTONOSTRATIGRAPHIC SYNTHESIS</t>
  </si>
  <si>
    <t>The thinning of passive continental margins is usually explained by models using pure stretching or simple shear. These models imply hypothetical extensional structures and large horizontal movements between the two conjugate margins (more than 250 km for the Brazilian and Angolan Margins). Refraction/reflection data together with the most recent and tightest pre-opening fit using continental and oceanic, geological and geophysical constraints show that the substratum of the sag basin is divided into an autochthonous part (upper continental crust) and an allochthonous part (exhumed material). The thinning process, which evolves in an elevated position of the system until at least the break-up, seems to be depth dependent and to mainly concern the lower/middle crust, which we postulate is exhumed. This exhumation does not explain the entire thinning of the system: horizontal motions cannot alone explain the formation of the huge Angolan-Brazilian Basin. Similar observations are made on the whole Central Segment of the South Atlantic Ocean. Part of the lower continental crust is still missing and it seems most improbable that the continental crust maintains its integrity throughout the thinning process. (C) 2008 Elsevier B.V. All rights reserved.</t>
  </si>
  <si>
    <t>[Aslanian, Daniel; Moulin, Maryline; Olivet, Jean-Louis; Bache, Francois; Nouze, Herve; Klingelheofer, Frauke; Contrucci, Isabelle; Labails, Cinthia] IFREMER, Ctr Brest, Lab Geodynam &amp; Geophys, F-29280 Plouzane, France; [Moulin, Maryline] Univ Lisbon, Fac Ciencias, Lab Tectonofis &amp; Tecton Expt, LATTEX, P-1749016 Lisbon, Portugal; [Unternehr, Patrick] Total Explorat Prod Geosci Projets Nouveaux, F-92078 Paris, France; [Contrucci, Isabelle] Laego INERIS, F-54042 Nancy, France; [Labails, Cinthia] NGU Geol Survey Norway, N-7491 Trondheim, Norway; [Matias, Luis] Univ Lisbon, Fac Ciencias, Ctr Geofis, P-1749016 Lisbon, Portugal; [Bache, Francois; Rabineau, Marina] Inst Univ Europeen Mer, UMR6538, F-29280 Plouzane, France</t>
  </si>
  <si>
    <t>Ifremer; Universidade de Lisboa; Total SA; Institut National de l'Environnement Industriel et des Risques (INERIS); Universite de Lorraine; Geological Survey of Norway; Universidade de Lisboa; Centre National de la Recherche Scientifique (CNRS); CNRS - National Institute for Earth Sciences &amp; Astronomy (INSU); Universite de Bretagne Occidentale; Institut Universitaire Europeen de la Mer (IUEM)</t>
  </si>
  <si>
    <t>Aslanian, D (corresponding author), IFREMER, Ctr Brest, Lab Geodynam &amp; Geophys, BP 70, F-29280 Plouzane, France.</t>
  </si>
  <si>
    <t>Daniel.Aslanian@ifremer.fr</t>
  </si>
  <si>
    <t>Marina, RABINEAU/E-3408-2010; Matias, Luis/K-7347-2012; Aslanian, Daniel/JWA-0851-2024; Contrucci, Isabelle/Q-9338-2018; Moulin, Maryline/D-5242-2016</t>
  </si>
  <si>
    <t>Marina, RABINEAU/0000-0001-8420-1587; Matias, Luis/0000-0002-8086-4874; Aslanian, Daniel/0000-0002-9394-606X; Klingelhoefer, Frauke/0000-0001-5838-0577; Contrucci, Isabelle/0000-0003-1695-328X; Moulin, Maryline/0000-0002-5685-2451</t>
  </si>
  <si>
    <t>Zaiango research programme; Ifremer; Total; LATTEX/IDL [ISLF-5-32]; FEDER</t>
  </si>
  <si>
    <t>Zaiango research programme; Ifremer; Total(Total SA); LATTEX/IDL; FEDER(European Union (EU)Spanish Government)</t>
  </si>
  <si>
    <t>We also thank G. Manatschal for his comment and discussion during this workshop and P. DeClarens (Total) for his support during the Moulin post-doc. This research is mainly funded by the Zaiango research programme, which is financially and technically supported by Ifremer and Total. M. Moulin is sponsored by LATTEX/IDL grant - ISLF-5-32 co-financed by FEDER.</t>
  </si>
  <si>
    <t>0040-1951</t>
  </si>
  <si>
    <t>1879-3266</t>
  </si>
  <si>
    <t>Tectonophysics</t>
  </si>
  <si>
    <t>10.1016/j.tecto.2008.12.016</t>
  </si>
  <si>
    <t>437WM</t>
  </si>
  <si>
    <t>WOS:000265517600007</t>
  </si>
  <si>
    <t>Tejedor, MF; Goin, FJ; Gelfo, JN; López, G; Bond, M; Carlini, AA; Scillato-Yané, GJ; Woodburne, MO; Chornogubsky, L; Aragón, E; Reguero, MA; Czaplewski, NJ; Vincon, S; Martin, GM; Ciancio, MR</t>
  </si>
  <si>
    <t>Tejedor, Marcelo F.; Goin, Francisco J.; Gelfo, Javier N.; Lopez, Guillermo; Bond, Mariano; Carlini, Alfredo A.; Scillato-Yane, Gustavo J.; Woodburne, Michael O.; Chornogubsky, Laura; Aragon, Eugenio; Reguero, Marcelo A.; Czaplewski, Nicholas J.; Vincon, Sergio; Martin, Gabriel M.; Ciancio, Martin R.</t>
  </si>
  <si>
    <t>New Early Eocene Mammalian Fauna from Western Patagonia, Argentina</t>
  </si>
  <si>
    <t>AMERICAN MUSEUM NOVITATES</t>
  </si>
  <si>
    <t>BIOGEOGRAPHY; TERTIARY; AGE; BAT</t>
  </si>
  <si>
    <t>Two new fossil mammal localities from the Paleogene of central-western Patagonia are preliminarily described as the basis for a new possible biochronological unit for the early Eocene of Patagonia, correlated as being between two conventional SALMAs, the Riochican (older) and the Vacan subage of the Casamayoran SALMA. The mammal-bearing strata belong to the Middle Chubut River Volcanic-Pyroclastic Complex (northwestern Chubut Province, Argentina), of Paleocene-Eocene age. This complex includes a variety of volcaniclastic, intrusive, pyroclastic, and extrusive rocks deposited after the K-T boundary. Geochronological data taken from nearby volcanic deposits that underlie and overlie the mammal-bearing levels indicate that both faunas are of late early Eocene age (Ypresian-Lutetian boundary). In addition to more than 50 species of mammals, including marsupials, ungulates, and xenarthrans, two lower molars are the oldest evidence of bats in South America. Paleobotanical and palynological evidence from inferred contemporary localities nearby indicate subtropical environments characterized by warm and probably moderately humid climate. Remarkably, this new fauna is tentatively correlated with Eocene mammals from the La Meseta Formation in the Antarctic Peninsula. We conclude that the two localities mentioned above are part of a possible new biochronological unit, but the formal proposal of a new SALMA awaits completion of taxonomic analysis of the materials reported upon here. If the La Meseta fauna is correlated biochronologically to western Patagonia, this also suggests a continental extension of the biogeographic Weddelian Province as far north as central-western Patagonia.</t>
  </si>
  <si>
    <t>[Tejedor, Marcelo F.] Amer Museum Nat Hist, Div Vertebrate Zool Mammal, New York, NY 10024 USA; [Goin, Francisco J.; Gelfo, Javier N.; Lopez, Guillermo; Bond, Mariano; Carlini, Alfredo A.; Scillato-Yane, Gustavo J.; Reguero, Marcelo A.; Ciancio, Martin R.] Fac Ciencias Nat &amp; Museo La Plata, Div Paleontol Vertebrados, La Plata, Buenos Aires, Argentina; [Woodburne, Michael O.] Museum No Arizona, Dept Geol, Flagstaff, AZ 86001 USA; [Woodburne, Michael O.] Amer Museum Nat Hist, Dept Vertebrate Paleontol, New York, NY 10024 USA; [Chornogubsky, Laura] Museo Argentino Ciencias Nat Bernardino Rivadavia, Secc Paleontol Vertebrados, RA-1405 Buenos Aires, DF, Argentina; [Aragon, Eugenio] Univ Nacl La Plata, Ctr Invest Geol, La Plata, Buenos Aires, Argentina; [Czaplewski, Nicholas J.] Univ Oklahoma, Oklahoma Museum Nat Hist, Norman, OK 73072 USA; [Tejedor, Marcelo F.; Goin, Francisco J.; Gelfo, Javier N.; Bond, Mariano; Carlini, Alfredo A.; Scillato-Yane, Gustavo J.; Chornogubsky, Laura; Aragon, Eugenio; Reguero, Marcelo A.; Martin, Gabriel M.; Ciancio, Martin R.] Consejo Nacl Invest Cient &amp; Tecn, RA-1033 Buenos Aires, DF, Argentina; [Carlini, Alfredo A.] Univ Zurich, Palaontol Inst &amp; Museum, CH-8006 Zurich, Switzerland</t>
  </si>
  <si>
    <t>American Museum of Natural History (AMNH); National University of La Plata; Museo La Plata; American Museum of Natural History (AMNH); Museo Argentino de Ciencias Naturales Bernardino Rivadavia (MACN); National University of La Plata; University of Oklahoma System; University of Oklahoma - Norman; Consejo Nacional de Investigaciones Cientificas y Tecnicas (CONICET); University of Zurich</t>
  </si>
  <si>
    <t>Tejedor, MF (corresponding author), Univ Nacl Patagonia San Juan Bosco, Fac Ciencias Nat, LIEB, Sarmiento 849, RA-9200 Esquel, Provincia Del C, Argentina.</t>
  </si>
  <si>
    <t>mtejedor@unpata.edu.ar; fgoin@fcnym.unlp.edu.ar; mikew@npgcable.com; lchorno@macn.gov.ar; earagon@cig.museo.unlp.edu.ar; nczaplewski@ou.edu</t>
  </si>
  <si>
    <t>Tejedor, Marcelo F./AAU-4189-2021; Gelfo, Javier N./AAW-1905-2021; Gelfo, Javier N./KFQ-7820-2024; Reguero, Marcelo A./JHS-4893-2023; Ciancio, Martin/U-7071-2019</t>
  </si>
  <si>
    <t>Tejedor, Marcelo F./0000-0003-3465-673X; Gelfo, Javier N./0000-0002-9989-5902; Ciancio, Martin/0000-0002-4529-5426; Chornogubsky, Laura/0000-0003-2420-8271</t>
  </si>
  <si>
    <t>AMER MUSEUM NATURAL HISTORY</t>
  </si>
  <si>
    <t>ATTN: LIBRARY-SCIENTIFIC PUBLICATIONS DISTRIBUTION, CENTRAL PK WEST AT 79TH ST, NEW YORK, NY 10024-5192 USA</t>
  </si>
  <si>
    <t>0003-0082</t>
  </si>
  <si>
    <t>1937-352X</t>
  </si>
  <si>
    <t>AM MUS NOVIT</t>
  </si>
  <si>
    <t>Am. Mus. Novit.</t>
  </si>
  <si>
    <t>MAR 31</t>
  </si>
  <si>
    <t>10.1206/577.1</t>
  </si>
  <si>
    <t>Biodiversity Conservation; Zoology</t>
  </si>
  <si>
    <t>Biodiversity &amp; Conservation; Zoology</t>
  </si>
  <si>
    <t>428DR</t>
  </si>
  <si>
    <t>Green Submitted, Green Accepted, Green Published</t>
  </si>
  <si>
    <t>WOS:000264828700001</t>
  </si>
  <si>
    <t>Meredith, NP; Horne, RB; Glauert, SA; Baker, DN; Kanekal, SG; Albert, JM</t>
  </si>
  <si>
    <t>Meredith, Nigel P.; Horne, Richard B.; Glauert, Sarah A.; Baker, Daniel N.; Kanekal, Shrikanth G.; Albert, Jay M.</t>
  </si>
  <si>
    <t>Relativistic electron loss timescales in the slot region</t>
  </si>
  <si>
    <t>RADIATION BELT ELECTRONS; EARTHS INNER MAGNETOSPHERE; PITCH-ANGLE DIFFUSION; OUTER MAGNETOSPHERE; PLASMASPHERIC HISS; GEOMAGNETIC STORMS; EQUATORIAL NOISE; SCATTERING LOSS; MAGNETIC STORM; SOLAR</t>
  </si>
  <si>
    <t>Recent observations show that the decay rate of relativistic electrons measured at low altitudes in the slot region at L = 2 is an order of magnitude shorter than theoretical estimates based on CRRES wave data. Here we compare the decay rates of 2-6 MeV electrons measured at low altitudes by the SAMPEX spacecraft with those derived from CRRES wave observations. We show that pitch angle scattering by plasmaspheric hiss (0.1 &lt; f &lt; 2 kHz) is the dominant process responsible for electron loss in the outer slot region (2.4 &lt; L &lt; 3.0), but hiss alone cannot account for the observed loss timescales at lower L. Although SAMPEX samples small equatorial pitch angles (alpha(eq) approximate to 18 degrees), this is not the dominant reason for the different timescales. We find that the decay of 2-6 MeV electrons measured by SAMPEX in the inner slot region (2.0 &lt; L &lt; 2.4) is most likely due to the combined effects of hiss and guided whistlers propagating with small wave normal angles. Unguided whistlers have little or no effect on the loss timescales. Magnetosonic waves may be as important as guided whistlers for electron loss under active conditions. Guided whistlers and fast magnetosonic waves increase the diffusion rates in a bottleneck region'' near alpha(eq) = 75 degrees, enabling electrons with larger pitch angles to diffuse into the loss cone more effectively and hence the entire distribution function decays more rapidly. Even though the power of guided whistlers and magnetosonic waves may be two orders of magnitude less than hiss, they play a very important role in electron loss in the inner slot region.</t>
  </si>
  <si>
    <t>[Meredith, Nigel P.; Horne, Richard B.; Glauert, Sarah A.] British Antarctic Survey, NERC, Cambridge CB3 0ET, England; [Baker, Daniel N.; Kanekal, Shrikanth G.] Univ Colorado, Atmospher &amp; Space Phys Lab, Boulder, CO 80309 USA; [Albert, Jay M.] USAF, Res Lab, Space Vehicles Directorate, Hanscom AFB, MA USA</t>
  </si>
  <si>
    <t>UK Research &amp; Innovation (UKRI); Natural Environment Research Council (NERC); NERC British Antarctic Survey; University of Colorado System; University of Colorado Boulder; United States Department of Defense; United States Air Force</t>
  </si>
  <si>
    <t>Meredith, NP (corresponding author), British Antarctic Survey, NERC, Madingley Rd, Cambridge CB3 0ET, England.</t>
  </si>
  <si>
    <t>nmer@bas.ac.uk; r.horne@bas.ac.uk; sagl@bas.ac.uk; daniel.baker@lasp.colorado.edu; shrikanth.kanekal@lasp.colorado.edu; jay.albert@hanscom.af.mil</t>
  </si>
  <si>
    <t>Horne, Richard B/U-3764-2019; Meredith, Nigel P/C-5806-2018; Albert, Jay/AAV-6860-2020</t>
  </si>
  <si>
    <t>Horne, Richard B/0000-0002-0412-6407; Albert, Jay/0000-0001-9494-7630; Meredith, Nigel/0000-0001-5032-3463</t>
  </si>
  <si>
    <t>Natural Environment Research Council; NERC [bas0100023, bas010022] Funding Source: UKRI; Natural Environment Research Council [bas010022, bas0100023] Funding Source: researchfish</t>
  </si>
  <si>
    <t>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</si>
  <si>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We would like to thank Roger R. Anderson for providing the wave data, Rosie Eade for helping with the analysis, and the NSSDC Omniweb for providing the geomagnetic indices. This work was supported by the Natural Environment Research Council.</t>
  </si>
  <si>
    <t>A03222</t>
  </si>
  <si>
    <t>10.1029/2008JA013889</t>
  </si>
  <si>
    <t>428QZ</t>
  </si>
  <si>
    <t>WOS:000264865400004</t>
  </si>
  <si>
    <t>Usoskin, IG; Horiuchi, K; Solanki, S; Kovaltsov, GA; Bard, E</t>
  </si>
  <si>
    <t>Usoskin, Ilya G.; Horiuchi, Kazuho; Solanki, Sami; Kovaltsov, Gennady A.; Bard, Edouard</t>
  </si>
  <si>
    <t>On the common solar signal in different cosmogenic isotope data sets</t>
  </si>
  <si>
    <t>GEOMAGNETIC DIPOLE-MOMENT; ICE CORE; POLAR ICE; ATMOSPHERIC C-14; DOME-FUJI; BE-10; RECONSTRUCTION; ANTARCTICA; MILLENNIUM; VARIABILITY</t>
  </si>
  <si>
    <t>In this article, we aim to determine frequency ranges and intervals of time in which the solar signal dominates in different cosmogenic isotope data. From a C-14-based reconstruction of cosmic ray intensity over the last millennia, we computed expected Be-10 variations in two Antarctic sites (Dom Fuji and South Pole) and two Greenland sites (Dye-3 and GISP-2) and compared them with the actually measured Be-10 abundance at the sites. By applying different methods of analysis, such as bivariate correlation, conventional FFT coherence, and wavelet coherence, we found the following: (1) The modeled series, on the basis of C-14 data, are in good agreement with the measured Be-10 data sets, on different timescales and at different locations, confirming the existence of a common solar signal in both isotope data. (2) The Be-10 data are driven by the solar signal on timescales from about 100 years up to 1000 years or even to multimillennial scales (at the longer scales, paleomagnetism plays an increasingly important role). (3) The local climate dominates the Be-10 data mostly on short (&lt; 100 years) timescales, but the solar signal becomes important even at short scales during periods of Grand minima of solar activity. (4) There is an indication of a possible systematic uncertainty in the early Holocene, likely due to a not-perfectly-stable thermohaline circulation, which requires additional studies. We have shown that both C-14- and Be-10-based records are consistent with each other over a wide range of timescales and time intervals. They form a robust basis for quantitative reconstructions of solar activity variations in the past.</t>
  </si>
  <si>
    <t>[Usoskin, Ilya G.] Univ Oulu, Sodankyla Geophys Observ, FIN-90014 Oulu, Finland; [Horiuchi, Kazuho] Hirosaki Univ, Fac Sci &amp; Technol, Hirosaki, Aomori, Japan; [Solanki, Sami] Max Planck Inst Solar Syst Res, Katlenburg Lindau, Germany; [Kovaltsov, Gennady A.] AF Ioffe Phys Tech Inst, St Petersburg 194021, Russia; [Bard, Edouard] Univ Paul Cezanne Aix Marseille, Coll France, Aix En Provence, France</t>
  </si>
  <si>
    <t>University of Oulu; Hirosaki University; Max Planck Society; Russian Academy of Sciences; St. Petersburg Scientific Centre of the Russian Academy of Sciences; Ioffe Physical Technical Institute; Universite PSL; College de France; Aix-Marseille Universite</t>
  </si>
  <si>
    <t>Usoskin, IG (corresponding author), Univ Oulu, Sodankyla Geophys Observ, POB 3000, FIN-90014 Oulu, Finland.</t>
  </si>
  <si>
    <t>ilya.usoskin@oulu.fi</t>
  </si>
  <si>
    <t>Bard, Edouard/G-7717-2014; Kovaltsov, Gennady A/F-5191-2014; Solanki, Sami K/E-2487-2013; Usoskin, Ilya/E-5089-2014</t>
  </si>
  <si>
    <t>Solanki, Sami K/0000-0002-3418-8449; Horiuchi, Kazuho/0000-0003-3185-8766; Usoskin, Ilya/0000-0001-8227-9081</t>
  </si>
  <si>
    <t>Academy of Finland; Finnish Academy of Science and Letters (Vilho, Yrjo, and Kalle Vaisala Foundation).</t>
  </si>
  <si>
    <t>Academy of Finland(Research Council of Finland); Finnish Academy of Science and Letters (Vilho, Yrjo, and Kalle Vaisala Foundation).(Research Council of Finland)</t>
  </si>
  <si>
    <t>We acknowledge the great work done by different groups to collect and measure cosmogenic isotope data in ice cores and tree rings. When calculating wavelet coherence, we made use of a basic wavelet package in Matlab, provided by Aslak Grinsted, modified for our specific task. We acknowledge the support from the Academy of Finland and the Finnish Academy of Science and Letters (Vilho, Yrjo, and Kalle Vaisala Foundation).</t>
  </si>
  <si>
    <t>A03112</t>
  </si>
  <si>
    <t>10.1029/2008JA013888</t>
  </si>
  <si>
    <t>WOS:000264865400003</t>
  </si>
  <si>
    <t>Kriegler, E; Hall, JW; Held, H; Dawson, R; Schellnhuber, HJ</t>
  </si>
  <si>
    <t>Kriegler, Elmar; Hall, Jim W.; Held, Hermann; Dawson, Richard; Schellnhuber, Hans Joachim</t>
  </si>
  <si>
    <t>Imprecise probability assessment of tipping points in the climate system</t>
  </si>
  <si>
    <t>climate change; expert elicitation</t>
  </si>
  <si>
    <t>MERIDIONAL OVERTURNING CIRCULATION; EL-NINO; ICE-SHEET</t>
  </si>
  <si>
    <t>Major restructuring of the Atlantic meridional overturning circulation, the Greenland and West Antarctic ice sheets, the Amazon rainforest and ENSO, are a source of concern for climate policy. We have elicited subjective probability intervals for the occurrence of such major changes under global warming from 43 scientists. Although the expert estimates highlight large uncertainty, they allocate significant probability to some of the events listed above. We deduce conservative lower bounds for the probability of triggering at least 1 of those events of 0.16 for medium (2-4 degrees C) and 0.56 for high global mean temperature change (above 4 degrees C) relative to year 2000 levels.</t>
  </si>
  <si>
    <t>[Kriegler, Elmar; Held, Hermann; Schellnhuber, Hans Joachim] Potsdam Inst Climate Impact Res, D-14412 Potsdam, Germany; [Kriegler, Elmar] Carnegie Mellon Univ, Dept Engn &amp; Publ Policy, Pittsburgh, PA 15213 USA; [Hall, Jim W.; Dawson, Richard] Univ Newcastle, Sch Civil Engn &amp; Geosci, Newcastle Upon Tyne NE1 7RU, Tyne &amp; Wear, England; [Hall, Jim W.; Dawson, Richard] Newcastle Univ, Tyndall Ctr Climate Change Res, Newcastle Upon Tyne NE1 7RU, Tyne &amp; Wear, England; [Schellnhuber, Hans Joachim] Univ Oxford, Environm Change Inst, Oxford OX1 3QY, England; [Schellnhuber, Hans Joachim] Univ E Anglia, Tyndall Ctr Climate Change Res, Norwich NR4 7TJ, Norfolk, England</t>
  </si>
  <si>
    <t>Potsdam Institut fur Klimafolgenforschung; Carnegie Mellon University; Newcastle University - UK; Newcastle University - UK; University of Oxford; University of East Anglia</t>
  </si>
  <si>
    <t>Kriegler, E (corresponding author), Potsdam Inst Climate Impact Res, POB 60 12 03, D-14412 Potsdam, Germany.</t>
  </si>
  <si>
    <t>kriegler@pik-potsdam.de</t>
  </si>
  <si>
    <t>Schellnhuber, Hans Joachim/O-3873-2019; Hall, Jim W/B-5840-2012; Dawson, Richard/D-6933-2011; Hall, Jim W/ABF-1407-2020; Kriegler, Elmar/I-3048-2016</t>
  </si>
  <si>
    <t>Schellnhuber, Hans Joachim/0000-0001-7453-4935; Dawson, Richard/0000-0003-3158-5868; Hall, Jim W/0000-0002-2024-9191; Kriegler, Elmar/0000-0002-3307-2647</t>
  </si>
  <si>
    <t>Marie Curie International Fellowship [MOIF-CT-2005-008758]; European Community Framework Program; Climate Decision Making Center at Carnegie Mellon University through National Science Foundation [SES-0345798]; Volkswagen Foundation [II/78470]; Tyndall Centre for Climate Change Research; Engineering and Physical Sciences Research Council [EP/G013403/1] Funding Source: researchfish; Natural Environment Research Council [tynd10001] Funding Source: researchfish; EPSRC [EP/G013403/1] Funding Source: UKRI; NERC [tynd10001] Funding Source: UKRI</t>
  </si>
  <si>
    <t>Marie Curie International Fellowship(European Union (EU)); European Community Framework Program(European Union (EU)); Climate Decision Making Center at Carnegie Mellon University through National Science Foundation; Volkswagen Foundation(Volkswagen); Tyndall Centre for Climate Change Research;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</si>
  <si>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We thank the experts who participated in this study for their cooperation and Till Kuhlbrodt, Tim Lenton, Wolfgang Lucht, Michael Oppenheimer, Carol Turley, Martin Visbeck, Robert Nau, Teddy Seidenfeld, and Granger Morgan for advice in designing and analyzing the questionnaire. E.K. was supported by Marie Curie International Fellowship MOIF-CT-2005-008758 (to E.K.) within the 6th European Community Framework Program, and his research infrastructure was partly provided by Climate Decision Making Center at Carnegie Mellon University through National Science Foundation Grant SES-0345798; H.H. was supported by Volkswagen Foundation Grant II/78470; and Implementation of the computer-based questionnaire by R.D. was funded by the Tyndall Centre for Climate Change Research.</t>
  </si>
  <si>
    <t>10.1073/pnas.0809117106</t>
  </si>
  <si>
    <t>427PG</t>
  </si>
  <si>
    <t>WOS:000264790600018</t>
  </si>
  <si>
    <t>Lagabrielle, Y; Goddéris, Y; Donnadieu, Y; Malavieille, J; Suarez, M</t>
  </si>
  <si>
    <t>Lagabrielle, Yves; Godderis, Yves; Donnadieu, Yannick; Malavieille, Jacques; Suarez, Manuel</t>
  </si>
  <si>
    <t>The tectonic history of Drake Passage and its possible impacts on global climate</t>
  </si>
  <si>
    <t>Drake Passage; narrowing; tectonic uplift; North Scotia Ridge; Tierra del Fuego; Patagonia; ACC; Late Oligocene; Miocene climate global anomalies</t>
  </si>
  <si>
    <t>ATMOSPHERIC CARBON-DIOXIDE; TIERRA-DEL-FUEGO; SCOTIA SEA; ANTARCTIC GLACIATION; EVOLUTION; EOCENE; MIOCENE; OCEAN; ANDES; STRATIGRAPHY</t>
  </si>
  <si>
    <t>This study provides an integrated review of plate tectonic models of the evolution of the Antarctica-Patagonia connection compared to geological records collected on land in Patagonia and Tierra del Fuego, and offshore along the northern edge of the Scotia Sea. A temporal framework for the sedimentary and tectonic events of the North Scotia Ridge and Tierra del Fuego is constructed with additional data compiled from entire Patagonia and the Austral Basin. This review provides robust correlations of seaways and tectonic events along the Scotia and South America plates and indicates that the opening of the Drake Passage was not steady state since ca. 30 Ma. Rather the regions forming the present-day northern limit of this gateway experienced important paleogeographic changes, from deep marine basins to shallow ridges and emerged regions during the late Oligocene and early-middle Miocene time. Our compilation of geological data shows that emergence along the North Scotia Ridge and Tierra del Fuego was achieved at 23-22 Ma, and has been followed by elimination of the Patagoniano Sea in Patagonia, starting at 22-23 Ma and achieved at 20 Ma. This transition towards more continental sedimentation in southern South America is correlated with more shallow marine conditions in the Austral Basin. This succession of events had a strong influence on the general geometry of the Drake Passage, corresponding to a constriction of its northern limit, starting in the window 29-22 Ma and achieved at 21 Ma. This period of active deformation in southern South America also corresponds to a period of the global climate having two anomalies well known from the isotopic records: the Late Oligocene Warming. around 26 Ma and the Mid-Miocene Climatic Optimum which ended between 15 and 14 Ma. The possible effects of the post-Oligocene tectonic evolution of the Drake Passage region on general oceanic circulation are discussed. Causes for the synchronicity between tectonic events and these global warming events are examined. (C) 2009 Elsevier B.V. All rights reserved.</t>
  </si>
  <si>
    <t>[Lagabrielle, Yves; Malavieille, Jacques] CNRS, UM2, F-34095 Montpellier 5, France; [Godderis, Yves] Univ Toulouse, LMTG, CNRS, Observ Midi Pyrenees, F-31400 Toulouse, France; [Donnadieu, Yannick] Univ Versailles St Quentin, LSCE, CNRS, CEA, F-91191 Gif Sur Yvette, France; [Suarez, Manuel] Serv Nacl Geol &amp; Mineria, Santiago 0104, Chile</t>
  </si>
  <si>
    <t>Centre National de la Recherche Scientifique (CNRS); Universite de Montpellier; Universite de Toulouse; Universite Toulouse III - Paul Sabatier; Centre National de la Recherche Scientifique (CNRS); Institut de Recherche pour le Developpement (IRD); CEA; Centre National de la Recherche Scientifique (CNRS); Universite Paris Saclay</t>
  </si>
  <si>
    <t>Lagabrielle, Y (corresponding author), CNRS, UM2, Pl E Bataillon,CC 60, F-34095 Montpellier 5, France.</t>
  </si>
  <si>
    <t>yves.lagabrielle@gm.univ-montp2.fr; godderis@lmtg.obs-mip.fr; yannick.donnadieu@lsce.ipsl.fr; msuarez@sernageomin.cl</t>
  </si>
  <si>
    <t>Malavieille, Jacques/C-9030-2013; donnadieu, yannick/G-7546-2016</t>
  </si>
  <si>
    <t>donnadieu, yannick/0000-0002-7315-2684</t>
  </si>
  <si>
    <t>MAR 30</t>
  </si>
  <si>
    <t>10.1016/j.epsl.2008.12.037</t>
  </si>
  <si>
    <t>426YA</t>
  </si>
  <si>
    <t>WOS:000264743200006</t>
  </si>
  <si>
    <t>Schiller, M; Dickinson, W; Ditchburn, RG; Graham, IJ; Zondervan, A</t>
  </si>
  <si>
    <t>Schiller, M.; Dickinson, W.; Ditchburn, R. G.; Graham, I. J.; Zondervan, A.</t>
  </si>
  <si>
    <t>Atmospheric 10Be in an Antarctic soil: Implications for climate change</t>
  </si>
  <si>
    <t>WRIGHT VALLEY; DRY VALLEYS; TRANSANTARCTIC MOUNTAINS; EAST ANTARCTICA; ICE-SHEET; TERRESTRIAL; MINERALS; GLACIERS; REGION; WATER</t>
  </si>
  <si>
    <t>Concentrations of Be-10, Be-9, and salt in a soil profile from the lower Wright Valley reveal two distinct climatic regimes. In the upper horizon of the soil profile, a thin gravel lag overlies the Hart ash (3.9 +/- 0.3 Ma), and this sits on the surface of a well-developed paleosol, which makes up the lower horizon of the profile. The surface lag has a smaller inventory of Be-10 than predicted from the fallout rate at nearby Taylor Dome. Below the gravel, the Hart ash is virtually devoid of Be-10 and the calculated erosion rate for the gravel-ash horizon is 2.8 m Ma(-1). The paleosol, which has been sealed by the overlying ash, has a relatively high inventory of Be-10, and this gives it a significantly lower erosion rate (0.5 m Ma(-1)) than the gravel-ash horizon. Beryllium-10 migrates into a soil profile either by solution transport or by fine-particle translocation. The lack of Be-10 in the Hart ash indicates that neither of these processes have been active at this site for the past 3.9 Ma. However, enrichment of Be-10 in the paleosol indicates they were active prior to deposition of the ash. The most likely reason these processes were active is that there was more water, which could translocate fine particles with attached Be-10. Thus, the gravel-ash horizon developed in climatic conditions similar to the present, while the paleosol developed in wetter and possibly warmer conditions during the early Pliocene and possibly before that time.</t>
  </si>
  <si>
    <t>[Schiller, M.; Dickinson, W.] Victoria Univ Wellington, Sch Geog Environm &amp; Earth Sci, Wellington 6040, New Zealand; [Ditchburn, R. G.; Graham, I. J.; Zondervan, A.] Inst Geol &amp; Nucl Sci Ltd, Lower Hutt 5040, New Zealand</t>
  </si>
  <si>
    <t>Victoria University Wellington; GNS Science - New Zealand</t>
  </si>
  <si>
    <t>Schiller, M (corresponding author), Victoria Univ Wellington, Sch Geog Environm &amp; Earth Sci, POB 600, Wellington 6040, New Zealand.</t>
  </si>
  <si>
    <t>martin.schiller@vuw.ac.nz</t>
  </si>
  <si>
    <t>Schiller, Martin/E-8054-2010</t>
  </si>
  <si>
    <t>Schiller, Martin/0000-0003-4149-0627</t>
  </si>
  <si>
    <t>MAR 26</t>
  </si>
  <si>
    <t>F01033</t>
  </si>
  <si>
    <t>10.1029/2008JF001052</t>
  </si>
  <si>
    <t>426CH</t>
  </si>
  <si>
    <t>WOS:000264684700002</t>
  </si>
  <si>
    <t>Hindmarsh, RCA</t>
  </si>
  <si>
    <t>Hindmarsh, Richard C. A.</t>
  </si>
  <si>
    <t>Consistent generation of ice-streams via thermo-viscous instabilities modulated by membrane stresses</t>
  </si>
  <si>
    <t>SHEET; MODEL; FLOW; STABILITY</t>
  </si>
  <si>
    <t>Accurate computation of ice-stream location and dynamics is a key aspiration for theoretical glaciology. Ice-sheet models with thermo-viscous coupling have been shown to exhibit stream-like instabilities using shallow-ice approximation mechanics, but the location and width of these streams depends on the numerical implementation and are not unique. We present results from thermo-viscously coupled ice-sheet models incorporating membrane stresses. Spontaneous generation of fast-flowing linear features still occurs under certain parameter regimes, with computed stream widths between 20 km to 100 km, comparable with observations. These features are maintained as the grid-size is decreased. The thermo-viscous feedback mechanism that generates ice-streams under the shallow ice approximation still operates, now selecting a unique stream size. Computations of thermo-viscous ice flows should include membrane stresses when the bed is approximately flat, e. g. parts of Antarctica and former ice-sheets of the Northern hemisphere. Previous calculations of spontaneous ice-stream generation using the shallow ice approximation should be reassessed. Citation: Hindmarsh, R. C. A. (2009), Consistent generation of ice-streams via thermo-viscous instabilities modulated by membrane stresses, Geophys. Res. Lett., 36, L06502, doi:10.1029/2008GL036877.</t>
  </si>
  <si>
    <t>British Antarctic Survey, NERC, Div Phys Sci, Cambridge CB3 0ET, England</t>
  </si>
  <si>
    <t>Hindmarsh, RCA (corresponding author), British Antarctic Survey, NERC, Div Phys Sci, High Cross,Madingley Rd, Cambridge CB3 0ET, England.</t>
  </si>
  <si>
    <t>rcah@bas.ac.uk</t>
  </si>
  <si>
    <t>Hindmarsh, Richard/N-1195-2019</t>
  </si>
  <si>
    <t>Hindmarsh, Richard/0000-0003-1633-2416</t>
  </si>
  <si>
    <t>Natural Environment Research Council [bas010018] Funding Source: researchfish; NERC [bas010018] Funding Source: UKRI</t>
  </si>
  <si>
    <t>MAR 25</t>
  </si>
  <si>
    <t>L06502</t>
  </si>
  <si>
    <t>10.1029/2008GL036877</t>
  </si>
  <si>
    <t>426AD</t>
  </si>
  <si>
    <t>WOS:000264678900002</t>
  </si>
  <si>
    <t>Zhan, LY; Chen, LQ</t>
  </si>
  <si>
    <t>Zhan, Liyang; Chen, Liqi</t>
  </si>
  <si>
    <t>Distributions of N2O and its air-sea fluxes in seawater along cruise tracks between 30°S-67°S and in Prydz Bay, Antarctica</t>
  </si>
  <si>
    <t>ATMOSPHERIC NITROUS-OXIDE; NORTH PACIFIC; DISSOLVED N2O; OCEAN; NITRIFICATION; DENITRIFICATION; CIRCULATION; WATERS; CONSTRAINTS; CONSUMPTION</t>
  </si>
  <si>
    <t>Air and surface seawater samples were taken during the 22nd Chinese National Antarctic Research Expedition, November 2005 to March 2006, and analyzed for N2O concentrations. The results show that the concentration of N2O in surface seawater increased from 8.9 +/- 0.2 nM to 17.9 +/- 0.3 nM along the cruise tracks southward from 30 degrees S-67 degrees S latitude and correlated well with sea surface temperature (SST). The saturation anomaly along the cruise tracks changed from negative (south) to positive (north) with the turning point located between 50 and 55 degrees S latitude coincident with the location of the Subantarctic Front (SAF). Positive saturation found north of the SAF is due to the seasonal SST variation, while the undersaturation of N2O south of the SAF may be due to a combination of SST variation and intrusion of N2O-depleted ice meltwater during summer. Air-sea fluxes measured on the cruise tracks north of the SAF were positive, ranging between 5 and 10 mu mol m(-2) d(-1), while fluxes south of the SAF were close to zero. N2O in the surface water of Prydz Bay was in near equilibrium with the atmosphere: the corresponding air-sea flux was about - 0.3 +/- 0.8 mu mol m(-2) d(-1), not different from zero.</t>
  </si>
  <si>
    <t>[Zhan, Liyang; Chen, Liqi] State Ocean Adm, Inst Oceanog 3, Key Lab Global Change &amp; Marine &amp; Atmospher Chem, Xiamen 361005, Peoples R China</t>
  </si>
  <si>
    <t>Third Institute of Oceanography, Ministry of Natural Resources</t>
  </si>
  <si>
    <t>Zhan, LY (corresponding author), State Ocean Adm, Inst Oceanog 3, Key Lab Global Change &amp; Marine &amp; Atmospher Chem, 178 Daxue Rd, Xiamen 361005, Peoples R China.</t>
  </si>
  <si>
    <t>lqchen@soa.gov.cn</t>
  </si>
  <si>
    <t>Scientific Research Foundation of Third Institute of Oceanography, SOA [2007002]; National Natural Science Foundation of China (NSFC) [40531007]; Chinese IPY Campaign Funds [40406014, 40276001]</t>
  </si>
  <si>
    <t>Scientific Research Foundation of Third Institute of Oceanography, SOA; National Natural Science Foundation of China (NSFC)(National Natural Science Foundation of China (NSFC)); Chinese IPY Campaign Funds</t>
  </si>
  <si>
    <t>The project was sponsored by the Scientific Research Foundation of Third Institute of Oceanography, SOA, 2007002; the project was also funded from the National Natural Science Foundation of China (NSFC) with a key program (40531007) and the general programs (40406014 and 40276001) as well as from the Chinese IPY Campaign Funds. We thank the officers and crew of the research vessel Xuelong'' for their dedication and assistance. We also thank Tony Hansen and Suqing Xu for their help on language and suggestions.</t>
  </si>
  <si>
    <t>C03019</t>
  </si>
  <si>
    <t>10.1029/2007JC004406</t>
  </si>
  <si>
    <t>426CL</t>
  </si>
  <si>
    <t>WOS:000264685100001</t>
  </si>
  <si>
    <t>Zent, AP; Hecht, MH; Cobos, DR; Campbell, GS; Campbell, CS; Cardell, G; Foote, MC; Wood, SE; Mehta, M</t>
  </si>
  <si>
    <t>Zent, Aaron P.; Hecht, Michael H.; Cobos, Doug R.; Campbell, Gaylon S.; Campbell, Colin S.; Cardell, Greg; Foote, Marc C.; Wood, Stephen E.; Mehta, Manish</t>
  </si>
  <si>
    <t>Thermal and Electrical Conductivity Probe (TECP) for Phoenix</t>
  </si>
  <si>
    <t>JOURNAL OF GEOPHYSICAL RESEARCH-PLANETS</t>
  </si>
  <si>
    <t>GROUND ICE; TEMPERATURE-DEPENDENCE; WATER-CONTENT; NEAR-SURFACE; MARS; PERMITTIVITY; REGOLITH; PERMAFROST; DIFFUSION; BEHAVIOR</t>
  </si>
  <si>
    <t>The Thermal and Electrical Conductivity Probe (TECP) is a component of the Microscopy, Electrochemistry and Conductivity Analyzer (MECA) payload on the Phoenix Lander. TECP will measure the temperature, thermal conductivity, and volumetric heat capacity of the regolith. It will also detect and quantify the population of mobile H2O molecules in the regolith, if any, throughout the polar summer, by measuring the electrical conductivity of the regolith as well as the dielectric permittivity. In the vapor phase, TECP is capable of measuring the atmospheric H2O vapor abundance as well as augmenting the wind velocity measurements from the meteorology instrumentation. TECP is mounted near the end of the 2.3 m Robotic Arm and can be placed either in the regolith material or held aloft in the atmosphere. This paper describes the development and calibration of the TECP. In addition, substantial characterization of the instrument has been conducted to identify behavioral characteristics that might affect landed surface operations. The greatest potential issue identified in characterization tests is the extraordinary sensitivity of the TECP to placement. Small gaps alter the contact between the TECP and regolith, complicating data interpretation. Testing with the Phoenix Robotic Arm identified mitigation techniques that will be implemented during flight. A flight model of the instrument was also field tested in the Antarctic Dry Valleys during the 2007-2008 International Polar Year.</t>
  </si>
  <si>
    <t>[Zent, Aaron P.] NASA, Ames Res Ctr, Planetary Syst Branch, Moffett Field, CA 94035 USA; [Hecht, Michael H.; Cardell, Greg; Foote, Marc C.] CALTECH, Jet Prop Lab, Pasadena, CA USA; [Cobos, Doug R.; Campbell, Gaylon S.; Campbell, Colin S.] Decagon Devices, Pullman, WA USA; [Wood, Stephen E.] Univ Washington, Seattle, WA USA; [Mehta, Manish] Univ Michigan, Dept Atmospher Ocean &amp; Space Sci, Ann Arbor, MI USA</t>
  </si>
  <si>
    <t>National Aeronautics &amp; Space Administration (NASA); NASA Ames Research Center; National Aeronautics &amp; Space Administration (NASA); NASA Jet Propulsion Laboratory (JPL); California Institute of Technology; University of Washington; University of Washington Seattle; University of Michigan System; University of Michigan</t>
  </si>
  <si>
    <t>Zent, AP (corresponding author), NASA, Ames Res Ctr, Planetary Syst Branch, MS 245-3, Moffett Field, CA 94035 USA.</t>
  </si>
  <si>
    <t>Aaron.P.Zent@nasa.govc</t>
  </si>
  <si>
    <t>Wood, Stephen E/R-5592-2016</t>
  </si>
  <si>
    <t>Hecht, Michael/0000-0002-4114-4583</t>
  </si>
  <si>
    <t>2169-9097</t>
  </si>
  <si>
    <t>2169-9100</t>
  </si>
  <si>
    <t>J GEOPHYS RES-PLANET</t>
  </si>
  <si>
    <t>J. Geophys. Res.-Planets</t>
  </si>
  <si>
    <t>E00A27</t>
  </si>
  <si>
    <t>10.1029/2007JE003052</t>
  </si>
  <si>
    <t>426CR</t>
  </si>
  <si>
    <t>WOS:000264685800001</t>
  </si>
  <si>
    <t>Jones, DL; Kielland, K; Sinclair, FL; Dahlgren, RA; Newsham, KK; Farrar, JF; Murphy, DV</t>
  </si>
  <si>
    <t>Jones, D. L.; Kielland, K.; Sinclair, F. L.; Dahlgren, R. A.; Newsham, K. K.; Farrar, J. F.; Murphy, D. V.</t>
  </si>
  <si>
    <t>Soil organic nitrogen mineralization across a global latitudinal gradient</t>
  </si>
  <si>
    <t>CARBON; CYCLE; CONSEQUENCES; TEMPERATURE; DIVERSITY; DYNAMICS; FORESTS; CLIMATE; IMPACT; MATTER</t>
  </si>
  <si>
    <t>Understanding and accurately predicting the fate of carbon and nitrogen in the terrestrial biosphere remains a central goal in ecosystem science. Amino acids represent a key pool of C and N in soil, and their availability to plants and microorganisms has been implicated as a major driver in regulating ecosystem functioning. Because of potential differences in biological diversity and litter quality, it has been thought that soils from different latitudes and plant communities may possess intrinsically different capacities to perform key functions such as the turnover of amino acids. In this study we measured the soil solution concentration and microbial mineralization of amino acids in soils collected from 40 latitudinal points from the Arctic through to Antarctica. Our results showed that soil solution amino acid concentrations were relatively similar between sites and not strongly related to latitude. In addition, when constraints of temperature and moisture were removed, we demonstrate that soils worldwide possess a similar innate capacity to rapidly mineralize amino acids. Similarly, we show that the internal partitioning of amino acid-C into catabolic and anabolic processes is conservative in microbial communities and independent of global position. This supports the view that the conversion of high molecular weight ( MW) organic matter to low MW compounds is the rate limiting step in organic matter breakdown in most ecosystems.</t>
  </si>
  <si>
    <t>[Jones, D. L.; Sinclair, F. L.; Farrar, J. F.] Bangor Univ, Environm Ctr Wales, Bangor LL57 2UW, Gwynedd, Wales; [Dahlgren, R. A.] Univ Calif Davis, Davis, CA 95616 USA; [Kielland, K.] Univ Alaska, Inst Arctic Biol, Fairbanks, AK 99775 USA; [Murphy, D. V.] Univ Western Australia, Sch Earth &amp; Geog Sci, Crawley, WA 6009, Australia; [Newsham, K. K.] British Antarctic Survey, NERC, Cambridge CB3 0ET, England</t>
  </si>
  <si>
    <t>Bangor University; University of California System; University of California Davis; University of Alaska System; University of Alaska Fairbanks; University of Western Australia; UK Research &amp; Innovation (UKRI); Natural Environment Research Council (NERC); NERC British Antarctic Survey</t>
  </si>
  <si>
    <t>Jones, DL (corresponding author), Bangor Univ, Environm Ctr Wales, Bangor LL57 2UW, Gwynedd, Wales.</t>
  </si>
  <si>
    <t>d.jones@bangor.ac.uk</t>
  </si>
  <si>
    <t>Newsham, Kevin K/C-4192-2011; Jones, Davey/AAD-6037-2020; jones, davey/C-7411-2011</t>
  </si>
  <si>
    <t>jones, davey/0000-0002-1482-4209; Murphy, Daniel/0000-0002-4686-9276; Dahlgren, Randy/0000-0002-8961-875X</t>
  </si>
  <si>
    <t>U.K. Natural Environment Research Council; NERC [bas010020] Funding Source: UKRI; Natural Environment Research Council [bas010020, NER/G/S/2003/00008]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</si>
  <si>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</si>
  <si>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the U.K. Natural Environment Research Council. Thanks are due to Robert Brook and Andrew Owen at Bangor University for the collection of samples.</t>
  </si>
  <si>
    <t>MAR 24</t>
  </si>
  <si>
    <t>GB1016</t>
  </si>
  <si>
    <t>10.1029/2008GB003250</t>
  </si>
  <si>
    <t>426BJ</t>
  </si>
  <si>
    <t>WOS:000264682100001</t>
  </si>
  <si>
    <t>Huang, ZH; Tan, WL; Gao, J; Li, WJ; Wang, LH</t>
  </si>
  <si>
    <t>Huang Zhihong; Tan Wenli; Gao Jing; Li Weijie; Wang Lihua</t>
  </si>
  <si>
    <t>Entrapment of Candida antarctic lipase B in sol-gel glass matrix</t>
  </si>
  <si>
    <t>ABSTRACTS OF PAPERS OF THE AMERICAN CHEMICAL SOCIETY</t>
  </si>
  <si>
    <t>[Huang Zhihong; Tan Wenli; Gao Jing; Li Weijie; Wang Lihua] Hebei Univ Technol, Sch Chem Engn &amp; Technol, Dept Biochem Engn, Tianjin 300130, Peoples R China</t>
  </si>
  <si>
    <t>Hebei University of Technology</t>
  </si>
  <si>
    <t>hzh19867@hebut.edu.cn; jgao@hebut.edu.cn; liweijie425@126.com; wlh@hebut.edu.cn</t>
  </si>
  <si>
    <t>li, wj/HGD-7322-2022</t>
  </si>
  <si>
    <t>0065-7727</t>
  </si>
  <si>
    <t>ABSTR PAP AM CHEM S</t>
  </si>
  <si>
    <t>Abstr. Pap. Am. Chem. Soc.</t>
  </si>
  <si>
    <t>MAR 22</t>
  </si>
  <si>
    <t>43-CATL</t>
  </si>
  <si>
    <t>Chemistry, Multidisciplinary</t>
  </si>
  <si>
    <t>V16GJ</t>
  </si>
  <si>
    <t>WOS:000207857800712</t>
  </si>
  <si>
    <t>Woods, HA; Moran, AL; Arango, CP; Mullen, L; Shields, C</t>
  </si>
  <si>
    <t>Woods, H. Arthur; Moran, Amy L.; Arango, Claudia P.; Mullen, Lindy; Shields, Chris</t>
  </si>
  <si>
    <t>Oxygen hypothesis of polar gigantism not supported by performance of Antarctic pycnogonids in hypoxia</t>
  </si>
  <si>
    <t>sea spider; oxygen; polar gigantism; temperature; Antarctica; symmorphosis</t>
  </si>
  <si>
    <t>TEMPERATURE-DEPENDENT BIOGEOGRAPHY; LATERNULA-ELLIPTICA; THERMAL TOLERANCE; SEA SPIDERS; MAXIMUM SIZE; BODY-SIZE; DIVERSITY; AVAILABILITY; PHYLOGENY; GRADIENT</t>
  </si>
  <si>
    <t>Compared to temperate and tropical relatives, some high-latitude marine species are large-bodied, a phenomenon known as polar gigantism. A leading hypothesis on the physiological basis of gigantism posits that, in polar water, high oxygen availability coupled to low metabolic rates relieves constraints on oxygen transport and allows the evolution of large body size. Here, we test the oxygen hypothesis using Antarctic pycnogonids, which have been evolving in very cold conditions (-1.8-0 degrees C) for several million years and contain spectacular examples of gigantism. Pycnogonids from 12 species, spanning three orders of magnitude in body mass, were collected from McMurdo Sound, Antarctica. Individual sea spiders were forced into activity and their performance was measured at different experimental levels of dissolved oxygen (DO). The oxygen hypothesis predicts that, all else being equal, large pycnogonids should perform disproportionately poorly in hypoxia, an outcome that would appear as a statistically significant interaction between body size and oxygen level. In fact, although we found large effects of DO on performance, and substantial interspecific variability in oxygen sensitivity, there was no evidence for size! DO interactions. These data do not support the oxygen hypothesis of Antarctic pycnogonid gigantism and suggest that explanations must be sought in other ecological or evolutionary processes.</t>
  </si>
  <si>
    <t>[Woods, H. Arthur; Mullen, Lindy] Univ Montana, Div Biol Sci, Missoula, MT 59812 USA; [Moran, Amy L.; Mullen, Lindy] Clemson Univ, Dept Biol Sci, Clemson, SC 29634 USA; [Arango, Claudia P.] Queensland Museum, Biodivers Program, Brisbane, Qld 4101, Australia</t>
  </si>
  <si>
    <t>University of Montana System; University of Montana; Clemson University; Queensland Museum</t>
  </si>
  <si>
    <t>Woods, HA (corresponding author), Univ Montana, Div Biol Sci, Missoula, MT 59812 USA.</t>
  </si>
  <si>
    <t>art.woods@mso.umt.edu</t>
  </si>
  <si>
    <t>Moran, Amy L/F-7072-2011; /A-5531-2008</t>
  </si>
  <si>
    <t>Moran, Amy/0000-0002-0604-5096; /0000-0003-1098-830X</t>
  </si>
  <si>
    <t>US National Science Foundation [ANT0440577, ANT-0551969]; Australian Biological Resources Study Program [204-61]</t>
  </si>
  <si>
    <t>US National Science Foundation(National Science Foundation (NSF)); Australian Biological Resources Study Program</t>
  </si>
  <si>
    <t>We thank the director and staff of McMurdo Station for excellent logistical and technical support. In addition, Pema Kitaeff and Bruce Miller provided extensive experimental support. George Gilchrist provided R code for fitting RMA regressions. We also thank John Pearse and two anonymous reviewers for their comments on the manuscript. This work was supported by the US National Science Foundation (ANT0440577 to H. A. W. and ANT-0551969 to A. L. M.) and the Australian Biological Resources Study Program (grant no. 204-61 to C. P. A.)</t>
  </si>
  <si>
    <t>P R SOC B</t>
  </si>
  <si>
    <t>10.1098/rspb.2008.1489</t>
  </si>
  <si>
    <t>404JO</t>
  </si>
  <si>
    <t>WOS:000263148000012</t>
  </si>
  <si>
    <t>Smirnov, A; Holben, BN; Slutsker, I; Giles, DM; McClain, CR; Eck, TF; Sakerin, SM; Macke, A; Croot, P; Zibordi, G; Quinn, PK; Sciare, J; Kinne, S; Harvey, M; Smyth, TJ; Piketh, S; Zielinski, T; Proshutinsky, A; Goes, JI; Nelson, NB; Larouche, P; Radionov, VF; Goloub, P; Moorthy, KK; Matarrese, R; Robertson, EJ; Jourdin, F</t>
  </si>
  <si>
    <t>Smirnov, A.; Holben, B. N.; Slutsker, I.; Giles, D. M.; McClain, C. R.; Eck, T. F.; Sakerin, S. M.; Macke, A.; Croot, P.; Zibordi, G.; Quinn, P. K.; Sciare, J.; Kinne, S.; Harvey, M.; Smyth, T. J.; Piketh, S.; Zielinski, T.; Proshutinsky, A.; Goes, J. I.; Nelson, N. B.; Larouche, P.; Radionov, V. F.; Goloub, P.; Moorthy, K. Krishna; Matarrese, R.; Robertson, E. J.; Jourdin, F.</t>
  </si>
  <si>
    <t>Maritime Aerosol Network as a component of Aerosol Robotic Network</t>
  </si>
  <si>
    <t>SUN PHOTOMETER MEASUREMENTS; OPTICAL-THICKNESS; SEA-SALT; SATELLITE; OCEAN; DEPTH; CLIMATOLOGY; PERFORMANCE; RETRIEVALS; VALIDATION</t>
  </si>
  <si>
    <t>The paper presents the current status of the Maritime Aerosol Network (MAN), which has been developed as a component of the Aerosol Robotic Network (AERONET). MAN deploys Microtops handheld Sun photometers and utilizes the calibration procedure and data processing (Version 2) traceable to AERONET. A web site dedicated to the MAN activity is described. A brief historical perspective is given to aerosol optical depth (AOD) measurements over the oceans. A short summary of the existing data, collected on board ships of opportunity during the NASA Sensor Intercomparison and Merger for Biological and Interdisciplinary Oceanic Studies (SIMBIOS) Project is presented. Globally averaged oceanic aerosol optical depth (derived from island-based AERONET measurements) at 500 nm is similar to 0.11 and Angstrom parameter (computed within spectral range 440-870 nm) is calculated to be similar to 0.6. First results from the cruises contributing to the Maritime Aerosol Network are shown. MAN ship-based aerosol optical depth compares well to simultaneous island and near-coastal AERONET site AOD.</t>
  </si>
  <si>
    <t>[Smirnov, A.; Holben, B. N.; Slutsker, I.; Giles, D. M.; Eck, T. F.] NASA, Goddard Space Flight Ctr, Biospher Sci Branch, Greenbelt, MD 20771 USA; [Smirnov, A.; Slutsker, I.; Giles, D. M.] Sci Syst &amp; Applicat Inc, Lanham, MD USA; [McClain, C. R.] NASA, Goddard Space Flight Ctr, Ocean Sci Branch, Greenbelt, MD 20771 USA; [Eck, T. F.] Univ Maryland, Goddard Earth Sci &amp; Technol Ctr, Baltimore, MD 21201 USA; [Sakerin, S. M.] Russian Acad Sci, Inst Atmospher Opt, Siberian Branch, Tomsk 634055, Russia; [Macke, A.; Croot, P.] Univ Kiel, Leibniz Inst Marine Sci, D-24105 Kiel, Germany; [Zibordi, G.] Joint Res Ctr, Inst Environm &amp; Sustainabil, I-21027 Ispra, Italy; [Quinn, P. K.] NOAA, Pacific Marine Environm Lab, Seattle, WA 98115 USA; [Sciare, J.] Lab Sci Climat &amp; Environm, F-91191 Gif Sur Yvette, France; [Kinne, S.] Univ Hamburg, Inst Meteorol, D-20146 Hamburg, Germany; [Harvey, M.] Natl Inst Water &amp; Atmospher Res, Wellington 6021, New Zealand; [Smyth, T. J.] Plymouth Marine Lab, Plymouth PL1 3DH, Devon, England; [Piketh, S.] Univ Witwatersrand, Climatol Res Grp, ZA-2050 Johannesburg, South Africa; [Zielinski, T.] Polish Acad Sci, Inst Oceanol, PL-81712 Sopot, Poland; [Proshutinsky, A.] Woods Hole Oceanog Inst, Woods Hole, MA 02543 USA; [Goes, J. I.] Bigelow Lab Ocean Sci, W Boothbay Harbor, ME 04575 USA; [Nelson, N. B.] Univ Calif Santa Barbara, Inst Computat Earth Syst Sci, Santa Barbara, CA 93106 USA; [Larouche, P.] Inst Maurice Lamontagne, Mont Joli, PQ G5H 3Z4, Canada; [Radionov, V. F.] Arctic &amp; Antarctic Res Inst, St Petersburg 199397, Russia; [Goloub, P.] Univ Sci &amp; Tech Lille, Opt Atmospher Lab, F-59650 Villeneuve Dascq, France; [Moorthy, K. Krishna] Vikram Sarabhai Space Ctr, Space Phys Lab, Trivandrum 695022, Kerala, India; [Matarrese, R.] Univ Bari, Dept Phys, I-70122 Bari, Italy; [Robertson, E. J.] Univ Cape Town, Dept Oceanog, ZA-7701 Cape Town, South Africa; [Jourdin, F.] Serv Hydrog &amp; Oceanog Marine, F-29228 Brest, France</t>
  </si>
  <si>
    <t>National Aeronautics &amp; Space Administration (NASA); NASA Goddard Space Flight Center; Science Systems and Applications Inc; National Aeronautics &amp; Space Administration (NASA); NASA Goddard Space Flight Center; National Aeronautics &amp; Space Administration (NASA); NASA Goddard Space Flight Center; University System of Maryland; University of Maryland Baltimore; Zuev Institute of Atmospheric Optics, Siberian Branch of the Russian Academy of Sciences; Russian Academy of Sciences; University of Kiel; Helmholtz Association; GEOMAR Helmholtz Center for Ocean Research Kiel; European Commission Joint Research Centre; EC JRC ISPRA Site; National Oceanic Atmospheric Admin (NOAA) - USA; CEA; Centre National de la Recherche Scientifique (CNRS); Universite Paris Saclay; University of Hamburg; National Institute of Water &amp; Atmospheric Research (NIWA) - New Zealand; Plymouth Marine Laboratory; University of Witwatersrand; Polish Academy of Sciences; Institute of Oceanology of the Polish Academy of Sciences; Woods Hole Oceanographic Institution; Bigelow Laboratory for Ocean Sciences; University of California System; University of California Santa Barbara; Fisheries &amp; Oceans Canada; Arctic &amp; Antarctic Research Institute; Universite de Lille; Department of Space (DoS), Government of India; Indian Space Research Organisation (ISRO); Vikram Sarabhai Space Center (VSSC); Universita degli Studi di Bari Aldo Moro; University of Cape Town</t>
  </si>
  <si>
    <t>Smirnov, A (corresponding author), NASA, Goddard Space Flight Ctr, Biospher Sci Branch, Code 614-4,Bldg 33,Room G406, Greenbelt, MD 20771 USA.</t>
  </si>
  <si>
    <t>Alexander.Smirnov-1@nasa.gov</t>
  </si>
  <si>
    <t>Giles, David/AAL-8479-2020; Croot, Peter/C-8460-2009; MOORTHY, KRISHNA/AAG-6807-2019; Nelson, Norman B/B-7343-2014; Quinn, Patricia/R-1493-2016; Piketh, Stuart/AAS-8987-2021; Croot, Peter/U-5296-2019; Matarrese, Raffaella/D-5174-2016; Harvey, Mike/A-5354-2010; Radionov, Vladimir F./O-3038-2017; Smyth, Tim/D-2008-2012; ECK, THOMAS F/D-7407-2012; Sakerin, Sergey/A-6508-2014; sciare, jean/A-9529-2008; Smirnov, Alexander/C-2121-2009</t>
  </si>
  <si>
    <t>Giles, David/0000-0001-6093-2051; Croot, Peter/0000-0003-1396-0601; Quinn, Patricia/0000-0003-0337-4895; Matarrese, Raffaella/0000-0002-3923-9639; Harvey, Mike/0000-0002-0979-0227; Smyth, Tim/0000-0003-0659-1422; Zibordi, Giuseppe/0000-0002-2253-1828; Proshutinsky, Andrey/0000-0003-3087-1934; Moorthy, K. Krishna/0000-0002-7234-3868; Zielinski, Tymon/0000-0003-4712-8899; Piketh, Stuart/0000-0002-2804-879X; Goes, Joaquim/0000-0002-9785-6985; Smirnov, Alexander/0000-0002-8208-1304; sciare, jean/0000-0002-9908-6718</t>
  </si>
  <si>
    <t>Polish national grant AERONET59; Natural Environment Research Council [pml010007, appraise010004, NE/D006511/1, earth010003, NE/D00649X/1] Funding Source: researchfish; NERC [pml010007, NE/D00649X/1, NE/D006511/1, appraise010004, earth010003] Funding Source: UKRI; Directorate For Geosciences; Division Of Ocean Sciences [0824632, 1121022] Funding Source: National Science Foundation; Office of Polar Programs (OPP); Directorate For Geosciences [0806306] Funding Source: National Science Foundation</t>
  </si>
  <si>
    <t>Polish national grant AERONET59; Natural Environment Research Council(UK Research &amp; Innovation (UKRI)Natural Environment Research Council (NERC)); NERC(UK Research &amp; Innovation (UKRI)Natural Environment Research Council (NERC)); Directorate For Geosciences; Division Of Ocean Sciences(National Science Foundation (NSF)NSF - Directorate for Geosciences (GEO)); Office of Polar Programs (OPP); Directorate For Geosciences(National Science Foundation (NSF)NSF - Directorate for Geosciences (GEO))</t>
  </si>
  <si>
    <t>The authors thank Hal Maring (NASA Headquarters) for his support of AERONET. The authors would like to acknowledge managerial and operational support from W. W. Newcomb, M. Sorokin, A. Scully, A. Tran, D. A. Siegel, K. Knobelspiesse, D. Hamilton, L. Rainville, A. Jayakumar, S. Schick, and D. Menzies (USA); N. T. O'Neill, C. Bourgeault- Brunelle, and M. Palmer (Canada); M. Panchenko, O. Kopelevich, S. Gulev, D. Kabanov, S. Terpugova, V. Polkin, A. Tikhomirov, A. Sinitsyn, Y. Turchinovich, and N. Vlasov (Russia); L. Blarel, J. Nicolas, S. Devidal, L. Martinon, M. Faillot, and C. Petus (France); A. Baker and C. Powell (UK); A. Herber, Y. Zoll, A. Wassmann, and M. Heller (Germany); H. Power, T. Bromley, and R. Martin (New Zealand); J. Piskozub, J. Kowalczyk, and A. Ponczkowska (Poland); D. Williams and B. Kuyper (South Africa); J. Stamnes and S. Iversen (Norway); and K. Niranjan, S. Babu, and S. K. Satheesh (India). We thank the AERONET site managers and the SIMBIOS principal investigators for maintaining the instruments and making collection of these data possible. Jean Sciare would like to thank Institut Polaire Francais (IPEV) and the IPEV-AEROTRACE observatory program for providing technical support and infrastructure. The work of Tymon Zielinski was supported by Polish national grant AERONET59.</t>
  </si>
  <si>
    <t>MAR 21</t>
  </si>
  <si>
    <t>D06204</t>
  </si>
  <si>
    <t>10.1029/2008JD011257</t>
  </si>
  <si>
    <t>422PH</t>
  </si>
  <si>
    <t>WOS:000264439700007</t>
  </si>
  <si>
    <t>Huybrechts, P</t>
  </si>
  <si>
    <t>Huybrechts, Philippe</t>
  </si>
  <si>
    <t>GLOBAL CHANGE West-side story of Antarctic ice</t>
  </si>
  <si>
    <t>SHEET</t>
  </si>
  <si>
    <t>[Huybrechts, Philippe] Vrije Univ Brussel, Earth Syst Sci Grp, B-1050 Brussels, Belgium; [Huybrechts, Philippe] Vrije Univ Brussel, Dept Geog, B-1050 Brussels, Belgium</t>
  </si>
  <si>
    <t>Vrije Universiteit Brussel; Vrije Universiteit Brussel</t>
  </si>
  <si>
    <t>Huybrechts, P (corresponding author), Vrije Univ Brussel, Earth Syst Sci Grp, Pleinlaan 2, B-1050 Brussels, Belgium.</t>
  </si>
  <si>
    <t>phuybrec@vub.ac.be</t>
  </si>
  <si>
    <t>Huybrechts, Philippe/J-5278-2013</t>
  </si>
  <si>
    <t>Huybrechts, Philippe/0000-0003-1406-0525</t>
  </si>
  <si>
    <t>1476-4687</t>
  </si>
  <si>
    <t>MAR 19</t>
  </si>
  <si>
    <t>10.1038/458295a</t>
  </si>
  <si>
    <t>420JH</t>
  </si>
  <si>
    <t>WOS:000264285600029</t>
  </si>
  <si>
    <t>Naish, T; Powell, R; Levy, R; Wilson, G; Scherer, R; Talarico, F; Krissek, L; Niessen, F; Pompilio, M; Wilson, T; Carter, L; DeConto, R; Huybers, P; McKay, R; Pollard, D; Ross, J; Winter, D; Barrett, P; Browne, G; Cody, R; Cowan, E; Crampton, J; Dunbar, G; Dunbar, N; Florindo, F; Gebhardt, C; Graham, I; Hannah, M; Hansaraj, D; Harwood, D; Helling, D; Henrys, S; Hinnov, L; Kuhn, G; Kyle, P; Läufer, A; Maffioli, P; Magens, D; Mandernack, K; McIntosh, W; Millan, C; Morin, R; Ohneiser, C; Paulsen, T; Persico, D; Raine, I; Reed, J; Riesselman, C; Sagnotti, L; Schmitt, D; Sjunneskog, C; Strong, P; Taviani, M; Vogel, S; Wilch, T; Williams, T</t>
  </si>
  <si>
    <t>Naish, T.; Powell, R.; Levy, R.; Wilson, G.; Scherer, R.; Talarico, F.; Krissek, L.; Niessen, F.; Pompilio, M.; Wilson, T.; Carter, L.; DeConto, R.; Huybers, P.; McKay, R.; Pollard, D.; Ross, J.; Winter, D.; Barrett, P.; Browne, G.; Cody, R.; Cowan, E.; Crampton, J.; Dunbar, G.; Dunbar, N.; Florindo, F.; Gebhardt, C.; Graham, I.; Hannah, M.; Hansaraj, D.; Harwood, D.; Helling, D.; Henrys, S.; Hinnov, L.; Kuhn, G.; Kyle, P.; Laeufer, A.; Maffioli, P.; Magens, D.; Mandernack, K.; McIntosh, W.; Millan, C.; Morin, R.; Ohneiser, C.; Paulsen, T.; Persico, D.; Raine, I.; Reed, J.; Riesselman, C.; Sagnotti, L.; Schmitt, D.; Sjunneskog, C.; Strong, P.; Taviani, M.; Vogel, S.; Wilch, T.; Williams, T.</t>
  </si>
  <si>
    <t>Obliquity-paced Pliocene West Antarctic ice sheet oscillations</t>
  </si>
  <si>
    <t>ATLANTIC DEEP-WATER; EUSTATIC SEA-LEVEL; CLIMATE VARIABILITY; ROSS SEA; OCEAN; FLUCTUATIONS; GREENHOUSE; DELTA-O-18; AMPLITUDE; HISTORY</t>
  </si>
  <si>
    <t>Thirty years after oxygen isotope records from microfossils deposited in ocean sediments confirmed the hypothesis that variations in the Earth's orbital geometry control the ice ages(1), fundamental questions remain over the response of the Antarctic ice sheets to orbital cycles(2). Furthermore, an understanding of the behaviour of the marine-based West Antarctic ice sheet (WAIS) during the 'warmer-than-present' early-Pliocene epoch (similar to 5-3 Myr ago) is needed to better constrain the possible range of ice-sheet behaviour in the context of future global warming(3). Here we present a marine glacial record from the upper 600 m of the AND-1B sediment core recovered from beneath the northwest part of the Ross ice shelf by the ANDRILL programme and demonstrate well-dated, similar to 40-kyr cyclic variations in ice-sheet extent linked to cycles in insolation influenced by changes in the Earth's axial tilt (obliquity) during the Pliocene. Our data provide direct evidence for orbitally induced oscillations in the WAIS, which periodically collapsed, resulting in a switch from grounded ice, or ice shelves, to open waters in the Ross embayment when planetary temperatures were up to similar to 3 degrees C warmer than today(4) and atmospheric CO2 concentration was as high as similar to 400 p. p. m. v. (refs 5, 6). The evidence is consistent with a new ice-sheet/ice-shelf model(7) that simulates fluctuations in Antarctic ice volume of up to +7 m in equivalent sea level associated with the loss of the WAIS and up to +3 m in equivalent sea level from the East Antarctic ice sheet, in response to ocean-induced melting paced by obliquity. During interglacial times, diatomaceous sediments indicate high surface-water productivity, minimal summer sea ice and air temperatures above freezing, suggesting an additional influence of surface melt(8) under conditions of elevated CO2.</t>
  </si>
  <si>
    <t>[Naish, T.; Carter, L.; McKay, R.; Barrett, P.; Cody, R.; Dunbar, G.; Hannah, M.; Hansaraj, D.] Victoria Univ Wellington, Antarctic Res Ctr, Wellington 6012, New Zealand; [Naish, T.; Browne, G.; Cody, R.; Crampton, J.; Graham, I.; Hansaraj, D.; Henrys, S.; Raine, I.; Strong, P.] GNS Sci, Lower Hutt 5040, New Zealand; [Powell, R.; Scherer, R.; Vogel, S.] No Illinois Univ, Dept Geog &amp; Environm Geosci, De Kalb, IL 60115 USA; [Levy, R.; Winter, D.; Reed, J.] Univ Nebraska, Dept Geosci, ANDRILL Sci Management Off, Lincoln, NE 68588 USA; [Wilson, G.; Ohneiser, C.] Univ Otago, Dept Geol, Dunedin 9001, Otago, New Zealand; [Talarico, F.] Univ Siena, Dipartimento Sci Terra, I-53100 Siena, Italy; [Krissek, L.; Wilson, T.; Millan, C.] Ohio State Univ, Dept Geol Sci, Columbus, OH 43210 USA; [Niessen, F.; Gebhardt, C.; Helling, D.; Kuhn, G.; Magens, D.] Alfred Wegener Inst Polar &amp; Marine Res, Inst Geosci, D-27515 Bremerhaven, Germany; [Pompilio, M.] Ist Nazl Geofis &amp; Vulcanol, I-56126 Pisa, Italy; [DeConto, R.] Univ Massachusetts, Dept Geosci, Morrell Sci Ctr 233, Amherst, MA 01003 USA; [Huybers, P.] Harvard Univ, Dept Earth &amp; Planetary Sci, Cambridge, MA 02138 USA; [Pollard, D.] Penn State Univ, Earth &amp; Environm Syst Inst, University Pk, PA 16802 USA; [Ross, J.; Dunbar, N.; Kyle, P.; McIntosh, W.] New Mexico Inst Min &amp; Technol, Socorro, NM 87801 USA; [Cowan, E.] Appalachian State Univ, Dept Geol, Boone, NC 28608 USA; [Florindo, F.; Sagnotti, L.] Ist Nazl Geofis &amp; Vulcanol, I-00143 Rome, Italy; [Hinnov, L.] Johns Hopkins Univ, Dept Earth &amp; Planetary Sci, Baltimore, MD 21218 USA; [Laeufer, A.] Fed Inst Geosci &amp; Nat Resources, BGR, D-30655 Hannover, Germany; [Maffioli, P.] Univ Milano Bicocca, Dipartimento Sci Geol &amp; Geotecnol, I-20126 Milan, Italy; [Mandernack, K.] Colorado Sch Mines, Dept Chem &amp; Geochem, Golden, CO 80401 USA; [Morin, R.] US Geol Survey, Denver, CO 80225 USA; [Paulsen, T.] Univ Wisconsin, Dept Geol, Oshkosh, WI 54901 USA; [Persico, D.] Univ Parma, Dipartimento Sci Terra, I-43100 Parma, Italy; [Reed, J.] Iowa State Univ, CHRONOS, Dept Geol &amp; Atmospher Sci, Ames, IA 50011 USA; [Riesselman, C.] Stanford Univ, Sch Earth Sci, Dept Geol &amp; Environm Sci, Stanford, CA 94305 USA; [Schmitt, D.] Univ Alberta, Dept Phys, Edmonton, AB T6G 2G7, Canada; [Sjunneskog, C.] Louisiana State Univ, Dept Geol &amp; Geophys, Baton Rouge, LA 70803 USA; [Taviani, M.] ISMAR Bologna, CNR, I-40129 Bologna, Italy; [Wilch, T.] Albion Coll, Dept Geol, Albion, MI 49224 USA; [Williams, T.] Columbia Univ, Lamont Doherty Earth Observ, Palisades, NY 10964 USA</t>
  </si>
  <si>
    <t>Victoria University Wellington; GNS Science - New Zealand; Northern Illinois University; University of Nebraska System; University of Nebraska Lincoln; University of Otago; University of Siena; University System of Ohio; Ohio State University; Helmholtz Association; Alfred Wegener Institute, Helmholtz Centre for Polar &amp; Marine Research; Istituto Nazionale Geofisica e Vulcanologia (INGV); University of Massachusetts System; University of Massachusetts Amherst; Harvard University; Pennsylvania Commonwealth System of Higher Education (PCSHE); Pennsylvania State University; Pennsylvania State University - University Park; New Mexico Institute of Mining Technology; University of North Carolina; Appalachian State University; Istituto Nazionale Geofisica e Vulcanologia (INGV); Johns Hopkins University; University of Milano-Bicocca; Colorado School of Mines; United States Department of the Interior; United States Geological Survey; University of Wisconsin System; University of Parma; Iowa State University; Stanford University; University of Alberta; Louisiana State University System; Louisiana State University; Consiglio Nazionale delle Ricerche (CNR); Istituto di Scienze Marine (ISMAR-CNR); Albion College; Columbia University</t>
  </si>
  <si>
    <t>Naish, T (corresponding author), Victoria Univ Wellington, Antarctic Res Ctr, POB 600, Wellington 6012, New Zealand.</t>
  </si>
  <si>
    <t>tim.naish@vuw.ac.nz</t>
  </si>
  <si>
    <t>Läufer, Andreas/ABC-1465-2020; Gebhardt, Catalina/AHI-6432-2022; Taviani, Marco/AAF-2168-2020; Florindo, Fabio/M-1459-2019; Florindo, Fabio/AAU-2548-2021; McKay, Robert/N-2449-2015; Dunbar, Nelia W./HZL-8693-2023; Raine, James I/D-5124-2009; Pompilio, Massimo N/C-5892-2008; Sagnotti, Leonardo/AFM-3916-2022; Ohneiser, Christian/B-5797-2018; Vogel, Stefan/I-1963-2014; Riesselman, Christina R/H-5037-2012; Florindo, Fabio/F-4119-2010; Williams, Trevor/L-7670-2014; Levy, Richard H/E-2477-2011; Hinnov, Linda A./D-9486-2013; Pompilio, Massimo/M-5380-2019; Wilson, Gary S/B-3803-2010; Schmitt, Douglas R/A-4091-2010; Henrys, Stuart/ABD-7378-2020; Crampton, James/G-1381-2012; Hannah, Michael/H-1083-2015; CNR, Ismar/P-1247-2014; talarico, franco/G-9472-2012</t>
  </si>
  <si>
    <t>Läufer, Andreas/0000-0003-2219-0450; Gebhardt, Catalina/0000-0002-3227-0676; Taviani, Marco/0000-0003-0414-4274; Florindo, Fabio/0000-0002-6058-9748; McKay, Robert/0000-0002-5602-6985; Dunbar, Nelia W./0000-0002-5181-937X; Sagnotti, Leonardo/0000-0003-3944-201X; Florindo, Fabio/0000-0002-6058-9748; Pompilio, Massimo/0000-0002-0742-0679; Schmitt, Douglas R/0000-0001-6920-0658; Henrys, Stuart/0000-0002-7164-5274; Crampton, James/0000-0003-3270-9981; Hannah, Michael/0000-0002-2275-0086; Hinnov, Linda/0000-0001-8027-4834; Huybers, Peter/0000-0002-3734-8145; Persico, Davide/0000-0001-5194-9724; Levy, Richard/0000-0002-8783-0167; CNR, Ismar/0000-0001-5351-1486; Raine, James Ian/0000-0001-5294-2102; Naish, Tim/0000-0002-1185-9932; Riesselman, Christina/0000-0002-2436-4306; Kuhn, Gerhard/0000-0001-6069-7485; Wilson, Gary/0000-0003-0025-3641; Niessen, Frank/0000-0001-6453-0594; Vogel, Stefan/0000-0002-4350-7130; talarico, franco/0000-0002-7254-4301; Ohneiser, Christian/0000-0002-2781-2522</t>
  </si>
  <si>
    <t>US National Science Foundation; New Zealand Foundation for Research Science and Technology; Royal Society of New Zealand Marsden Fund; Italian Antarctic Research Programme; German Research Foundation; Alfred Wegener Institute for Polar and Marine Research</t>
  </si>
  <si>
    <t>US National Science Foundation(National Science Foundation (NSF)); New Zealand Foundation for Research Science and Technology(New Zealand Foundation for Research, Science and Technology); Royal Society of New Zealand Marsden Fund(Royal Society of New ZealandMarsden Fund (NZ)); Italian Antarctic Research Programme; German Research Foundation(German Research Foundation (DFG)); Alfred Wegener Institute for Polar and Marine Research</t>
  </si>
  <si>
    <t>The ANDRILL project is a multinational collaboration between the Antarctic programmes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 Lincoln provided science planning and operational support. The scientific studies are jointly supported by the US National Science Foundation, the New Zealand Foundation for Research Science and Technology and the Royal Society of New Zealand Marsden Fund, the Italian Antarctic Research Programme, the German Research Foundation and the Alfred Wegener Institute for Polar and Marine Research.</t>
  </si>
  <si>
    <t>U84</t>
  </si>
  <si>
    <t>10.1038/nature07867</t>
  </si>
  <si>
    <t>WOS:000264285600038</t>
  </si>
  <si>
    <t>Pollard, D; DeConto, RM</t>
  </si>
  <si>
    <t>Pollard, David; DeConto, Robert M.</t>
  </si>
  <si>
    <t>Modelling West Antarctic ice sheet growth and collapse through the past five million years</t>
  </si>
  <si>
    <t>CLIMATE; SHELF; EVOLUTION; PARAMETERIZATION; RETREAT; FLOW</t>
  </si>
  <si>
    <t>The West Antarctic ice sheet (WAIS), with ice volume equivalent to similar to 5 m of sea level(1), has long been considered capable of past and future catastrophic collapse(2-4). Today, the ice sheet is fringed by vulnerable floating ice shelves that buttress the fast flow of inland ice streams. Grounding lines are several hundred metres below sea level and the bed deepens upstream, raising the prospect of runaway retreat(3,5). Projections of future WAIS behaviour have been hampered by limited understanding of past variations and their underlying forcing mechanisms(6,7). Its variation since the Last Glacial Maximum is best known, with grounding lines advancing to the continental-shelf edges around similar to 15 kyr ago before retreating to near-modern locations by similar to 3 kyr ago(8). Prior collapses during the warmth of the early Pliocene epoch(9) and some Pleistocene interglacials have been suggested indirectly from records of sea level and deep-sea-core isotopes, and by the discovery of open-ocean diatoms in subglacial sediments(10). Until now(11), however, little direct evidence of such behaviour has been available. Here we use a combined ice sheet/ice shelf model(12) capable of high-resolution nesting with a new treatment of grounding-line dynamics and ice-shelf buttressing 5 to simulate Antarctic ice sheet variations over the past five million years. Modelled WAIS variations range from full glacial extents with grounding lines near the continental shelf break, intermediate states similar to modern, and brief but dramatic retreats, leaving only small, isolated ice caps on West Antarctic islands. Transitions between glacial, intermediate and collapsed states are relatively rapid, taking one to several thousand years. Our simulation is in good agreement with a new sediment record (ANDRILL AND-1B) recovered from the western Ross Sea(11), indicating a long-term trend from more frequently collapsed to more glaciated states, dominant 40-kyr cyclicity in the Pliocene, and major retreats at marine isotope stage 31 (similar to 1.07 Myr ago) and other super-interglacials.</t>
  </si>
  <si>
    <t>[Pollard, David] Penn State Univ, Earth &amp; Environm Syst Inst, University Pk, PA 16802 USA; [DeConto, Robert M.] Univ Massachusetts, Dept Geosci, Amherst, MA 01003 USA</t>
  </si>
  <si>
    <t>Pennsylvania Commonwealth System of Higher Education (PCSHE); Pennsylvania State University; Pennsylvania State University - University Park; University of Massachusetts System; University of Massachusetts Amherst</t>
  </si>
  <si>
    <t>Pollard, D (corresponding author), Penn State Univ, Earth &amp; Environm Syst Inst, University Pk, PA 16802 USA.</t>
  </si>
  <si>
    <t>pollard@essc.psu.edu</t>
  </si>
  <si>
    <t>US National Science Foundation [ATM-0513402/0513421, ANT-034248, ANT-0424589]</t>
  </si>
  <si>
    <t>US National Science Foundation(National Science Foundation (NSF))</t>
  </si>
  <si>
    <t>We thank T. Naish and R. Powell for discussions on this work, and P. Barrett for comments on the manuscript. This work was funded by the US National Science Foundation under awards ATM-0513402/0513421, ANT-034248 and ANT-0424589.</t>
  </si>
  <si>
    <t>U89</t>
  </si>
  <si>
    <t>10.1038/nature07809</t>
  </si>
  <si>
    <t>WOS:000264285600039</t>
  </si>
  <si>
    <t>Burkhart, JF; Bales, RC; McConnell, JR; Hutterli, MA; Frey, MM</t>
  </si>
  <si>
    <t>Burkhart, John F.; Bales, Roger C.; McConnell, Joseph R.; Hutterli, Manuel A.; Frey, Markus M.</t>
  </si>
  <si>
    <t>Geographic variability of nitrate deposition and preservation over the Greenland Ice Sheet</t>
  </si>
  <si>
    <t>NORTHWEST GREENLAND; FIRN CONCENTRATIONS; SNOW ACCUMULATION; SUMMIT; SULFATE; CORES; AIR; FORMALDEHYDE; NITROGEN; FLUXES</t>
  </si>
  <si>
    <t>An analysis of 96 snow pit and ice cores distributed over the Greenland ice sheet is used to determine the main drivers of variability in the preserved records of nitrate concentration. The data set provides samples from spatially distributed locations, allowing us to investigate the effect of snow accumulation rate, temperature, and sublimation on nitrate concentration. The mean ice sheet concentration in the dry snow zone (2000 &gt;= mean annual sea level (masl)) is 132 ng g(-1), ranging between 47 and 265 ng g(-1) with a standard deviation of +/-37 ng g(-1). Nitrate flux varies between 1.1 and 14.7 mu g cm(-2) a(-1) with a mean of 4 +/- 2 mu g cm(-2) a(-1). Large-scale spatial variability exists as a result of accumulation gradients, with concentration 5% greater in the northern plateau, yet flux over the northern plateau is 30% lower than the dry snow zone as a whole. While spatially, flux appears to be more dependent on accumulation, preservation of flux shows increasing dependence on concentration with increasing accumulation. The relationship between concentration and accumulation is nonlinear, showing less dependence in the low-accumulation regions versus high-accumulation regions. Accumulation alone is insufficient to account for the observed variability in nitrate flux in the low-accumulation regions, and evidence supports the need for additional components to a transfer function model for nitrate that includes photochemistry, temperature, and sublimation. Spatial variability across the ice sheet is nonuniform, and changes in nitrate concentration have occurred in some regions at a greater rate than others. While the data support that overall the ice sheet acts as an archive of paleoatmospheric concentration despite the effects of postdepositional processing, one needs to consider spatial variables to properly account for trends and variability in the records. This is tested by evaluating past spatial relationships and yields the result that the significant geographic shifts with respect to reactive N concentrations have occurred over the ice sheet in the past century.</t>
  </si>
  <si>
    <t>[Burkhart, John F.; Bales, Roger C.; Frey, Markus M.] Univ Calif, Sch Engn, Merced, CA 95344 USA; [Burkhart, John F.] Norwegian Inst Air Res, Dept Atmospher &amp; Climate Sci, Kjeller, Norway; [Bales, Roger C.] Univ Calif, Sierra Nevada Res Inst, Merced, CA 95344 USA; [McConnell, Joseph R.] Desert Res Inst, Div Hydrol Sci, Reno, NV 89512 USA; [Hutterli, Manuel A.; Frey, Markus M.] British Antarctic Survey, NERC, Cambridge CB3 0ET, England</t>
  </si>
  <si>
    <t>University of California System; University of California Merced; NILU; University of California System; University of California Merced; Nevada System of Higher Education (NSHE); Desert Research Institute NSHE; UK Research &amp; Innovation (UKRI); Natural Environment Research Council (NERC); NERC British Antarctic Survey</t>
  </si>
  <si>
    <t>Burkhart, JF (corresponding author), Univ Calif, Sch Engn, POB 2039, Merced, CA 95344 USA.</t>
  </si>
  <si>
    <t>jburkhart@ucmerced.edu</t>
  </si>
  <si>
    <t>Burkhart, John/AAB-4744-2021; Frey, Markus/G-1756-2012; Burkhart, John/B-7095-2008</t>
  </si>
  <si>
    <t>Burkhart, John/0000-0002-5587-1693; Frey, Markus/0000-0003-0535-0416; Burkhart, John/0000-0002-5587-1693</t>
  </si>
  <si>
    <t>NASA [NNG04GB26G]; National Science Foundation's Office of Polar Programs and Geosciences [NSF 9813442, NSF 0133204]; NASA Earth System Science Fellowship; Norwegian Research Council's POLARCAT [175916]; NERC [bas010016] Funding Source: UKRI; Natural Environment Research Council [bas010016] Funding Source: researchfish</t>
  </si>
  <si>
    <t>NASA(National Aeronautics &amp; Space Administration (NASA)); National Science Foundation's Office of Polar Programs and Geosciences(National Science Foundation (NSF)); NASA Earth System Science Fellowship(National Aeronautics &amp; Space Administration (NASA)); Norwegian Research Council's POLARCAT(Research Council of Norway); NERC(UK Research &amp; Innovation (UKRI)Natural Environment Research Council (NERC)); Natural Environment Research Council(UK Research &amp; Innovation (UKRI)Natural Environment Research Council (NERC))</t>
  </si>
  <si>
    <t>This research was funded in part by NASA grant NNG04GB26G and grants NSF 9813442 and NSF 0133204 from the National Science Foundation's Office of Polar Programs and Geosciences Directorate, respectively. J. Burkhart was funded through a NASA Earth System Science Fellowship. Funding for some of the analysis was provided through the Norwegian Research Council's POLARCAT grant (175916). Three excellent anonymous reviews contributed valuably to the final manuscript. Research on the Greenland Ice Sheet is made possible with the generous permission of the Danish Polar Centre and Greenland Home Rule Ministry of Environment and Nature.</t>
  </si>
  <si>
    <t>MAR 18</t>
  </si>
  <si>
    <t>D06301</t>
  </si>
  <si>
    <t>10.1029/2008JD010600</t>
  </si>
  <si>
    <t>422PE</t>
  </si>
  <si>
    <t>WOS:000264439400002</t>
  </si>
  <si>
    <t>Wang, YT; Hou, SG; Masson-Delmotte, V; Jouzel, J</t>
  </si>
  <si>
    <t>Wang, Yetang; Hou, Shugui; Masson-Delmotte, Valerie; Jouzel, Jean</t>
  </si>
  <si>
    <t>A new spatial distribution map of δ18O in Antarctic surface snow</t>
  </si>
  <si>
    <t>OXYGEN-ISOTOPE RATIO; ATMOSPHERIC CIRCULATION; AREAL DISTRIBUTION; PRECIPITATION; VARIABILITY; INFORMATION; RECORD; WATER</t>
  </si>
  <si>
    <t>We developed a gridded map of surface Antarctic snow isotopic composition using a recently compiled database and the modified Bowen and Wilkinson (2002) model using latitude and elevation as the primary predictors while also incorporating regional and local deviations based on available isotopic data. The map was generated using a 1-km digital elevation model grid data as the model input. The average of the absolute deviations between observations and predictions was about 0.8%, and the standard deviation is 0.9%. The resulting delta O-18 patterns reproduced correctly spatial isotopic gradients with respect to geographical characteristics, as well as climatic features. Citation: Wang, Y., S. Hou, V. Masson-Delmotte, and J. Jouzel (2009), A new spatial distribution map of delta O-18 in Antarctic surface snow, Geophys. Res. Lett., 36, L06501, doi: 10.1029/2008GL036939.</t>
  </si>
  <si>
    <t>[Wang, Yetang; Hou, Shugui] State Key Lab Cryospher Sci, Cold &amp; Arid Reg Environm &amp; Engn Res Inst, CAS, Lanzhou 73000, Peoples R China; [Masson-Delmotte, Valerie; Jouzel, Jean] CEA UVSQ, CNRS, IPSL, Lab Sci Climat &amp; Environm,CE Saclay, F-91191 Gif Sur Yvette, France</t>
  </si>
  <si>
    <t>Chinese Academy of Sciences; Cold &amp; Arid Regions Environmental &amp; Engineering Research Institute, CAS; CEA; Centre National de la Recherche Scientifique (CNRS); Universite Paris Saclay; Universite Paris Cite</t>
  </si>
  <si>
    <t>Wang, YT (corresponding author), State Key Lab Cryospher Sci, Cold &amp; Arid Reg Environm &amp; Engn Res Inst, CAS, Lanzhou 73000, Peoples R China.</t>
  </si>
  <si>
    <t>shugui@lzb.ac.cn</t>
  </si>
  <si>
    <t>Masson-Delmotte, Valerie L/G-1995-2011</t>
  </si>
  <si>
    <t>Masson-Delmotte, Valerie L/0000-0001-8296-381X; Hou, Shugui/0000-0002-0905-3542</t>
  </si>
  <si>
    <t>National Natural Science Foundation of China [40825017, 40576001]; Chinese Academy of Sciences; Centre National de Recherche Scientifique (CNRS); Programme International de Cooperation Scientifique (PICS); Climate and Environment in Antarctica and the Himalayas [3299]; French Agence Nationale de la Recherche [BLAN-0125-DOMEA]</t>
  </si>
  <si>
    <t>National Natural Science Foundation of China(National Natural Science Foundation of China (NSFC)); Chinese Academy of Sciences(Chinese Academy of Sciences); Centre National de Recherche Scientifique (CNRS)(Centre National de la Recherche Scientifique (CNRS)); Programme International de Cooperation Scientifique (PICS); Climate and Environment in Antarctica and the Himalayas; French Agence Nationale de la Recherche(Agence Nationale de la Recherche (ANR))</t>
  </si>
  <si>
    <t>This work was supported by National Natural Science Foundation of China (40825017 and 40576001), the Chinese Academy of Sciences (100 Talents Project), Centre National de Recherche Scientifique (CNRS), through the Programme International de Cooperation Scientifique (PICS) project Climate and Environment in Antarctica and the Himalayas'' (CLEAH, 3299), and the French Agence Nationale de la Recherche Dome A'' project (BLAN-0125-DOMEA).</t>
  </si>
  <si>
    <t>MAR 17</t>
  </si>
  <si>
    <t>L06501</t>
  </si>
  <si>
    <t>10.1029/2008GL036939</t>
  </si>
  <si>
    <t>422OS</t>
  </si>
  <si>
    <t>WOS:000264438200003</t>
  </si>
  <si>
    <t>Kasemann, SA; Schmidt, DN; Bijma, J; Foster, GL</t>
  </si>
  <si>
    <t>Kasemann, Simone A.; Schmidt, Daniela N.; Bijma, Jelle; Foster, Gavin L.</t>
  </si>
  <si>
    <t>In situ boron isotope analysis in marine carbonates and its application for foraminifera and palaeo-pH</t>
  </si>
  <si>
    <t>CHEMICAL GEOLOGY</t>
  </si>
  <si>
    <t>Boron isotopes; Reference material; Biogenic carbonates; Proxy; Palaeo-pH; Ion microprobe</t>
  </si>
  <si>
    <t>NIST SRM 610; OCEAN PH; GLOBIGERINOIDES-SACCULIFER; PLANKTONIC-FORAMINIFERA; PALEO-PH; ION MICROPROBE; SEAWATER PH; PHOTOSYNTHESIS; TEMPERATURE; PROXY</t>
  </si>
  <si>
    <t>The boron isotope composition of marine carbonates such as foraminiferal tests and coral skeletons is increasingly being used to reconstruct seawater pH values and atmospheric pCO(2) concentrations spanning hundreds of thousands or even millions of years. However, inter specific and small scale (microns) intra specific isotopic variation. either due to life processes of an organism or patchy recrystallisation and dissolution in fossilised material, can limit the use of the boron isotope ratio as palaeo-pH recorder. One approach to address this problem is the combined use of in situ and high spatial resolution mass spectrometry and high precision bulk analytical techniques. While much effort has been invested to establish reference material for silicates little attention has been devoted towards characterizing and using carbonate material allowing direct isotopic comparisons between B isotope data produced on carbonates by different techniques and laboratories. Hence, here we present data on the boron isotope composition of carbonate material determined by multicollector inductively coupled plasma mass spectrometry (MC-ICP-MS), thermal ionization mass spectrometry (TIMS), and secondary ionization mass spectrometry (SIMS). The new reference material permits the B isotope analysis of single foraminiferal chambers using SIMS and to empirically relate between seawater pH, the B isotope composition of O. universa and the predicted foraminiferal vital effect. (C) 2008 Elsevier B.V. All rights reserved.</t>
  </si>
  <si>
    <t>[Kasemann, Simone A.] Univ Edinburgh, Sch Geosci, Grant Inst Earth Sci, Edinburgh EH9 3JW, Midlothian, Scotland; [Foster, Gavin L.] Univ Bristol, Dept Earth Sci, Bristol Isotope Grp, Bristol BS8 1RJ, Avon, England; [Bijma, Jelle] Alfred Wegener Inst Polar &amp; Marine Res, D-27570 Bremerhaven, Germany</t>
  </si>
  <si>
    <t>University of Edinburgh; University of Bristol; Helmholtz Association; Alfred Wegener Institute, Helmholtz Centre for Polar &amp; Marine Research</t>
  </si>
  <si>
    <t>Kasemann, SA (corresponding author), Univ Edinburgh, Sch Geosci, Grant Inst Earth Sci, Kings Bldg,W Mains Rd, Edinburgh EH9 3JW, Midlothian, Scotland.</t>
  </si>
  <si>
    <t>simone.kasemann@ed.ac.uk; d.schmidt@bristol.ac.uk; Jelle.Bijma@awi.de; g.l.foster@bristol.ac.uk</t>
  </si>
  <si>
    <t>EIMF, EIMF/AAD-8512-2020; Foster, Gavin/W-5968-2019; Foster, Gavin/CAF-4654-2022</t>
  </si>
  <si>
    <t>EIMF, EIMF/0000-0001-6248-6657; Foster, Gavin/0000-0003-3688-9668; Schmidt, Daniela/0000-0001-8419-2721; Bijma, Jelle/0000-0003-4371-1438; Kasemann, Simone Antonia/0000-0002-6913-7748</t>
  </si>
  <si>
    <t>Royal Society; PTJ; BMBF [03F0450A]; NERC Scientific Services [IMF288/1006]; Natural Environment Research Council [IMF010001] Funding Source: researchfish; NERC [IMF010001] Funding Source: UKRI</t>
  </si>
  <si>
    <t>Royal Society(Royal Society); PTJ; BMBF(Federal Ministry of Education &amp; Research (BMBF)); NERC Scientific Services(UK Research &amp; Innovation (UKRI)Natural Environment Research Council (NERC)); Natural Environment Research Council(UK Research &amp; Innovation (UKRI)Natural Environment Research Council (NERC)); NERC(UK Research &amp; Innovation (UKRI)Natural Environment Research Council (NERC))</t>
  </si>
  <si>
    <t>We thank Claus-Dieter Hillenbrand (British Antarctic Survey, Cambridge) and Gerd Kuhn (Alfred Wegener Institute for Polar and Marine Research, Bremerhaven), for providing the Cold water coral Desmophyllum (sp) PS69/318-1. We are grateful to John Valley (University of Wisconsin) for providing sample UWC-1, Kevin Welsh and Mary Elliot (UoE) for KW-T6, and Alexander Tudhope (UoE) for coral M93-TB-FC-1. We thank Carolyn Taylor (UoB) and Michael Hall (UoE) for the sample preparation, John Craven and Richard Hinton (UoE) for support with the Cameca ims 1270 and David Steele for the electron microprobe data. Moreover, we would like to thank Hugh O'Neill for his generous support during SAK's stay at the Australian National University. This work benefited from valuable discussions with R. Hinton (UoE). DNS would like to thank the Royal Society for financial support via a URF.JB would like to thank the PTJ and the BMBF for their support (03F0450A). Part of this work was supported by a NERC Scientific Services Grant (ion Microprobe Facility) awarded to DNS (IMF288/1006). The manuscript has benefited from careful reviews by two anonymous reviewer and editorial handling from D. Rickard.</t>
  </si>
  <si>
    <t>0009-2541</t>
  </si>
  <si>
    <t>1872-6836</t>
  </si>
  <si>
    <t>CHEM GEOL</t>
  </si>
  <si>
    <t>Chem. Geol.</t>
  </si>
  <si>
    <t>MAR 15</t>
  </si>
  <si>
    <t>10.1016/j.chemgeo.2008.12.015</t>
  </si>
  <si>
    <t>424RA</t>
  </si>
  <si>
    <t>WOS:000264583100012</t>
  </si>
  <si>
    <t>Cheng, CHC; di Prisco, G; Verde, C</t>
  </si>
  <si>
    <t>Cheng, C. -H. Christina; di Prisco, Guido; Verde, Cinzia</t>
  </si>
  <si>
    <t>Cold-adapted Antarctic fish: The discovery of neuroglobin in the dominant suborder Notothenioidei</t>
  </si>
  <si>
    <t>GENE</t>
  </si>
  <si>
    <t>Neuroglobin; Notothenioid; Icefish; Red-blooded fish</t>
  </si>
  <si>
    <t>HEMOGLOBIN; GLOBIN; ICEFISHES; REVEALS; EXPRESSION; EVOLUTION; AFFINITY; BRAIN; GENE</t>
  </si>
  <si>
    <t>Novel globins, such as neuroglobin (Ngb) and cytoglobin, have recently been discovered in many vertebrates. Ngb is mainly expressed in neurons and plays a neuroprotective role during hypoxic stress. Neuronal hypoxia and cerebral ischemia induce Ngb expression; knocking down Ngb expression increases hypoxic neuronal injury in vitro and ischemic cerebral injury in vivo. Although Ngb was originally identified in mammals, it is also present in fish, including the zebrafish Danio rerio. We have discovered the Ngb gene to be present in red-blooded notothenioid fish species, and in at least 13 of the 16 species of the white-blooded icefish family Channichthyidae. The deduced amino-acid sequences are well conserved. The retention of the Ngb gene by channichthyids, despite the loss of hemoglobin and myoglobin, appears very intriguing. (C) 2008 Elsevier B.V. All rights reserved.</t>
  </si>
  <si>
    <t>[di Prisco, Guido; Verde, Cinzia] CNR, Inst Prot Biochem, I-80131 Naples, Italy; [Cheng, C. -H. Christina] Univ Illinois, Dept Anim Biol, Urbana, IL 61801 USA</t>
  </si>
  <si>
    <t>Consiglio Nazionale delle Ricerche (CNR); Istituto di Biochimica delle Proteine (IBP-CNR); University of Illinois System; University of Illinois Urbana-Champaign</t>
  </si>
  <si>
    <t>VERDE, Cinzia/0000-0001-6185-282X</t>
  </si>
  <si>
    <t>0378-1119</t>
  </si>
  <si>
    <t>1879-0038</t>
  </si>
  <si>
    <t>Gene</t>
  </si>
  <si>
    <t>10.1016/j.gene.2008.12.005</t>
  </si>
  <si>
    <t>Genetics &amp; Heredity</t>
  </si>
  <si>
    <t>421AX</t>
  </si>
  <si>
    <t>WOS:000264331400013</t>
  </si>
  <si>
    <t>Hengherr, S; Worland, MR; Reuner, A; Brümmer, F; Schill, RO</t>
  </si>
  <si>
    <t>Hengherr, S.; Worland, M. R.; Reuner, A.; Bruemmer, F.; Schill, R. O.</t>
  </si>
  <si>
    <t>Freeze tolerance, supercooling points and ice formation: comparative studies on the subzero temperature survival of limno-terrestrial tardigrades</t>
  </si>
  <si>
    <t>JOURNAL OF EXPERIMENTAL BIOLOGY</t>
  </si>
  <si>
    <t>tardigrada; differential scanning calorimetry; DSC; supercooling point; SCP; cooling rate; cold tolerance</t>
  </si>
  <si>
    <t>NEMATODE PANAGROLAIMUS-DAVIDI; COLD TOLERANCE; ADORYBIOTUS-CORONIFER; ANTARCTIC NEMATODE; CRYOPROTECTIVE DEHYDRATION; MILNESIUM-TARDIGRADUM; RICHTERSIUS-CORONIFER; ECTOTHERMIC ANIMALS; DESICCATION; NUCLEATION</t>
  </si>
  <si>
    <t>Many limno-terrestrial tardigrades live in unstable habitats where they experience extreme environmental conditions such as drought, heat and subzero temperatures. Although their stress tolerance is often related only to the anhydrobiotic state, tardigrades can also be exposed to great daily temperature fluctuations without dehydration. Survival of subzero temperatures in an active state requires either the ability to tolerate the freezing of body water or mechanisms to decrease the freezing point. Considering freeze tolerance in tardigrades as a general feature, we studied the survival rate of nine tardigrade species originating from polar, temperate and tropical regions by cooling them at rates of 9, 7, 5, 3 and 1 degrees Ch(-1) down to -30 degrees C then returning them to room temperature at 10 degrees Ch(-1). The resulting moderate survival after fast and slow cooling rates and low survival after intermediate cooling rates may indicate the influence of a physical effect during fast cooling and the possibility that they are able to synthesize cryoprotectants during slow cooling. Differential scanning calorimetry of starved, fed and cold acclimatized individuals showed no intraspecific significant differences in supercooling points and ice formation. Although this might suggest that metabolic and biochemical preparation are non-essential prior to subzero temperature exposure, the increased survival rate with slower cooling rates gives evidence that tardigrades still use some kind of mechanism to protect their cellular structure from freezing injury without influencing the freezing temperature. These results expand our current understanding of freeze tolerance in tardigrades and will lead to a better understanding of their ability to survive subzero temperature conditions.</t>
  </si>
  <si>
    <t>[Hengherr, S.; Reuner, A.; Bruemmer, F.; Schill, R. O.] Univ Stuttgart, Inst Biol, Dept Zool, D-70569 Stuttgart, Germany; [Worland, M. R.] British Antarctic Survey, Nat Environm Res Council, Cambridge CB3 0ET, England</t>
  </si>
  <si>
    <t>University of Stuttgart; UK Research &amp; Innovation (UKRI); Natural Environment Research Council (NERC); NERC British Antarctic Survey</t>
  </si>
  <si>
    <t>Schill, RO (corresponding author), Univ Stuttgart, Inst Biol, Dept Zool, Pfaffenwaldring 57, D-70569 Stuttgart, Germany.</t>
  </si>
  <si>
    <t>ralph.schill@bio.uni-stuttgart.de</t>
  </si>
  <si>
    <t>German Federal Ministry of Education and Research, BMBF [0313838A]; NERC [bas010020] Funding Source: UKRI; Natural Environment Research Council [bas010020] Funding Source: researchfish</t>
  </si>
  <si>
    <t>German Federal Ministry of Education and Research, BMBF(Federal Ministry of Education &amp; Research (BMBF)); NERC(UK Research &amp; Innovation (UKRI)Natural Environment Research Council (NERC)); Natural Environment Research Council(UK Research &amp; Innovation (UKRI)Natural Environment Research Council (NERC))</t>
  </si>
  <si>
    <t>We would like to thank Eva Zettler for managing the tardigrade cultures. We also would like to thank the anonymous reviewers for their useful comments. This study is part of the project FUNCRYPTA, funded by the German Federal Ministry of Education and Research, BMBF (0313838A). Thermal analysis was enabled using the equipment made available by the British Antarctic Survey.</t>
  </si>
  <si>
    <t>COMPANY OF BIOLOGISTS LTD</t>
  </si>
  <si>
    <t>CAMBRIDGE</t>
  </si>
  <si>
    <t>BIDDER BUILDING CAMBRIDGE COMMERCIAL PARK COWLEY RD, CAMBRIDGE CB4 4DL, CAMBS, ENGLAND</t>
  </si>
  <si>
    <t>0022-0949</t>
  </si>
  <si>
    <t>J EXP BIOL</t>
  </si>
  <si>
    <t>J. Exp. Biol.</t>
  </si>
  <si>
    <t>10.1242/jeb.025973</t>
  </si>
  <si>
    <t>422QY</t>
  </si>
  <si>
    <t>WOS:000264444000014</t>
  </si>
  <si>
    <t>Noormets, R; Dowdeswell, JA; Larter, RD; Cofaigh, CO; Evans, J</t>
  </si>
  <si>
    <t>Noormets, R.; Dowdeswell, J. A.; Larter, R. D.; Cofaigh, C. O.; Evans, J.</t>
  </si>
  <si>
    <t>Morphology of the upper continental slope in the Bellingshausen and Amundsen Seas - Implications for sedimentary processes at the shelf edge of West Antarctica</t>
  </si>
  <si>
    <t>West Antarctic continental margin; ice streams; cross-shelf troughs; subglacial meltwater; gullies; slides; debris flows; Last Glacial Maximum</t>
  </si>
  <si>
    <t>PINE ISLAND BAY; PLEISTOCENE-HOLOCENE RETREAT; GLACIAL GEOMORPHIC FEATURES; ICE-SHEET SYSTEM; TROUGH-MOUTH FAN; SUBGLACIAL DRAINAGE; CLIMATE-CHANGE; SEISMIC STRATIGRAPHY; PACIFIC MARGIN; ESKER SYSTEMS</t>
  </si>
  <si>
    <t>Swath bathymetric and sub-bottom profiler data reveal a variety of submarine landforms such as gullies, slide scars, subtle shelf edge-parallel ridges and elongated depressions, and small debris flows along the continental shelf break and upper slope of West Antarctica. Gullies cutting through debris flow deposits on the Belgica Trough Mouth Fan (TMF) suggest formation after full-glacial deposition on the continental slope. The gullies were most likely eroded by sediment-laden subglacial meltwater flows released from underneath the ice margin grounded at the shelf edge at the onset of deglaciation. Scarcity of subglacial meltwater flow features on the outer shelf suggests that the meltwater reached the shelf edge mainly either through the topmost layer of soft diamict or in the form of dispersed flow beneath the ice, although locally preserved erosional channels indicate that more focused and higher-energy flows also existed. Concentration of gullies on the upper continental slope in front of the marginal areas of the major cross-shelf troughs, as contrasted to their axial parts, is indicative of higher-energy gully-eroding processes there, possibly due to additional subglacial meltwater flow from beneath the slow moving ice lying over the higher banks of the troughs. The shallow and sinuous gully heads observed on the outermost shelf within the Pine Island West Trough may indicate postglacial modification by near-bed currents resulting either from the subglacial meltwater flow from underneath the ice margin positioned at some distance landward from the shelf edge, or from the currents formed by brine rejection during sea ice formation. On the continental slope outside major troughs, slide scars as well as shelf-edge parallel ridges and elongated depressions indicate an unstable and failure-prone uppermost slope, although failures were probably mainly associated with rapid sediment loading during glacial periods. Complex, cauliflower- and amphitheatre-shaped gully heads biting back into the shelf edge suggest upslope retrogressive, multi-stage small-scale sliding as a contributing factor to the formation of gullies in these areas. Small debris fans immediately downslope of the slide scars suggest that small-scale debris flows have been the main downslope sediment transfer processes in the areas of weak or absent subglacial meltwater flow. (C) 2008 Elsevier B.V. All rights reserved.</t>
  </si>
  <si>
    <t>[Noormets, R.; Dowdeswell, J. A.] Univ Cambridge, Scott Polar Res Inst, Cambridge CB2 1ER, England; [Larter, R. D.] British Antarctic Survey, Cambridge CB3 0ET, England; [Cofaigh, C. O.] Univ Durham, Dept Geog, Durham DH1 3LE, England; [Evans, J.] Univ Loughborough, Dept Geog, Loughborough LE11 3TU, Leics, England</t>
  </si>
  <si>
    <t>University of Cambridge; UK Research &amp; Innovation (UKRI); Natural Environment Research Council (NERC); NERC British Antarctic Survey; Durham University; Loughborough University</t>
  </si>
  <si>
    <t>rikon@unis.no</t>
  </si>
  <si>
    <t>Ó Cofaigh, Colm/D-9131-2012; Evans, Jeffrey/F-5548-2010</t>
  </si>
  <si>
    <t>Larter, Robert/0000-0002-8414-7389; Dowdeswell, Julian/0000-0003-1369-9482; Noormets, Riko/0000-0002-2832-386X</t>
  </si>
  <si>
    <t>UK Natural Environment Research Council (NERC) [GR3/JIF/02, NER/G/S/2002/0192]; University of Cambridge [NER/G/S/2002/00009]; GRADES-QWAD project (British Antarctic Survey) [AFI4/17]; NERC [bas010018] Funding Source: UKRI; Natural Environment Research Council [NER/G/S/2002/00009, bas010018, NE/C506372/1] Funding Source: researchfish</t>
  </si>
  <si>
    <t>UK Natural Environment Research Council (NERC)(UK Research &amp; Innovation (UKRI)Natural Environment Research Council (NERC)); University of Cambridge(University of Cambridge); GRADES-QWAD project (British Antarctic Survey); NERC(UK Research &amp; Innovation (UKRI)Natural Environment Research Council (NERC)); Natural Environment Research Council(UK Research &amp; Innovation (UKRI)Natural Environment Research Council (NERC))</t>
  </si>
  <si>
    <t>This research was funded by UK Natural Environment Research Council (NERC) grants GR3/JIF/02, NER/G/S/2002/0192 (University of Cambridge), NER/G/S/2002/00009 and the GRADES-QWAD project (British Antarctic Survey). Logistical support was provided by the British Antarctic Survey under the NERC Antarctic Funding initiative (project AFI4/17). We thank the officers and crew of the RRS James Clark Ross for their expert assistance during cruises JR104 and JR141.</t>
  </si>
  <si>
    <t>10.1016/j.margeo.2008.11.011</t>
  </si>
  <si>
    <t>424VZ</t>
  </si>
  <si>
    <t>WOS:000264597700007</t>
  </si>
  <si>
    <t>Denekamp, NY; Thorne, MAS; Clark, MS; Kube, M; Reinhardt, R; Lubzens, E</t>
  </si>
  <si>
    <t>Denekamp, Nadav Y.; Thorne, Michael A. S.; Clark, Melody S.; Kube, Michael; Reinhardt, Richard; Lubzens, Esther</t>
  </si>
  <si>
    <t>Discovering genes associated with dormancy in the monogonont rotifer Brachionus plicatilis</t>
  </si>
  <si>
    <t>BMC GENOMICS</t>
  </si>
  <si>
    <t>STRESS-PROTEIN; GLUTATHIONE TRANSFERASES; CAENORHABDITIS-ELEGANS; BISEXUAL REPRODUCTION; TREHALOSE METABOLISM; MOLECULAR CHAPERONES; APOLIPOPHORIN-II/I; HEAT-SHOCK; EXPRESSION; TOLERANCE</t>
  </si>
  <si>
    <t>Background: Microscopic monogonont rotifers, including the euryhaline species Brachionus plicatilis, are typically found in water bodies where environmental factors restrict population growth to short periods lasting days or months. The survival of the population is ensured via the production of resting eggs that show a remarkable tolerance to unfavorable conditions and remain viable for decades. The aim of this study was to generate Expressed Sequence Tags (ESTs) for molecular characterisation of processes associated with the formation of resting eggs, their survival during dormancy and hatching. Results: Four normalized and four subtractive libraries were constructed to provide a resource for rotifer transcriptomics associated with resting-egg formation, storage and hatching. A total of 47,926 sequences were assembled into 18,000 putative transcripts and analyzed using both Blast and GO annotation. About 28-55% (depending on the library) of the clones produced significant matches against the Swissprot and Trembl databases. Genes known to be associated with desiccation tolerance during dormancy in other organisms were identified in the EST libraries. These included genes associated with antioxidant activity, low molecular weight heat shock proteins and Late Embryonic Abundant (LEA) proteins. Real-time PCR confirmed that LEA transcripts, small heat-shock proteins and some antioxidant genes were upregulated in resting eggs, therefore suggesting that desiccation tolerance is a characteristic feature of resting eggs even though they do not necessarily fully desiccate during dormancy. The role of trehalose in resting-egg formation and survival remains unclear since there was no significant difference between resting-egg producing females and amictic females in the expression of the tps-1 gene. In view of the absence of vitellogenin transcripts, matches to lipoprotein lipase proteins suggest that, similar to the situation in dipterans, these proteins may serve as the yolk proteins in rotifers. Conclusion: The 47,926 ESTs expand significantly the current sequence resource of B. plicatilis. It describes, for the first time, genes putatively associated with resting eggs and will serve as a database for future global expression experiments, particularly for the further identification of dormancy related genes.</t>
  </si>
  <si>
    <t>[Denekamp, Nadav Y.; Lubzens, Esther] Israel Oceanog &amp; Limnol Res, IL-31080 Haifa, Israel; [Thorne, Michael A. S.; Clark, Melody S.] British Antarctic Survey, Nat Environm Res Council, Cambridge CB3 0ET, England; [Kube, Michael; Reinhardt, Richard] Max Planck Inst Mol Genom, Berlin, Germany</t>
  </si>
  <si>
    <t>Israel Oceanographic &amp; Limnological Research Institute; UK Research &amp; Innovation (UKRI); Natural Environment Research Council (NERC); NERC British Antarctic Survey; Max Planck Society</t>
  </si>
  <si>
    <t>Lubzens, E (corresponding author), Israel Oceanog &amp; Limnol Res, IL-31080 Haifa, Israel.</t>
  </si>
  <si>
    <t>nadavd@ocean.org.il; mior@bas.ac.uk; mscl@bas.ac.uk; kube@molgen.mpg.de; rr@molgen.mpg.de; esther@ocean.org.il</t>
  </si>
  <si>
    <t>Lubzens, Esther/KFE-8167-2024; Clark, Melody/D-7371-2014</t>
  </si>
  <si>
    <t>Reinhardt, Richard/0000-0001-9376-2132; Thorne, Michael/0000-0001-7759-612X; Clark, Melody/0000-0002-3442-3824</t>
  </si>
  <si>
    <t>European Commission [012674]; NERC [bas010015] Funding Source: UKRI; Natural Environment Research Council [bas010015] Funding Source: researchfish</t>
  </si>
  <si>
    <t>European Commission(European Union (EU)European Commission Joint Research Centre); NERC(UK Research &amp; Innovation (UKRI)Natural Environment Research Council (NERC)); Natural Environment Research Council(UK Research &amp; Innovation (UKRI)Natural Environment Research Council (NERC))</t>
  </si>
  <si>
    <t>This study was financially supported by the European Commission (NEST #012674; Sleeping Beauty). This paper was produced by MSC and MAST within the BAS Q4 BIOREACH/BIOFLAME core programmes. The technical assistance of Mrs. Irena Perkarski, Aliza Hadani and the sequencing team from MPI-MG (Berlin-Dahlem) is highly appreciated.</t>
  </si>
  <si>
    <t>BMC</t>
  </si>
  <si>
    <t>CAMPUS, 4 CRINAN ST, LONDON N1 9XW, ENGLAND</t>
  </si>
  <si>
    <t>1471-2164</t>
  </si>
  <si>
    <t>BMC Genomics</t>
  </si>
  <si>
    <t>MAR 13</t>
  </si>
  <si>
    <t>10.1186/1471-2164-10-108</t>
  </si>
  <si>
    <t>Biotechnology &amp; Applied Microbiology; Genetics &amp; Heredity</t>
  </si>
  <si>
    <t>441SU</t>
  </si>
  <si>
    <t>gold, Green Accepted, Green Published</t>
  </si>
  <si>
    <t>WOS:000265791600001</t>
  </si>
  <si>
    <t>Anderson, RF; Ali, S; Bradtmiller, LI; Nielsen, SHH; Fleisher, MQ; Anderson, BE; Burckle, LH</t>
  </si>
  <si>
    <t>Anderson, R. F.; Ali, S.; Bradtmiller, L. I.; Nielsen, S. H. H.; Fleisher, M. Q.; Anderson, B. E.; Burckle, L. H.</t>
  </si>
  <si>
    <t>Wind-Driven Upwelling in the Southern Ocean and the Deglacial Rise in Atmospheric CO2</t>
  </si>
  <si>
    <t>PACIFIC SECTOR; CARBON-CYCLE; PARTICLE COMPOSITION; TROPICAL ATLANTIC; NORTH-ATLANTIC; CLIMATE; VARIABILITY; CIRCULATION; TH-230; ACCUMULATION</t>
  </si>
  <si>
    <t>Wind-driven upwelling in the ocean around Antarctica helps regulate the exchange of carbon dioxide (CO2) between the deep sea and the atmosphere, as well as the supply of dissolved silicon to the euphotic zone of the Southern Ocean. Diatom productivity south of the Antarctic Polar Front and the subsequent burial of biogenic opal in underlying sediments are limited by this silicon supply. We show that opal burial rates, and thus upwelling, were enhanced during the termination of the last ice age in each sector of the Southern Ocean. In the record with the greatest temporal resolution, we find evidence for two intervals of enhanced upwelling concurrent with the two intervals of rising atmospheric CO2 during deglaciation. These results directly link increased ventilation of deep water to the deglacial rise in atmospheric CO2.</t>
  </si>
  <si>
    <t>[Anderson, R. F.; Ali, S.; Bradtmiller, L. I.; Fleisher, M. Q.; Anderson, B. E.; Burckle, L. H.] Columbia Univ, Lamont Doherty Earth Observ, Palisades, NY 10964 USA; [Anderson, R. F.; Ali, S.; Bradtmiller, L. I.] Columbia Univ, Dept Earth &amp; Environm Sci, New York, NY 10027 USA; [Nielsen, S. H. H.] Florida State Univ, Antarctic Marine Geol Res Facil, Tallahassee, FL 32306 USA</t>
  </si>
  <si>
    <t>Columbia University; Columbia University; State University System of Florida; Florida State University</t>
  </si>
  <si>
    <t>Anderson, RF (corresponding author), Columbia Univ, Lamont Doherty Earth Observ, POB 1000, Palisades, NY 10964 USA.</t>
  </si>
  <si>
    <t>boba@ldeo.columbia.edu</t>
  </si>
  <si>
    <t>Bradtmiller, Louisa/IYJ-9617-2023</t>
  </si>
  <si>
    <t>Bradtmiller, Louisa/0000-0001-6595-6095; Anderson, Robert/0000-0002-8472-2494</t>
  </si>
  <si>
    <t>National Oceanic and Atmospheric Administration; National Science Foundation; Norwegian Research Council [VISTA project 6535]; Norwegian Polar Institute [VISTA project 6535]</t>
  </si>
  <si>
    <t>National Oceanic and Atmospheric Administration(National Oceanic Atmospheric Admin (NOAA) - USA); National Science Foundation(National Science Foundation (NSF)); Norwegian Research Council(Research Council of Norway); Norwegian Polar Institute</t>
  </si>
  <si>
    <t>Work described in this paper was funded by a grants/cooperative agreement from the National Oceanic and Atmospheric Administration, by the National Science Foundation, and by the Norwegian Research Council and the Norwegian Polar Institute as part of VISTA project 6535. The views expressed herein are those of the authors and do not necessarily reflect the views of NOAA or any of its sub-agencies. Comments on earlier drafts of the manuscript by J. R. Toggweiler, L. K. Armand, and M.-E. Carr led to substantial improvements. W. S. Broecker brought to our attention the importance of paleo lake level records. Discussions with P. de Menocal, J. McManus, and D. Martinson helped clarify our thinking about processes discussed in this paper. Comments from two anonymous reviewers improved the manuscript. Samples from TN057 cores were provided by the repository at Lamont-Doherty Earth Observatory; samples from E27-23 were provided by the Antarctic Marine Geology Research Facility at Florida State University.</t>
  </si>
  <si>
    <t>10.1126/science.1167441</t>
  </si>
  <si>
    <t>417TP</t>
  </si>
  <si>
    <t>WOS:000264101700031</t>
  </si>
  <si>
    <t>Montes-Hugo, M; Doney, SC; Ducklow, HW; Fraser, W; Martinson, D; Stammerjohn, SE; Schofield, O</t>
  </si>
  <si>
    <t>Montes-Hugo, Martin; Doney, Scott C.; Ducklow, Hugh W.; Fraser, William; Martinson, Douglas; Stammerjohn, Sharon E.; Schofield, Oscar</t>
  </si>
  <si>
    <t>Recent Changes in Phytoplankton Communities Associated with Rapid Regional Climate Change Along the Western Antarctic Peninsula</t>
  </si>
  <si>
    <t>SEA-ICE EXTENT; DISTRIBUTIONS; CHLOROPHYLL; VARIABILITY; ECOSYSTEMS; SEDIMENTS; RETREAT; SHELF; OCEAN; KRILL</t>
  </si>
  <si>
    <t>The climate of the western shelf of the Antarctic Peninsula (WAP) is undergoing a transition from a cold-dry polar-type climate to a warm-humid sub-Antarctic-type climate. Using three decades of satellite and field data, we document that ocean biological productivity, inferred from chlorophyll a concentration (Chl a), has significantly changed along the WAP shelf. Summertime surface Chl a (summer integrated Chl a similar to 63% of annually integrated Chl a) declined by 12% along the WAP over the past 30 years, with the largest decreases equatorward of 63 S and with substantial increases in Chl a occurring farther south. The latitudinal variation in Chl a trends reflects shifting patterns of ice cover, cloud formation, and windiness affecting water-column mixing. Regional changes in phytoplankton coincide with observed changes in krill (Euphausia superba) and penguin populations.</t>
  </si>
  <si>
    <t>[Montes-Hugo, Martin; Schofield, Oscar] Rutgers State Univ, Sch Biol &amp; Environm Sci, Inst Marine &amp; Coastal Sci, Coastal Ocean Observat Lab, New Brunswick, NJ 08901 USA; [Doney, Scott C.] Woods Hole Oceanog Inst, Dept Marine Chem &amp; Geochem, Woods Hole, MA 02543 USA; [Ducklow, Hugh W.] Marine Biol Lab, Ctr Ecosyst, Woods Hole, MA 02543 USA; [Fraser, William] Polar Oceans Res Grp, Sheridan, MT 59749 USA; [Martinson, Douglas] Lamont Doherty Earth Inst, Palisades, NY 10964 USA; [Stammerjohn, Sharon E.] Univ Calif Santa Cruz, Santa Cruz, CA 95064 USA</t>
  </si>
  <si>
    <t>Rutgers University System; Rutgers University New Brunswick; Woods Hole Oceanographic Institution; Marine Biological Laboratory - Woods Hole; University of California System; University of California Santa Cruz</t>
  </si>
  <si>
    <t>Montes-Hugo, M (corresponding author), Rutgers State Univ, Sch Biol &amp; Environm Sci, Inst Marine &amp; Coastal Sci, Coastal Ocean Observat Lab, New Brunswick, NJ 08901 USA.</t>
  </si>
  <si>
    <t>montes@marine.rutgers.edu</t>
  </si>
  <si>
    <t>Doney, Scott/F-9247-2010; Schofield, Oscar/H-4169-2018</t>
  </si>
  <si>
    <t>Doney, Scott/0000-0002-3683-2437; STAMMERJOHN, SHARON/0000-0002-1697-8244; Schofield, Oscar/0000-0003-2359-4131</t>
  </si>
  <si>
    <t>NSF Office of Polar Programs [0217282]; Virginia Institute of Marine Science [0823101]; Marine Biological Laboratory; Directorate For Geosciences; Office of Polar Programs (OPP) [0217282] Funding Source: National Science Foundation; Office of Polar Programs (OPP); Directorate For Geosciences [0823101] Funding Source: National Science Foundation</t>
  </si>
  <si>
    <t>NSF Office of Polar Programs(National Science Foundation (NSF)); Virginia Institute of Marine Science; Marine Biological Laboratory; Directorate For Geosciences; Office of Polar Programs (OPP)(National Science Foundation (NSF)NSF - Directorate for Geosciences (GEO)); Office of Polar Programs (OPP); Directorate For Geosciences(National Science Foundation (NSF)NSF - Directorate for Geosciences (GEO))</t>
  </si>
  <si>
    <t>This research is part of the Palmer Antarctica Long-Term Ecological Research (LTER) project (http://pal.lternet.edu). It was supported by NSF Office of Polar Programs grants 0217282 to H.W.D. and the Virginia Institute of Marine Science and 0823101 to H.W.D. at the Marine Biological Laboratory.</t>
  </si>
  <si>
    <t>10.1126/science.1164533</t>
  </si>
  <si>
    <t>WOS:000264101700039</t>
  </si>
  <si>
    <t>Raymond, B; Hosie, G</t>
  </si>
  <si>
    <t>Raymond, Ben; Hosie, GFaham</t>
  </si>
  <si>
    <t>Network-based exploration and visualisation of ecological data</t>
  </si>
  <si>
    <t>ECOLOGICAL MODELLING</t>
  </si>
  <si>
    <t>Exploratory analyses; Data visualisation; Networks; Zooplankton; Southern Ocean; Community structure</t>
  </si>
  <si>
    <t>CONTINUOUS PLANKTON RECORDER; SOUTHERN-OCEAN SOUTH; MESOZOOPLANKTON COMMUNITY STRUCTURE; FOOD-WEB; SEA-ICE; ZOOPLANKTON COMMUNITIES; SEASONAL SUCCESSION; ORDINATION; AUSTRALIA; COMPLEX</t>
  </si>
  <si>
    <t>Networks - structured graphs consisting of sets of nodes connected by edges - provide a rich framework for data visualisation and exploratory analyses. Although rarely used for the visualisation of ecological data, networks are well suited to this purpose, including data that one might not normally think of as a network. We present a simple method for transforming a data matrix into network format, and show how this can be used as the basis for interactive exploratory analyses of ecological data. The method is demonstrated using a database of marine zooplankton samples acquired in the Southern Ocean. The network analyses revealed zooplankton community structures that are in good agreement with previously published results. Variations in community structure were observed to be related to the temporal and spatial pattern of sampling. as well as to physical environmental factors such as sea ice cover. The analyses also revealed a number of errors in the data, including taxon identification errors and instrument failures. The method allows the analyst to generate networks from different combinations of variables in the data set, and to examine the effects of varying parameters such as the scales of spatial, temporal, and taxonomic aggregation. This flexibility allows the analyst to rapidly gain a number of perspectives on the data and provides a powerful mechanism for exploration. Crown Copyright (C) 2008 Published by Elsevier B.V. All rights reserved.</t>
  </si>
  <si>
    <t>[Raymond, Ben; Hosie, GFaham] Australian Antarctic Div, Kingston, Tas 7050, Australia</t>
  </si>
  <si>
    <t>Raymond, B (corresponding author), Australian Antarctic Div, Channel Highway, Kingston, Tas 7050, Australia.</t>
  </si>
  <si>
    <t>ben.raymond@aad.gov.au</t>
  </si>
  <si>
    <t>0304-3800</t>
  </si>
  <si>
    <t>1872-7026</t>
  </si>
  <si>
    <t>ECOL MODEL</t>
  </si>
  <si>
    <t>Ecol. Model.</t>
  </si>
  <si>
    <t>MAR 10</t>
  </si>
  <si>
    <t>10.1016/j.ecolmodel.2008.12.011</t>
  </si>
  <si>
    <t>413UL</t>
  </si>
  <si>
    <t>WOS:000263817900009</t>
  </si>
  <si>
    <t>Majda, AJ; Franzke, C; Crommelin, D</t>
  </si>
  <si>
    <t>Majda, Andrew J.; Franzke, Christian; Crommelin, Daan</t>
  </si>
  <si>
    <t>Normal forms for reduced stochastic climate models</t>
  </si>
  <si>
    <t>low-frequency teleconnection patterns; nonlinearity; correlated noise</t>
  </si>
  <si>
    <t>PLANETARY WAVE DYNAMICS; NONLINEAR SIGNATURES; REDUCTION; PARADIGM</t>
  </si>
  <si>
    <t>The systematic development of reduced low-dimensional stochastic climate models from observations or comprehensive high-dimensional climate models is an important topic for atmospheric low-frequency variability, climate sensitivity, and improved extended range forecasting. Here techniques from applied mathematics are utilized to systematically derive normal forms for reduced stochastic climate models for low-frequency variables. The use of a few Empirical Orthogonal Functions (EOFs) (also known as Principal Component Analysis, Karhunen-Loeve and Proper Orthogonal Decomposition) depending on observational data to span the low-frequency subspace requires the assessment of dyad interactions besides the more familiar triads in the interaction between the low- and high-frequency subspaces of the dynamics. It is shown below that the dyad and multiplicative triad interactions combine with the climatological linear operator interactions to simultaneously produce both strong nonlinear dissipation and Correlated Additive and Multiplicative (CAM) stochastic noise. For a single low- frequency variable the dyad interactions and climatological linear operator alone produce a normal form with CAM noise from advection of the large scales by the small scales and simultaneously strong cubic damping. These normal forms should prove useful for developing systematic strategies for the estimation of stochastic models from climate data. As an illustrative example the one-dimensional normal form is applied below to low-frequency patterns such as the North Atlantic Oscillation (NAO) in a climate model. The results here also illustrate the short comings of a recent linear scalar CAM noise model proposed elsewhere for low- frequency variability.</t>
  </si>
  <si>
    <t>[Majda, Andrew J.] NYU, Courant Inst Math Sci, Dept Math &amp; Climate, New York, NY 10003 USA; [Franzke, Christian] British Antarctic Survey, NERC, Cambridge CB3 0ET, England; [Crommelin, Daan] Ctr Wiskunde &amp; Informat, NL-1098 XG Amsterdam, Netherlands</t>
  </si>
  <si>
    <t>New York University; UK Research &amp; Innovation (UKRI); Natural Environment Research Council (NERC); NERC British Antarctic Survey</t>
  </si>
  <si>
    <t>Majda, AJ (corresponding author), NYU, Courant Inst Math Sci, Dept Math &amp; Climate, New York, NY 10003 USA.</t>
  </si>
  <si>
    <t>jonjon@cims.nyu.edu</t>
  </si>
  <si>
    <t>; Franzke, Christian/A-6191-2012</t>
  </si>
  <si>
    <t>Crommelin, Daan/0000-0003-0542-6337; Franzke, Christian/0000-0003-4111-1228</t>
  </si>
  <si>
    <t>National Science Foundation [DMS-0456713]; Office of Naval Research [N0014-051-1064]; Netherlands Organisation; Nonlinear Dynamics of Natural Systems; Natural Environment Research Council [bas010021] Funding Source: researchfish; NERC [bas010021] Funding Source: UKRI</t>
  </si>
  <si>
    <t>National Science Foundation(National Science Foundation (NSF)); Office of Naval Research(Office of Naval Research); Netherlands Organisation(Netherlands Organization for Scientific Research (NWO)); Nonlinear Dynamics of Natural Systems; Natural Environment Research Council(UK Research &amp; Innovation (UKRI)Natural Environment Research Council (NERC)); NERC(UK Research &amp; Innovation (UKRI)Natural Environment Research Council (NERC))</t>
  </si>
  <si>
    <t>A.J.M. is supported in part by National Science Foundation Grant DMS-0456713 and Office of Naval Research Grant N0014-051-1064. D.C. is supported by the Netherlands Organisation for Scientific Research through the research cluster Nonlinear Dynamics of Natural Systems.</t>
  </si>
  <si>
    <t>10.1073/pnas.0900173106</t>
  </si>
  <si>
    <t>416WT</t>
  </si>
  <si>
    <t>WOS:000264036900004</t>
  </si>
  <si>
    <t>Willmes, S; Haas, C; Nicolaus, M; Bareiss, J</t>
  </si>
  <si>
    <t>Willmes, Sascha; Haas, Christian; Nicolaus, Marcel; Bareiss, Joerg</t>
  </si>
  <si>
    <t>Satellite microwave observations of the interannual variability of snowmelt on sea ice in the Southern Ocean</t>
  </si>
  <si>
    <t>PASSIVE-MICROWAVE; MELT-ONSET; WEDDELL SEA; PHYSICAL-PROPERTIES; DIURNAL PROCESSES; SEASONAL CYCLE; REGIONS; RADIOMETER; SIGNATURES; SUMMER</t>
  </si>
  <si>
    <t>Snowmelt processes on Antarctic sea ice are examined. We present a simple snowmelt indicator based on diurnal brightness temperature variations from microwave satellite data. The method is validated through extensive field data from the western Weddell Sea and lends itself to the investigation of interannual and spatial variations of the typical snowmelt on Antarctic sea ice. We use in-situ measurements of physical snow properties to show that despite the absence of strong melting, the summer period is distinct from all other seasons with enhanced diurnal variations of snow wetness. A microwave emission model reveals that repeated thawing and refreezing cause the typical microwave emissivity signatures that are found on perennial Antarctic sea ice during summer. The proposed melt indicator accounts for the characteristic phenomenological stages of snowmelt in the Southern Ocean and detects the onset of diurnal snow wetting. An algorithm is presented to map large-scale snowmelt onset based on satellite data from the period between 1988 and 2006. The results indicate strong meridional gradients of snowmelt onset with the Weddell, Amundsen, and Ross Seas showing earliest ( beginning of October) and most frequent snowmelt. Moreover, a distinct interannual variability of melt onset dates and large areas of first-year ice where no diurnal freeze thawing occurs at the surface are determined.</t>
  </si>
  <si>
    <t>[Willmes, Sascha; Bareiss, Joerg] Univ Trier, Dept Environm Meteorol, D-54286 Trier, Germany; [Nicolaus, Marcel] Norwegian Polar Res Inst, Polar Environm Ctr, N-9296 Tromso, Norway; [Haas, Christian] Alfred Wegener Inst Polar &amp; Marine Res, Climate Div, D-2850 Bremerhaven, Germany</t>
  </si>
  <si>
    <t>Universitat Trier; Norwegian Polar Institute; Helmholtz Association; Alfred Wegener Institute, Helmholtz Centre for Polar &amp; Marine Research</t>
  </si>
  <si>
    <t>Willmes, S (corresponding author), Univ Trier, Dept Environm Meteorol, Behringstr 21, D-54286 Trier, Germany.</t>
  </si>
  <si>
    <t>willmes@uni-trier.de</t>
  </si>
  <si>
    <t>Nicolaus, Marcel/A-3658-2013; Willmes, Sascha/J-5796-2012; Haas, Christian/L-5279-2016</t>
  </si>
  <si>
    <t>Nicolaus, Marcel/0000-0003-0903-1746; Haas, Christian/0000-0002-7674-3500</t>
  </si>
  <si>
    <t>German Research Foundation (DFG) [HA2724/4-1, BA2060/2-1]</t>
  </si>
  <si>
    <t>German Research Foundation (DFG)(German Research Foundation (DFG))</t>
  </si>
  <si>
    <t>The authors are very grateful to C. Matzler for providing the model MEMLS2. Moreover we would like to thank the ISPOL field party for technical support and encouraging discussions. SSM/I brightness temperatures and sea-ice concentration data were kindly provided by the U. S. National Snow and Ice Data Center (NSIDC), University of Colorado, Boulder; SSM/I swath data by the NASA Global Hydrology Resource Center (GHRC); and active microwave satellite data (ERS, QuikSCAT) by the French Institute for Marine Research (IFREMER). This study was funded by the German Research Foundation (DFG) under contracts HA2724/4-1 and BA2060/2-1.</t>
  </si>
  <si>
    <t>MAR 7</t>
  </si>
  <si>
    <t>C03006</t>
  </si>
  <si>
    <t>10.1029/2008JC004919</t>
  </si>
  <si>
    <t>415SK</t>
  </si>
  <si>
    <t>WOS:000263954800001</t>
  </si>
  <si>
    <t>Hjörleifsdóttir, V; Kanamori, H; Tromp, J</t>
  </si>
  <si>
    <t>Hjoerleifsdottir, Vala; Kanamori, Hiroo; Tromp, Jeroen</t>
  </si>
  <si>
    <t>Modeling 3-D wave propagation and finite slip for the 1998 Balleny Islands earthquake</t>
  </si>
  <si>
    <t>JOURNAL OF GEOPHYSICAL RESEARCH-SOLID EARTH</t>
  </si>
  <si>
    <t>MARCH 25; MOMENT TENSOR; ANTARCTIC EARTHQUAKE; CRUSTAL REFLECTION; SURFACE-WAVES; STRIKE-SLIP; RUPTURE; INVERSION; RADIATION; FAULT</t>
  </si>
  <si>
    <t>We simulate surface waves in a 3-D Earth model using a spectral element method for existing kinematic source models of the M-W 8.1, 25 March 1998 Balleny Islands earthquake. The 3-D model incorporates lateral variations in the crust and mantle on the basis of models Crust2.0 and S20RTS. Our objective is to investigate the fit of the observed and simulated long-period surface waves in the hope of improving on the existing source models. We modify a body wave model determined by Henry et al. (2000) to improve the fit of long-period surface waveforms. We demonstrate that adding a smooth component of slip extending over a fault that connects the two subevents determined by Henry et al. (2000), without invoking slip on multiple fault planes or on unconnected fault patches, provides reasonable fits to long-period surface waves as well as body waves.</t>
  </si>
  <si>
    <t>[Hjoerleifsdottir, Vala] Lamont Doherty Earth Observ, Palisades, NY 10964 USA; [Hjoerleifsdottir, Vala; Kanamori, Hiroo; Tromp, Jeroen] CALTECH, Seismol Lab, Div Geol &amp; Planetary Sci, Pasadena, CA 91125 USA; [Tromp, Jeroen] Princeton Univ, Dept Geosci, Princeton, NJ 08544 USA</t>
  </si>
  <si>
    <t>Columbia University; California Institute of Technology; Princeton University</t>
  </si>
  <si>
    <t>Hjörleifsdóttir, V (corresponding author), Lamont Doherty Earth Observ, POB 1000,61 Route 9W, Palisades, NY 10964 USA.</t>
  </si>
  <si>
    <t>vala@ldeo.columbia.edu</t>
  </si>
  <si>
    <t>Tromp, Jeroen/B-6185-2015</t>
  </si>
  <si>
    <t>Tromp, Jeroen/0000-0002-2742-8299</t>
  </si>
  <si>
    <t>National Science Foundation [EAR-0711177]; Seismolab [10013]</t>
  </si>
  <si>
    <t>National Science Foundation(National Science Foundation (NSF)); Seismolab</t>
  </si>
  <si>
    <t>We acknowledge support by the National Science Foundation under grant EAR-0711177. This is Seismolab contribution 10013. The numerical simulations for this research were performed on Caltech's Division of Geological and Planetary Sciences Dell cluster. We thank Goran Ekstrom for helpful suggestions. The comments of Keiko Kuge and an anonymous reviewer improved the manuscript.</t>
  </si>
  <si>
    <t>2169-9313</t>
  </si>
  <si>
    <t>2169-9356</t>
  </si>
  <si>
    <t>J GEOPHYS RES-SOL EA</t>
  </si>
  <si>
    <t>J. Geophys. Res.-Solid Earth</t>
  </si>
  <si>
    <t>MAR 4</t>
  </si>
  <si>
    <t>B03301</t>
  </si>
  <si>
    <t>10.1029/2008JB005975</t>
  </si>
  <si>
    <t>415SQ</t>
  </si>
  <si>
    <t>WOS:000263955700002</t>
  </si>
  <si>
    <t>Matallanas, Jesus</t>
  </si>
  <si>
    <t>Description of Ophthalmolycus andersoni sp nov (Pisces, Zoarcidae) from the Antarctic Ocean</t>
  </si>
  <si>
    <t>Antarctic Peninsula; eelpout; new species; taxonomy</t>
  </si>
  <si>
    <t>A new species of zoarcid fish is described on the basis of three specimens collected from the Antarctic Peninsula, Antarctic Ocean. The new species can be distinguished from its congeners by its body shape and pigment pattern, and by the following combination of characters: 6 branchiostegal rays; pectoral-fin origin well below midbody, pectoral base extending ventrally to abdomen; lateral line double with ventral and medio-lateral branches; oral valve not reaching anterior edge of vomer; gill slit extending ventrally well below end of pectoral fin base; vertebrae asymmetrical 22+70-74= 92-96; dorsal fin origin associated with vertebrae 4 or 5 with no supraneurals; pectoral fin rays 16 or 17; 2 postorbital pores ( positions 1 &amp; 4) and 2 well developed pyloric caeca. The relationships of the new species with its congeners are discussed.</t>
  </si>
  <si>
    <t>Univ Autonoma Barcelona, Fac Biociencias, Grp Biodiversidad Anim, Unidad Zool, E-08193 Barcelona, Spain</t>
  </si>
  <si>
    <t>Matallanas, J (corresponding author), Univ Autonoma Barcelona, Fac Biociencias, Grp Biodiversidad Anim, Unidad Zool, E-08193 Barcelona, Spain.</t>
  </si>
  <si>
    <t>Spanish Antarctic Programme (CICYT); Ministerio de Educacion y Ciencia, Spain</t>
  </si>
  <si>
    <t>Spanish Antarctic Programme (CICYT)(Consejo Interinstitucional de Ciencia y Tecnologia (CICYT)); Ministerio de Educacion y Ciencia, Spain(Spanish Government)</t>
  </si>
  <si>
    <t>The BENTART-03 cruise was supported by the Spanish Antarctic Programme ( CICYT). This study was supported by a grant from the Ministerio de Educacion y Ciencia, Spain: Estudio taxonomico de los Zoarcidae (Teleostei: Perciformes) del Mar de Bellingshausen (Oceano Antartico), (CLG2007-28861-E/ANT).</t>
  </si>
  <si>
    <t>10.11646/zootaxa.2027.1.4</t>
  </si>
  <si>
    <t>414QA</t>
  </si>
  <si>
    <t>WOS:000263879100004</t>
  </si>
  <si>
    <t>Yogui, GT; Sericano, JL</t>
  </si>
  <si>
    <t>Yogui, G. T.; Sericano, J. L.</t>
  </si>
  <si>
    <t>Levels and pattern of polybrominated diphenyl ethers in eggs of Antarctic seabirds: Endemic versus migratory species</t>
  </si>
  <si>
    <t>PBDE; Chinstrap penguin; Gentoo penguin; South polar skua; King George Island</t>
  </si>
  <si>
    <t>BROMINATED FLAME RETARDANTS; SOUTH POLAR SKUA; KING GEORGE ISLAND; STANDARD REFERENCE MATERIALS; PENGUIN PYGOSCELIS-ADELIAE; MARINE FOOD-WEB; CATHARACTA-MACCORMICKI; ORGANOCHLORINE POLLUTANTS; CHLORINATED HYDROCARBONS; WINTER DISTRIBUTION</t>
  </si>
  <si>
    <t>Chinstrap and gentoo penguins are endemic species that live year round south of the Antarctic Convergence. South polar skua is a migratory seabird that can be observed in Antarctica during the breeding season (i.e., austral summer). This study compares concentration and pattern of poly-brominated diphenyl ethers (PBDEs) in eggs of seabirds breeding at King George Island Antarctic, Peninsula. PBDEs in south polar skua eggs are approximately 20 times higher than in penguin eggs suggesting that skuas are more exposed to contaminants during the non-breeding season when they migrate to waters of the northern hemisphere. The pattern of PBDE congeners also differs between south polar skua and penguin eggs. The latter exhibited a pattern similar to that found in the local biota. In contrast, the congener pattern in south polar skua eggs suggests that birds breeding at King George Island may winter in the northwestern Pacific Ocean. (C) 2008 Elsevier Ltd. All rights reserved.</t>
  </si>
  <si>
    <t>[Yogui, G. T.; Sericano, J. L.] Texas A&amp;M Univ, Coll Geosci, Geochem &amp; Environm Res Grp, College Stn, TX 77845 USA</t>
  </si>
  <si>
    <t>Texas A&amp;M University System; Texas A&amp;M University College Station</t>
  </si>
  <si>
    <t>Yogui, GT (corresponding author), Texas A&amp;M Univ, Coll Geosci, Geochem &amp; Environm Res Grp, 833 Graham Rd, College Stn, TX 77845 USA.</t>
  </si>
  <si>
    <t>gtyogui@ocean.tamu.edu; jsericano@gerg.tamu.edu</t>
  </si>
  <si>
    <t>Yogui, Gilvan/C-5021-2009</t>
  </si>
  <si>
    <t>Yogui, Gilvan/0000-0002-4720-3337</t>
  </si>
  <si>
    <t>Brazilian Antarctic Program (CNPq) [55.0348/02-6]; Environmental Management of Admiralty Bay, King George Island, Antarctica; College of Geosciences at Texas AM University; Coordena do de Aperfeicoamento de Pessoal de Nivel Superior (CAPES); Ministry of Education, Brazil</t>
  </si>
  <si>
    <t>Brazilian Antarctic Program (CNPq)(Conselho Nacional de Desenvolvimento Cientifico e Tecnologico (CNPQ)); Environmental Management of Admiralty Bay, King George Island, Antarctica; College of Geosciences at Texas AM University; Coordena do de Aperfeicoamento de Pessoal de Nivel Superior (CAPES)(Coordenacao de Aperfeicoamento de Pessoal de Nivel Superior (CAPES)); Ministry of Education, Brazil</t>
  </si>
  <si>
    <t>The authors are thankful to Dr. Rosalinda Montone for the opportunity to participate in the Antarctic expeditions, and Dr. Chuck Kennicutt, Dr. Terry Wade and Dr. Miguel Mora for comments on this manuscript. Field trips to collect samples in Antarctica were financially supported by the Brazilian Antarctic Program (CNPq Project Number 55.0348/02-6; Environmental Management of Admiralty Bay, King George Island, Antarctica: sewage and persistent organic pollutants) and the College of Geosciences at Texas A&amp;M University (through the Pipes Endowed Fellowship). G.T. Yogui was funded by Coordena do de Aperfeicoamento de Pessoal de Nivel Superior (CAPES), Ministry of Education, Brazil.</t>
  </si>
  <si>
    <t>MAR 3</t>
  </si>
  <si>
    <t>10.1016/j.envpol.2008.10.016</t>
  </si>
  <si>
    <t>408SB</t>
  </si>
  <si>
    <t>WOS:000263454100036</t>
  </si>
  <si>
    <t>Lenn, YD; Wiles, PJ; Torres-Valdes, S; Abrahamsen, EP; Rippeth, TP; Simpson, JH; Bacon, S; Laxon, SW; Polyakov, I; Ivanov, V; Kirillov, S</t>
  </si>
  <si>
    <t>Lenn, Y. D.; Wiles, P. J.; Torres-Valdes, S.; Abrahamsen, E. P.; Rippeth, T. P.; Simpson, J. H.; Bacon, S.; Laxon, S. W.; Polyakov, I.; Ivanov, V.; Kirillov, S.</t>
  </si>
  <si>
    <t>Vertical mixing at intermediate depths in the Arctic boundary current</t>
  </si>
  <si>
    <t>OCEAN; TURBULENCE; BASIN; FLOW; SEAS</t>
  </si>
  <si>
    <t>Microstructure and hydrographic observations, during September 2007 in the boundary current on the East Siberian continental slope, document upper ocean stratification and along-stream water mass changes. A thin warm surface layer overrides a shallow halocline characterized by a similar to 40-m thick temperature minimum layer beginning at similar to 30 m depth. Below the halocline, well-defined thermohaline diffusive staircases extended downwards to warm Atlantic Water intrusions found at 200-800 m depth. Observed turbulent eddy kinetic energy dissipations are extremely low (epsilon &lt; 10(-6) W m(-3)), such that double diffusive convection dominates the vertical mixing in the upper-ocean. The diffusive convection heat fluxes F(H)(dc) similar to 1 W m(-2), are an order of magnitude too small to account for the observed along-stream cooling of the boundary current. Our results implicate circulation patterns and the influence of shelf waters in the evolution of the boundary current waters. Citation: Lenn, Y. D., et al. (2009), Vertical mixing at intermediate depths in the Arctic boundary current, Geophys. Res. Lett., 36, L05601, doi:10.1029/2008GL036792.</t>
  </si>
  <si>
    <t>[Lenn, Y. D.; Wiles, P. J.; Rippeth, T. P.; Simpson, J. H.] Bangor Univ, Sch Ocean Sci, Bangor LL59 5AB, Gwynedd, Wales; [Abrahamsen, E. P.] British Antarctic Survey, NERC, Cambridge CB3 0ET, England; [Torres-Valdes, S.; Bacon, S.] Natl Oceanog Ctr, Southampton SO14 3ZH, Hants, England; [Polyakov, I.; Ivanov, V.] Univ Alaska, Int Arctic Res Ctr, Fairbanks, AK 99775 USA; [Kirillov, S.] Arctic &amp; Antarctic Res Inst, St Petersburg 199397, Russia; [Laxon, S. W.] UCL, Ctr Polar Observat &amp; Modelling, London WC1E 6BT, England</t>
  </si>
  <si>
    <t>Bangor University; UK Research &amp; Innovation (UKRI); Natural Environment Research Council (NERC); NERC British Antarctic Survey; NERC National Oceanography Centre; University of Alaska System; University of Alaska Fairbanks; Arctic &amp; Antarctic Research Institute; University of London; University College London</t>
  </si>
  <si>
    <t>Lenn, YD (corresponding author), Bangor Univ, Sch Ocean Sci, Menai Bridge, Bangor LL59 5AB, Gwynedd, Wales.</t>
  </si>
  <si>
    <t>y.lenn@bangor.ac.uk</t>
  </si>
  <si>
    <t>Ivanov, Vladimir/J-5979-2014; Laxon, Seymour/C-1644-2008; Torres Valdés, Sinhué/A-1435-2013; Abrahamsen, Povl/B-2140-2008; Torres-Valdés, Sinhué/O-6436-2019; Bacon, Sheldon/B-1519-2013; Simpson, John Harold/B-2596-2013</t>
  </si>
  <si>
    <t>Ivanov, Vladimir/0000-0003-2569-6027; Torres Valdés, Sinhué/0000-0003-2749-4170; Abrahamsen, Povl/0000-0001-5924-5350; Torres-Valdés, Sinhué/0000-0003-2749-4170; Bacon, Sheldon/0000-0002-2471-9373; Lenn, Yueng-Djern/0000-0001-6031-523X</t>
  </si>
  <si>
    <t>UK Natural Environment Research Council; NERC [bas0100028, bas010013, dml010002, soc010007] Funding Source: UKRI; Natural Environment Research Council [dml010002, bas0100028, soc010007, bas010013] Funding Source: researchfish</t>
  </si>
  <si>
    <t>This study was supported by the UK Natural Environment Research Council ASBO IPY Consortium grant. The authors thank their partners at IARC, Fairbanks, and the captain and crew of the Viktor Buynitsky. We acknowledge Ben Powell for his essential technical support, and are grateful to our reviewers for their constructive comments.</t>
  </si>
  <si>
    <t>L05601</t>
  </si>
  <si>
    <t>10.1029/2008GL036792</t>
  </si>
  <si>
    <t>415PK</t>
  </si>
  <si>
    <t>WOS:000263946300004</t>
  </si>
  <si>
    <t>Fraser, CI; Nikula, R; Spencer, HG; Waters, JM</t>
  </si>
  <si>
    <t>Fraser, Ceridwen I.; Nikula, Raisa; Spencer, Hamish G.; Waters, Jonathan M.</t>
  </si>
  <si>
    <t>Kelp genes reveal effects of subantarctic sea ice during the Last Glacial Maximum</t>
  </si>
  <si>
    <t>Durvillaea antarctica; genetic; phylogeography; raft</t>
  </si>
  <si>
    <t>SOUTHERN-OCEAN; MARINE-ENVIRONMENT; POPULATION-GROWTH; ECOLOGY; PHAEOPHYCEAE; DISTURBANCE; DISPERSAL; CONSEQUENCES; COLONIZATION; BIOGEOGRAPHY</t>
  </si>
  <si>
    <t>The end of the Last Glacial Maximum (LGM) dramatically reshaped temperate ecosystems, with many species moving poleward as temperatures rose and ice receded. Whereas reinvading terrestrial taxa tracked melting glaciers, marine biota recolonized ocean habitats freed by retreating sea ice. The extent of sea ice in the Southern Hemisphere during the LGM has, however, yet to be fully resolved, with most palaeogeographic studies suggesting only minimal or patchy ice cover in subantarctic waters. Here, through population genetic analyses of the widespread Southern Bull Kelp (Durvillaea antarctica), we present evidence for persistent ice scour affecting subantarctic islands during the LGM. Using mitochondrial and chloroplast genetic markers (COI; rbcL) to genetically characterize some 300 kelp samples from 45 Southern Ocean localities, we reveal a remarkable pattern of recent recolonization in the subantarctic. Specifically, in contrast to the marked phylogeographic structure observed across coastal New Zealand and Chile (10-to 100-km scales), subantarctic samples show striking genetic homogeneity over vast distances (10,000-km scales), with a single widespread haplotype observed for each marker. From these results, we suggest that sea ice expanded further and ice scour during the LGM impacted shallow-water subantarctic marine ecosystems more extensively than previously suggested.</t>
  </si>
  <si>
    <t>[Fraser, Ceridwen I.; Nikula, Raisa; Spencer, Hamish G.; Waters, Jonathan M.] Univ Otago, Dept Zool, Allan Wilson Ctr Mol Ecol &amp; Evolut, Dunedin 9016, New Zealand</t>
  </si>
  <si>
    <t>Fraser, CI (corresponding author), Univ Otago, Dept Zool, Allan Wilson Ctr Mol Ecol &amp; Evolut, 340 Great King St, Dunedin 9016, New Zealand.</t>
  </si>
  <si>
    <t>ceridwen.fraser@gmail.com</t>
  </si>
  <si>
    <t>Spencer, Hamish G/B-9637-2008; Nikula, Raisa A-M/B-4137-2011; Waters, Jonathan/B-4983-2009</t>
  </si>
  <si>
    <t>Spencer, Hamish G/0000-0001-7531-597X; Waters, Jonathan/0000-0002-1514-7916; Fraser, Ceridwen/0000-0002-6918-8959</t>
  </si>
  <si>
    <t>South African National Antarctic Program; Marsden, Department of Zoology [07-UOO-099]; University of Otago; Shackleton Scholarship; Department of Zoology; Allan Wilson Centre for Molecular Ecology and Evolution</t>
  </si>
  <si>
    <t>South African National Antarctic Program; Marsden, Department of Zoology(Royal Society of New ZealandMarsden Fund (NZ)); University of Otago; Shackleton Scholarship; Department of Zoology; Allan Wilson Centre for Molecular Ecology and Evolution</t>
  </si>
  <si>
    <t>We are enormously grateful to the numerous individuals and organizations who assisted with and funded this work. We thank the South African National Antarctic Program for supporting field trips to Marion and Gough Islands. For field support/sample collection, we thank: Isabelle Ansorge and Rob Anderson (University of Cape Town, Cape Town, South Africa); Paul Brickle, Judith Brown and Ian Strange for field assistance in the Falkland Islands; Marc Lebouvier, Sylvain Gutjahr, Sebastien Mallol, Jean-Philippe Orts, and David Renault (French Polar Institute, IPEV program 136) for collections from Kerguelen and Crozet Islands; Rachel Hadden and Charles Swift (British Antarctic Survey), and the government of South Georgia for collections from South Georgia; Simon Banks (Department of Conservation, Wellington, New Zealand), Gary Wilson and Amelie Auge (University of Otago, Dunedin, New Zealand) for additional collections from Campbell and Enderby Islands; Annelise Wiebkin, James Doube and Robb Clifton (Australian Antarctic Division) for collections from Macquarie Island; Robyn Dunmore (Cawthron Institute, Nelson, New Zealand) for Raramai collections; David Yanez Jaramillo, Erasmo Macaya Horta, and Martin Thiel for help with Chilean fieldwork; Cameron Hay for advice and for facilitating many NZ collections; and the numerous other volunteers who helped in the field. For laboratory assistance and advice, we thank Tania King, Martyn Kennedy, and Yuri Springer; and for comments on geological aspects, Dave Craw. We thank Heritage Expeditions for supporting trips to the New Zealand subantarctic islands via an Enderby Scholarship. This work was funded by Marsden Contract 07-UOO-099, Department of Zoology and University of Otago Research grants to J.M.W.); a Shackleton Scholarship (to C.I.F.); a Department of Zoology funding allocation (to C.I.F.); and Allan Wilson Centre for Molecular Ecology and Evolution funds (to H.G.S.).</t>
  </si>
  <si>
    <t>10.1073/pnas.0810635106</t>
  </si>
  <si>
    <t>414DM</t>
  </si>
  <si>
    <t>WOS:000263844100050</t>
  </si>
  <si>
    <t>Bering, E; Engebretson, M; Holzworth, R; Kadokura, A; Kokorowski, M; Reddell, B; Posch, J; Yamagishi, H</t>
  </si>
  <si>
    <t>Bering, E.; Engebretson, M.; Holzworth, R.; Kadokura, A.; Kokorowski, M.; Reddell, B.; Posch, J.; Yamagishi, H.</t>
  </si>
  <si>
    <t>Simultaneous observations of Pc 1 micropulsation activity and stratospheric electrodynamic perturbations on 27 January</t>
  </si>
  <si>
    <t>ADVANCES IN SPACE RESEARCH</t>
  </si>
  <si>
    <t>Stratospheric conductivity; MeV proton precipitation; Antarctic; Balloon; Electrified extra-tropical cyclone</t>
  </si>
  <si>
    <t>VERTICAL ELECTRIC-FIELD; POLAR PATROL BALLOON; ION-CYCLOTRON WAVES; GLOBAL CIRCUIT; CONDUCTIVITY; PROTON; PRECIPITATION; THUNDERSTORM; RADIATION; WEATHER</t>
  </si>
  <si>
    <t>The 2nd Polar Patrol Balloon campaign (2nd-PPB) was carried out at Syowa Station in Antarctica during 2002-2003. Identical stratospheric balloon payloads were launched as close together in time as allowed by weather conditions to constitute a cluster of balloons during their flights. A very pronounced negative ion conductivity enhancement was observed at 32 km in the stratosphere below the auroral zone on 27 January 2003 from 1500 to 2200 LIT. During this event, the conductivity doubled for an interval of about 7 h. This perturbation was associated with an extensive Pc I or Pi I wave event that was observed by several Antarctic ground stations, balloon PPB 10, and the Polar spacecraft. No appreciable X-ray precipitation was observed in association with this event, which would point to &gt;60 Mev proton precipitation as a possible magnetosphere-stratosphere coupling mechanism responsible for the conductivity enhancement. Such precipitation is consistent with the wave data. During the latter half of the event, E-z was briefly positive. There was a tropospheric Southern Ocean storm system underneath the balloon during this interval. If the event was associated with this storm system and not energetic proton precipitation, the observations imply an electrified Southern Ocean storm and major perturbations in stratospheric conductivity driven by a tropospheric disturbance. This event represents-a poorly understood source for global circuit current. Precipitating energetic proton data from Akebono and NOAA POES spacecraft show significant &gt; 16 MeV precipitation was occurring at the location of PPB 8 but not PPB 10, suggesting that proton precipitation was, in fact, the responsible coupling mechanism. (C) 2008 COSPAR. Published by Elsevier Ltd. All rights reserved.</t>
  </si>
  <si>
    <t>[Bering, E.; Reddell, B.] Univ Houston, Dept Phys, Houston, TX 77204 USA; [Bering, E.] Univ Houston, Dept Elect &amp; Comp Engn, Houston, TX 77204 USA; [Engebretson, M.; Posch, J.] Augsburg Coll, Dept Phys, Minneapolis, MN 55454 USA; [Holzworth, R.; Kokorowski, M.] Univ Washington, Seattle, WA 98195 USA; [Kadokura, A.; Yamagishi, H.] Natl Inst Polar Res, Itabashi Ku, Tokyo 1738515, Japan</t>
  </si>
  <si>
    <t>University of Houston System; University of Houston; University of Houston System; University of Houston; Augsburg University; University of Washington; University of Washington Seattle; Research Organization of Information &amp; Systems (ROIS); National Institute of Polar Research (NIPR) - Japan</t>
  </si>
  <si>
    <t>Bering, E (corresponding author), Univ Houston, Dept Phys, 617 Sci &amp; Res Bldg 1, Houston, TX 77204 USA.</t>
  </si>
  <si>
    <t>eabering@uh.edu</t>
  </si>
  <si>
    <t>US National Science Foundation [OPP-0126483]; NSF [OPP-0341512, ANT-0442648, ANT-0538379]</t>
  </si>
  <si>
    <t>US National Science Foundation(National Science Foundation (NSF)); NSF(National Science Foundation (NSF))</t>
  </si>
  <si>
    <t>The PPB project has been planned and conducted under the PPB Working Group as collaborative research of the NIPR, ISAS, and nationwide Japanese scientists, whose members are gratefully acknowledged. The 2nd-PPB project is based on the fruitful results in the previous 1st-PPB project. We would like to express our special thanks to all the members participated in the 2nd-PPB project, including the members in the JARE-44, who carried out the launching operation at Syowa Station. The University of Houston was supported by the NIPR and by US National Science Foundation award OPP-0126483. The University of Washington was supported by US National Science Foundation award OPP-0126028. Work at Augsburg College was supported by NSF grants OPP-0341512, ANT-0442648, and ANT-0538379. The PEN-GUIn AGOs are a multi-institution project supported by NSF, with A.T. Weatherwax of Siena College as the lead P.I. We thank Janet Green for useful discussions.</t>
  </si>
  <si>
    <t>0273-1177</t>
  </si>
  <si>
    <t>1879-1948</t>
  </si>
  <si>
    <t>ADV SPACE RES</t>
  </si>
  <si>
    <t>Adv. Space Res.</t>
  </si>
  <si>
    <t>MAR 2</t>
  </si>
  <si>
    <t>10.1016/j.asr.2008.06.011</t>
  </si>
  <si>
    <t>Engineering, Aerospace; Astronomy &amp; Astrophysics; Geosciences, Multidisciplinary; Meteorology &amp; Atmospheric Sciences</t>
  </si>
  <si>
    <t>Engineering; Astronomy &amp; Astrophysics; Geology; Meteorology &amp; Atmospheric Sciences</t>
  </si>
  <si>
    <t>420PL</t>
  </si>
  <si>
    <t>WOS:000264301600007</t>
  </si>
  <si>
    <t>Usoskin, IG; Desorgher, L; Velinov, P; Storini, M; Flückiger, E; Bütikofer, R; Kovaltsov, GA</t>
  </si>
  <si>
    <t>Usoskin, Ilya G.; Desorgher, Laurent; Velinov, Peter; Storini, Marisa; Flueckiger, Erwin O.; Buetikofer, Rolf; Kovaltsov, Gennady A.</t>
  </si>
  <si>
    <t>Ionization of the earth's atmosphere by solar and galactic cosmic rays</t>
  </si>
  <si>
    <t>ACTA GEOPHYSICA</t>
  </si>
  <si>
    <t>cosmic rays; atmosphere; ionization; solar activity; solar-terrestrial relations</t>
  </si>
  <si>
    <t>MIDDLE ATMOSPHERE; PARTICLES; IONOSPHERES; MODEL; CODE</t>
  </si>
  <si>
    <t>A brief review of the research of atmospheric effects of cosmic rays is presented. Numerical models are discussed, that are capable to compute the cosmic ray induced ionization at a given location and time. Intercomparison of the models, as well as comparison with fragmentary direct measurements of the atmospheric ionization, validates their applicability for the entire atmosphere and the whole range of the solar activity level variations. The effect of sporadic solar energetic particle events is shown to be limited on the global scale, even for the most severe event, but can be very strong locally in polar regions, affecting the physical-chemical properties of the upper atmosphere, especially at high altitudes. Thus, a new methodology is presented to study cosmic ray induced ionization of the atmosphere in full detail using realistic numerical models calibrated to direct observations.</t>
  </si>
  <si>
    <t>[Usoskin, Ilya G.] Univ Oulu, Sodankyla Geophys Observ, Oulu, Finland; [Desorgher, Laurent; Flueckiger, Erwin O.; Buetikofer, Rolf] Univ Bern, Inst Phys, Bern, Switzerland; [Velinov, Peter] Bulgarian Acad Sci, Solar Terr Influences Lab, Sofia, Bulgaria; [Storini, Marisa] IFSI Roma INAF, Rome, Italy; [Kovaltsov, Gennady A.] AF Ioffe Phys Tech Inst, St Petersburg 194021, Russia</t>
  </si>
  <si>
    <t>University of Oulu; University of Bern; Bulgarian Academy of Sciences; Russian Academy of Sciences; St. Petersburg Scientific Centre of the Russian Academy of Sciences; Ioffe Physical Technical Institute</t>
  </si>
  <si>
    <t>Usoskin, IG (corresponding author), Univ Oulu, Sodankyla Geophys Observ, Oulu, Finland.</t>
  </si>
  <si>
    <t>Ilya.Usoskin@oulu.fi; desorgher@space.unibe.ch; pvelinov@bas.bg; marisa.storini@ifsi-roma.inaf.it; erwin.flueckiger@space.unibe.ch; rolf.buetikofer@space.unibe.ch</t>
  </si>
  <si>
    <t>Kovaltsov, Gennady A/F-5191-2014; Usoskin, Ilya/E-5089-2014</t>
  </si>
  <si>
    <t>Velinov, Peter I.Y.I./0009-0005-9068-5713; Usoskin, Ilya/0000-0001-8227-9081</t>
  </si>
  <si>
    <t>Swiss National Foundation [2000020-105435/1, 200020-113704/1]; Swiss State Secretariat for Education and Research [COST-724/C05.0034]; NATO [EAP. RIG. 981843]; Antarctic Research Program of Italy; Academy of Finland and Finnish Academy of Sciences and Letters (Vaisala foundation)</t>
  </si>
  <si>
    <t>Swiss National Foundation(Swiss National Science Foundation (SNSF)); Swiss State Secretariat for Education and Research; NATO(NATO (North Atlantic Treaty Organisation)); Antarctic Research Program of Italy; Academy of Finland and Finnish Academy of Sciences and Letters (Vaisala foundation)(Research Council of Finland)</t>
  </si>
  <si>
    <t>The authors are grateful to COST-724 action for support, especially for the Short Term Scientific Mission of IU and PV to Bern in 2005 that gave an opportunity to concentrate efforts on this topic. LD, RB and EOF acknowledge support by the Swiss National Foundation (grants 2000020-105435/1, 200020-113704/1), and by the Swiss State Secretariat for Education and Research (grant COST-724/C05.0034). Research by PV was supported by NATO grant EAP. RIG. 981843. MS thanks the Antarctic Research Program of Italy for supporting the work. GK acknowledges support from the Academy of Finland and Finnish Academy of Sciences and Letters (Vaisala foundation).</t>
  </si>
  <si>
    <t>SPRINGER INTERNATIONAL PUBLISHING AG</t>
  </si>
  <si>
    <t>CHAM</t>
  </si>
  <si>
    <t>GEWERBESTRASSE 11, CHAM, CH-6330, SWITZERLAND</t>
  </si>
  <si>
    <t>1895-6572</t>
  </si>
  <si>
    <t>1895-7455</t>
  </si>
  <si>
    <t>ACTA GEOPHYS</t>
  </si>
  <si>
    <t>Acta Geophys.</t>
  </si>
  <si>
    <t>MAR</t>
  </si>
  <si>
    <t>10.2478/s11600-008-0019-9</t>
  </si>
  <si>
    <t>387ET</t>
  </si>
  <si>
    <t>WOS:000261935200009</t>
  </si>
  <si>
    <t>Flinn, ED</t>
  </si>
  <si>
    <t>Flinn, Edward D.</t>
  </si>
  <si>
    <t>Antarctic balloon launch lifts research hopes</t>
  </si>
  <si>
    <t>AEROSPACE AMERICA</t>
  </si>
  <si>
    <t>AMER INST AERONAUT ASTRONAUT</t>
  </si>
  <si>
    <t>RESTON</t>
  </si>
  <si>
    <t>1801 ALEXANDER BELL DRIVE, STE 500, RESTON, VA 22091-4344 USA</t>
  </si>
  <si>
    <t>0740-722X</t>
  </si>
  <si>
    <t>AEROSPACE AM</t>
  </si>
  <si>
    <t>Aerosp. Am.</t>
  </si>
  <si>
    <t>Engineering, Aerospace</t>
  </si>
  <si>
    <t>Engineering</t>
  </si>
  <si>
    <t>420GW</t>
  </si>
  <si>
    <t>WOS:000264278100007</t>
  </si>
  <si>
    <t>Cassar, N; Barnett, BA; Bender, ML; Kaiser, J; Hamme, RC; Tilbrook, B</t>
  </si>
  <si>
    <t>Cassar, Nicolas; Barnett, Bruce A.; Bender, Michael L.; Kaiser, Jan; Hamme, Roberta C.; Tilbrook, Bronte</t>
  </si>
  <si>
    <t>Continuous High-Frequency Dissolved O2/Ar Measurements by Equilibrator Inlet Mass Spectrometry</t>
  </si>
  <si>
    <t>ANALYTICAL CHEMISTRY</t>
  </si>
  <si>
    <t>TRIPLE ISOTOPE COMPOSITION; SOUTHERN-OCEAN; GAS-EXCHANGE; DIFFUSION COEFFICIENTS; MEMBRANE CONTACTORS; METABOLIC BALANCE; WIND-SPEED; OXYGEN; WATER; SEA</t>
  </si>
  <si>
    <t>The oxygen (O-2) concentration in the surface ocean is influenced by biological and physical processes. With concurrent measurements of argon (Ar), which has similar solubility properties as oxygen, we can remove the physical contribution to O-2 supersdturation and determine the biological oxygen supersaturation. Biological O-2 supersaturation in the surface ocean reflects the net metabolic balance between photosynthesis and respiration, i.e., the net community productivity (NCP). We present a new method for continuous shipboard measurements of O-2/Ar by equilibrator inlet mass spectrometry (EIMS). From these measurements and an appropriate gas exchange parametrization, NCP can be estimated at high spatial and temporal resolution. In the EIMS configuration, seawater from the ship's continuous intake flows through a cartridge enclosing a gas-permeable microporous membrane contactor. Gases in the headspace of the cartridge equilibrate with dissolved gases in the flowing seawater. A fused-silica capillary continuously samples headspace gases, and the O-2/Ar ratio is measured by mass spectrometry. The ion current measurements on the mass spectrometer reflect the partial pressures of dissolved gases in the water flowing through the equilibrator. Calibration of the O-2/Ar ion current ratio (32/40) is performed automatically every 2 h by sampling ambient air through a second capillary. A conceptual model demonstrates that the ratio of gases reaching the mass spectrometer is dependent on several parameters, such as the differences in molecular diffusivities and solubilities of the gases. Laboratory experiments and field observations performed by EIMS are discussed. We also present preliminary evidence that other gas measurements, such as N-2/Ar and PCO2 measurements, may potentially be performed with EIMS. Finally, we compare the characteristics of the EIMS with the previously described membrane inlet mass spectrometry (MIMS) approach.</t>
  </si>
  <si>
    <t>[Cassar, Nicolas; Barnett, Bruce A.; Bender, Michael L.] Princeton Univ, Dept Geosci, Princeton, NJ 08544 USA; [Kaiser, Jan] Univ E Anglia, Sch Environm Sci, Norwich NR4 7TJ, Norfolk, England; [Hamme, Roberta C.] Univ Victoria, Sch Earth &amp; Ocean Sci, Victoria, BC V8W 3P6, Canada; [Tilbrook, Bronte] CSIRO, Wealth Oceans Res Program, Hobart, Tas 7001, Australia; [Tilbrook, Bronte] CSIRO, Antarctic Climate &amp; Ecosyst Cooperat Res Ctr, Hobart, Tas 7001, Australia</t>
  </si>
  <si>
    <t>Princeton University; University of East Anglia; University of Victoria; Commonwealth Scientific &amp; Industrial Research Organisation (CSIRO); Commonwealth Scientific &amp; Industrial Research Organisation (CSIRO); Antarctic Climate &amp; Ecosystems Cooperative Research Centre (ACE CRC)</t>
  </si>
  <si>
    <t>Cassar, N (corresponding author), Princeton Univ, Dept Geosci, Princeton, NJ 08544 USA.</t>
  </si>
  <si>
    <t>ncassar@princeton.edu</t>
  </si>
  <si>
    <t>Hamme, Roberta/AAA-4802-2022; Kaiser, Jan/D-3327-2009; Tilbrook, Bronte/W-4007-2019; Cassar, Nicolas/B-4260-2011</t>
  </si>
  <si>
    <t>Kaiser, Jan/0000-0002-1553-4043; Tilbrook, Bronte/0000-0001-9385-3827; Cassar, Nicolas/0000-0003-0100-3783</t>
  </si>
  <si>
    <t>NASA; NSF; Princeton-BP Amoco Carbon Mitigation Initiative</t>
  </si>
  <si>
    <t>NASA(National Aeronautics &amp; Space Administration (NASA)); NSF(National Science Foundation (NSF)); Princeton-BP Amoco Carbon Mitigation Initiative</t>
  </si>
  <si>
    <t>We are grateful to Peter DiFiore (Princeton, U.S.A.) for operating the EIMS during the SAZ-Sense cruise in the Southern Ocean. We also thank Ralph Keeling (Scripps, U.S.A.) and Hiroaki Yamagishi (NIES, Japan) for helpful discussions. Ibis research was supported by funding from NASA, NSF, and the Princeton-BP Amoco Carbon Mitigation Initiative.</t>
  </si>
  <si>
    <t>0003-2700</t>
  </si>
  <si>
    <t>1520-6882</t>
  </si>
  <si>
    <t>ANAL CHEM</t>
  </si>
  <si>
    <t>Anal. Chem.</t>
  </si>
  <si>
    <t>MAR 1</t>
  </si>
  <si>
    <t>10.1021/ac802300u</t>
  </si>
  <si>
    <t>413AK</t>
  </si>
  <si>
    <t>WOS:000263765100023</t>
  </si>
  <si>
    <t>Duell, R</t>
  </si>
  <si>
    <t>Duell, Robyn</t>
  </si>
  <si>
    <t>Seasonal climate summary southern hemisphere (autumn 2008): a return to neutral ENSO conditions in the tropical Pacific</t>
  </si>
  <si>
    <t>AUSTRALIAN METEOROLOGICAL AND OCEANOGRAPHIC JOURNAL</t>
  </si>
  <si>
    <t>INDIAN-OCEAN; LA-NINA; BLOCKING; MODE</t>
  </si>
  <si>
    <t>Southern hemisphere circulation patterns and associated anomalies for the austral autumn 2008 are reviewed, with emphasis given to the Pacific Basin climate indicators and Australian rainfall and temperature patterns. Autumn 2008 saw the decay of a La Nina event. The La Nina peaked in February 2008 and was the strongest since 1988 by most measures. The Pacific Ocean surface and subsurface gradually warmed through autumn. By the end of May, although some cool anomalies were still present in the central Pacific, most ocean indices were within the El Nino-Southern Oscillation (ENSO) neutral range. In addition, the Southern Oscillation Index (SOI) also fell with each autumn month, reaching a neutral -4.3 in May. In the extra-tropics, the positive phase of the Southern Annular Mode (SAM) that dominated summer 2007-08 switched to a weak negative phase in autumn. The mean sea level pressure (MSLP) and geopotential height patterns that are typical of a negative SAM were evident over the Antarctic region as well as the mid-latitudes of the southern Indian and Atlantic Oceans. In the Indian Ocean, a positive Indian Ocean Dipole sea surface temperature (SST) pattern started to establish itself during May. In the Australian region, the most significant climatic feature for autumn was exceptionally low rainfall. Averaged across the continent Australia had its driest May on record.</t>
  </si>
  <si>
    <t>Bur Meteorol, Natl Climate Ctr, Melbourne, Vic 3001, Australia</t>
  </si>
  <si>
    <t>Bureau of Meteorology - Australia</t>
  </si>
  <si>
    <t>Duell, R (corresponding author), Bur Meteorol, Natl Climate Ctr, GPO Box 1289, Melbourne, Vic 3001, Australia.</t>
  </si>
  <si>
    <t>R.Duell@bom.gov.au</t>
  </si>
  <si>
    <t>AUSTRALIAN BUREAU METEOROLOGY</t>
  </si>
  <si>
    <t>MELBOURNE</t>
  </si>
  <si>
    <t>GPO BOX 1289, MELBOURNE, VIC 3001, AUSTRALIA</t>
  </si>
  <si>
    <t>1836-716X</t>
  </si>
  <si>
    <t>AUST METEOROL OCEAN</t>
  </si>
  <si>
    <t>Aust. Meteorol. Oceanogr. J.</t>
  </si>
  <si>
    <t>10.22499/2.5801.007</t>
  </si>
  <si>
    <t>483IF</t>
  </si>
  <si>
    <t>WOS:000268956100008</t>
  </si>
  <si>
    <t>Goodall-Copestake, WP; Harris, DJ; Hollingsworth, PM</t>
  </si>
  <si>
    <t>Goodall-Copestake, William P.; Harris, David J.; Hollingsworth, Peter M.</t>
  </si>
  <si>
    <t>The origin of a mega-diverse genus: dating Begonia (Begoniaceae) using alternative datasets, calibrations and relaxed clock methods</t>
  </si>
  <si>
    <t>BOTANICAL JOURNAL OF THE LINNEAN SOCIETY</t>
  </si>
  <si>
    <t>18S; autocorrelated relaxed molecular clock; BEAST; fossil constraints; multidivtime; r8s; rbcL; uncorrelated relaxed molecular clock</t>
  </si>
  <si>
    <t>BAYESIAN PHYLOGENETIC INFERENCE; ESTIMATING DIVERGENCE TIMES; MOLECULAR CLOCK; DNA-SEQUENCES; ABSOLUTE RATES; EVOLUTION; NUCLEAR; HETEROGENEITY; ANGIOSPERMS; AGE</t>
  </si>
  <si>
    <t>Begonia is a mega-diverse genus comprising c. 1500 species of herbs, shrubs and epiphytes with a near pantropical distribution. Previous date estimates for the most recent common ancestor of Begonia have placed the evolution of this genus into a broad temporal context, but the issue of an absolute date estimate remains open. In this study, we attempt to estimate absolute DNA divergence dates for Begonia and, in doing so, address some of many the factors that can affect such estimates. The largest source of variance in our estimates was because of uncertainty with the calibration constraints and phylogenetic distance between these constraints and Begonia. Another large source of variance was due to the alternative methods of analysis investigated. Less variance was as a result of the alternative DNA datasets and combinations of calibration constraints assessed. Our date estimates suggest that the most recent common ancestor of Begonia could have diversified from the end of the Cretaceous to the beginning of the Neogene, probably during a period of global cooling from the mid Eocene to early Oligocene. These estimates imply that the near pantropical distribution of extant Begonia was generated by intercontinental dispersal after the ancient inferred break up of the supercontinent, Gondwana. (C) 2009 The Linnean Society of London, Botanical Journal of the Linnean Society, 2009, 159, 363-380.</t>
  </si>
  <si>
    <t>[Goodall-Copestake, William P.; Harris, David J.; Hollingsworth, Peter M.] Royal Bot Garden Edinburgh, Edinburgh EH3 5LR, Midlothian, Scotland</t>
  </si>
  <si>
    <t>Goodall-Copestake, WP (corresponding author), British Antarctic Survey, Nat Environm Res Council, Madingley Rd, Cambridge CB3 0ET, England.</t>
  </si>
  <si>
    <t>wgco@bas.ac.uk</t>
  </si>
  <si>
    <t>Goodall-Copestake, William/CAF-6866-2022; Goodall-Copestake, William P/C-1061-2011</t>
  </si>
  <si>
    <t>Hollingsworth, Peter/0000-0003-0602-0654; Goodall-Copestake, Will/0000-0003-3586-9091; Harris, David/0000-0002-6801-2484</t>
  </si>
  <si>
    <t>M. L. MacIntyre Begonia Research Trust</t>
  </si>
  <si>
    <t>We thank all the scientists responsible for generating the DNA sequence accessions used in this study, Vanessa Plana and Susanne Renner for discussing Cucurbitales dating constraints, Joshua Ho, Lars Jermiin, Rod Page and Andrew Rambaut for advice on data analyses, and Chester Sands, James Richardson, Mark Tebbitt and three anonymous reviewers for their comments on the manuscript. This research was supported by the M. L. MacIntyre Begonia Research Trust.</t>
  </si>
  <si>
    <t>0024-4074</t>
  </si>
  <si>
    <t>1095-8339</t>
  </si>
  <si>
    <t>BOT J LINN SOC</t>
  </si>
  <si>
    <t>Bot. J. Linnean Soc.</t>
  </si>
  <si>
    <t>10.1111/j.1095-8339.2009.00948.x</t>
  </si>
  <si>
    <t>418XY</t>
  </si>
  <si>
    <t>WOS:000264184600001</t>
  </si>
  <si>
    <t>Ren, JW; Xiao, CD; Hou, SG; Li, YS; Sun, B</t>
  </si>
  <si>
    <t>Ren JiaWen; Xiao Cunde; Hou ShuGui; Li YuanSheng; Sun Bo</t>
  </si>
  <si>
    <t>New focuses of polar ice-core study: NEEM and Dome A</t>
  </si>
  <si>
    <t>CHINESE SCIENCE BULLETIN</t>
  </si>
  <si>
    <t>ice core; Antarctica; Greenland; Dome A; NEEM</t>
  </si>
  <si>
    <t>CLIMATIC RECORD; GISP2</t>
  </si>
  <si>
    <t>Ice core records from polar regions are of great value to study long-term climate and environmental change. Greenland ice-core records are celebrated for their high resolution and have provided very important knowledge for understanding the late Quaternary palaeoclimate, especially in reference to millennial-scale abrupt climatic flips during the last glaciation. Recently, a new project to retrieve a deep ice-core from Greenland known as NEEM for North Greenland Eemian Ice Drilling, has been launched with the main target being the last interglacial period. The new core will help us understand further details of climate changes during a period of warmth as the present. Antarctic ice cores have a unique advantage in providing recovery of longer time-scale paleclimate information and hence are regarded as a crucial pillar to examine climatic cycles on the time-scale of Earth-orbital phenomena. Since the bottom ice in Dome A is estimated to be older than a million years, a deep drilling there becomes a new focus for ice core studies.</t>
  </si>
  <si>
    <t>[Ren JiaWen; Xiao Cunde; Hou ShuGui] Chinese Acad Sci, Environm &amp; Engn Res Inst, State Key Lab Cryospher Sci Cold &amp; Arid Reg, Lanzhou 730000, Peoples R China; [Li YuanSheng; Sun Bo] Polar Res Inst China, Shanghai 200136, Peoples R China</t>
  </si>
  <si>
    <t>Chinese Academy of Sciences; Cold &amp; Arid Regions Environmental &amp; Engineering Research Institute, CAS; Polar Research Institute of China</t>
  </si>
  <si>
    <t>Ren, JW (corresponding author), Chinese Acad Sci, Environm &amp; Engn Res Inst, State Key Lab Cryospher Sci Cold &amp; Arid Reg, Lanzhou 730000, Peoples R China.</t>
  </si>
  <si>
    <t>jwren@lzb.ac.cn</t>
  </si>
  <si>
    <t>lionel, Scotto/K-8141-2012; Jiawen, Ren/K-7734-2012; sun, bo/JFA-9978-2023</t>
  </si>
  <si>
    <t>Hou, Shugui/0000-0002-0905-3542</t>
  </si>
  <si>
    <t>Knowledge Innovation Project of the Chinese Academy of Sciences [KZCX2-SW-354]; National Key Technology Research and Development Program [2006BAB18B01]</t>
  </si>
  <si>
    <t>Knowledge Innovation Project of the Chinese Academy of Sciences(Knowledge Innovation Program of the Chinese Academy of Sciences); National Key Technology Research and Development Program(National Key Technology R&amp;D Program)</t>
  </si>
  <si>
    <t>Supported by Knowledge Innovation Project of the Chinese Academy of Sciences (Grant No. KZCX2-SW-354) and National Key Technology Research and Development Program (Grant No. 2006BAB18B01)</t>
  </si>
  <si>
    <t>1001-6538</t>
  </si>
  <si>
    <t>1861-9541</t>
  </si>
  <si>
    <t>CHINESE SCI BULL</t>
  </si>
  <si>
    <t>Chin. Sci. Bull.</t>
  </si>
  <si>
    <t>10.1007/s11434-009-0012-y</t>
  </si>
  <si>
    <t>418UM</t>
  </si>
  <si>
    <t>WOS:000264174900014</t>
  </si>
  <si>
    <t>Morley, SA; Lurman, GJ; Skepper, JN; Pörtner, HO; Peck, LS</t>
  </si>
  <si>
    <t>Morley, Simon A.; Lurman, Glenn J.; Skepper, Jeremy N.; Poertner, Hans-Otto; Peck, Lloyd S.</t>
  </si>
  <si>
    <t>Thermal plasticity of mitochondria: A latitudinal comparison between Southern Ocean molluscs</t>
  </si>
  <si>
    <t>Antarctica; Congeners; Geographic comparisons; Marine ectotherms; Mitochondrial density; Cristae; Laternula elliptica; Nacella concinna</t>
  </si>
  <si>
    <t>TEMPERATURE-DEPENDENT BIOGEOGRAPHY; MUSCLE METABOLIC CAPACITIES; LATERNULA-ELLIPTICA; PHYSIOLOGICAL-BASIS; ENERGY-METABOLISM; SKELETAL-MUSCLE; FINE-STRUCTURE; BLUE-CRAB; FISH; ACCLIMATION</t>
  </si>
  <si>
    <t>Mitochondrial volume density (Vv((mt,f))), cristae surface density (Sv((im.mt))), cristae surface area (Sv((im,f))) and citrate synthase (CS) activity were analysed as indicators of thermal acclimation in foot muscle of the limpet, Nacella concinna, and the clam, Laternula elliptica, collected from 4 locations within the Southern Ocean, South Georgia (54 degrees S, N. concinna only), Signy (60 degrees S), Jubany (L. elliptica only -62 degrees S) and Rothera (67 degrees S). Animals were acclimated to 0.0 degrees C whilst a sub-set of N. concinna (South Georgia, Signy and Rothera) and L elliptica (Rothera) were acclimated to 3.0 degrees C. At 0.0 degrees C N. concinna had higher Vv((mt,f)), Sv((im,mt)), Sv((im,f)) and muscle fibre specific CS activity than L elliptica which correlated with the more active life style of N. concinna. However, mitochondrial density was very low, 1-2% in both species, suggesting that low temperature compensation of mitochondrial density is not a universal evolutionary response of Antarctic marine ectotherms. Both Sv((im,mt)) and Sv((im,f)) were reduced by warm acclimation of N. concinna. South Georgia N. concinna maintained muscle fibre specific CS activity after acclimation, in contrast to N. concinna from Rothera and Signy and L. elliptica from Rothera, indicating that they have the physiological plasticity to respond to their warmer, more variable thermal environment. Crown Copyright (C) 2008 Published by Elsevier Inc. All rights reserved.</t>
  </si>
  <si>
    <t>[Morley, Simon A.; Lurman, Glenn J.; Peck, Lloyd S.] British Antarctic Survey, Nat Environm Council, Cambridge CB3 0ET, England; [Lurman, Glenn J.] Alfred Wegener Inst Polar &amp; Marine Res, D-27515 Bremerhaven, Germany; [Skepper, Jeremy N.] Univ Cambridge, Dept Anat, Multiimaging Ctr, Cambridge CB2 3DY, England</t>
  </si>
  <si>
    <t>UK Research &amp; Innovation (UKRI); Natural Environment Research Council (NERC); NERC British Antarctic Survey; Helmholtz Association; Alfred Wegener Institute, Helmholtz Centre for Polar &amp; Marine Research; University of Cambridge</t>
  </si>
  <si>
    <t>Morley, SA (corresponding author), British Antarctic Survey, Nat Environm Council, Madingley Rd, Cambridge CB3 0ET, England.</t>
  </si>
  <si>
    <t>smor@bas.ac.uk</t>
  </si>
  <si>
    <t>Pörtner, Hans-O./ISU-9397-2023; Pörtner, Hans-O./K-9429-2016</t>
  </si>
  <si>
    <t>Pörtner, Hans-O./0000-0001-6535-6575</t>
  </si>
  <si>
    <t>NERC Antarctic Funding Initiative [2/34]; BAS core science under the BIOFLAME program; MarCoPoll program of the AWL; NERC [dml011000, bas010015] Funding Source: UKRI; Natural Environment Research Council [bas010015, dml011000] Funding Source: researchfish</t>
  </si>
  <si>
    <t>NERC Antarctic Funding Initiative(UK Research &amp; Innovation (UKRI)Natural Environment Research Council (NERC)); BAS core science under the BIOFLAME program; MarCoPoll program of the AWL; NERC(UK Research &amp; Innovation (UKRI)Natural Environment Research Council (NERC)); Natural Environment Research Council(UK Research &amp; Innovation (UKRI)Natural Environment Research Council (NERC))</t>
  </si>
  <si>
    <t>This study was funded by all NERC Antarctic Funding Initiative grant 2/34, BAS core science under the BIOFLAME program as well as the MarCoPoll program of the AWL. We thank Ian Johnston and Stuart Egginton for discussions on methodology and two anonymous referees for suggestions that greatly improved an earlier version of this manuscript. Pete Rothery provided expert statistical advice. We thank the Rothera and Jubany station/Dallman Lab. dive teams for collecting specimens and maintaining them until tissues were sampled. Rothera diving is supported by the NERC National Scientific Diving Facility at the Scottish Association for Marine Science. T. Hirse (Alfred Wegener Institute) undertook citrate synthase analysis. E. Fitzcharles (BAS) assisted with sample preservation.</t>
  </si>
  <si>
    <t>10.1016/j.cbpa.2008.11.015</t>
  </si>
  <si>
    <t>413GB</t>
  </si>
  <si>
    <t>WOS:000263779800019</t>
  </si>
  <si>
    <t>Schoenberg, PL</t>
  </si>
  <si>
    <t>Schoenberg, Pamela L.</t>
  </si>
  <si>
    <t>A Polarizing Dilemma: Assessing Potential Regulatory Gap-Filling Measures for Arctic and Antarctic Marine Genetic Resource Access and Benefit Sharing</t>
  </si>
  <si>
    <t>CORNELL INTERNATIONAL LAW JOURNAL</t>
  </si>
  <si>
    <t>TRAGEDY; LAW</t>
  </si>
  <si>
    <t>[Schoenberg, Pamela L.] Cornell Law Sch, Ithaca, NY USA</t>
  </si>
  <si>
    <t>Cornell University</t>
  </si>
  <si>
    <t>Schoenberg, PL (corresponding author), Cornell Law Sch, Ithaca, NY USA.</t>
  </si>
  <si>
    <t>CORNELL INT LAW JOURNAL</t>
  </si>
  <si>
    <t>ITHACA</t>
  </si>
  <si>
    <t>CORNELL LAW SCHOOL, ITHACA, NY 14850 USA</t>
  </si>
  <si>
    <t>0010-8812</t>
  </si>
  <si>
    <t>1930-7977</t>
  </si>
  <si>
    <t>CORNELL INT LAW J</t>
  </si>
  <si>
    <t>Cornell Int. Law J.</t>
  </si>
  <si>
    <t>SPR</t>
  </si>
  <si>
    <t>International Relations; Law</t>
  </si>
  <si>
    <t>Social Science Citation Index (SSCI)</t>
  </si>
  <si>
    <t>International Relations; Government &amp; Law</t>
  </si>
  <si>
    <t>529IF</t>
  </si>
  <si>
    <t>WOS:000272508600006</t>
  </si>
  <si>
    <t>Falcini, F; Iudicone, D; Salusti, E</t>
  </si>
  <si>
    <t>Falcini, Federico; Iudicone, Daniele; Salusti, Ettore</t>
  </si>
  <si>
    <t>Potential vorticity estimates of absolute velocities on the Ross Sea shelf</t>
  </si>
  <si>
    <t>Ross Sea; Inverse method; Potential vorticity</t>
  </si>
  <si>
    <t>P-VECTOR METHOD; SOUTHERN-OCEAN; HYDROGRAPHIC DATA; INVERSE METHODS; CIRCULATION; ATLANTIC</t>
  </si>
  <si>
    <t>We analyze absolute velocities on the continental shelf off Cape Adare, in the western sector of the Ross Sea (Antarctica). Such a velocity field is here inferred by using a novel inverse method of absolute velocity determination, namely the tracer PV method, related to potential vorticities of temperature and salinity. This theoretical choice allows us to directly use in situ temperature and salinity data. Moreover, it avoids high-order derivatives, which can give large uncertainties that affect estimates made using previous approaches. The tracer PV method also allows us to separately estimate the steady and non-diffusive component and the unsteady and diffusive components of the flow. The western sector of the Ross Sea is characterized by a surface layer of Antarctic Surface Water over layers of Low Salinity Shelf Water and High Salinity Shelf Water, flowing northward with average velocities similar to 6-7 cm/s. At similar to 200 m depth an intrusion of warmer and saltier Circumpolar Deep Water is also evident in our data. The steady absolute velocities are in good agreement with those obtained from the classical Margules equation, in particular regarding the northward flux of the High Salinity Shelf Water. Furthermore, velocities due to diffusive processes and mesoscale activity are discussed. Finally, a steady thermal approximation is discussed; it allows for a qualitative check of the results by means of temperature horizontal sections only. Published by Elsevier Ltd.</t>
  </si>
  <si>
    <t>[Falcini, Federico] Boston Univ, Dept Earth Sci, Boston, MA 02215 USA; [Iudicone, Daniele] Stn Zool A Dohrn, I-80121 Naples, Italy; [Salusti, Ettore] Univ Roma La Sapienza, Dept Phys, Ist Nazl Fis Nucl, I-00185 Rome, Italy</t>
  </si>
  <si>
    <t>Boston University; Stazione Zoologica Anton Dohrn di Napoli; Istituto Nazionale di Fisica Nucleare (INFN); Sapienza University Rome</t>
  </si>
  <si>
    <t>Falcini, F (corresponding author), Boston Univ, Dept Earth Sci, Boston, MA 02215 USA.</t>
  </si>
  <si>
    <t>federico.falcini@uniroma1.it</t>
  </si>
  <si>
    <t>Iudicone, Daniele/B-9008-2008; Falcini, Federico/HIZ-8183-2022</t>
  </si>
  <si>
    <t>Falcini, Federico/0000-0001-8105-2491; Iudicone, Daniele/0000-0002-7473-394X</t>
  </si>
  <si>
    <t>Italian P.N.R.A.</t>
  </si>
  <si>
    <t>We thank the Italian P.N.R.A. for financial support. We are deeply grateful to Prof. Michael Kurgansky, Dr. Giorgio Budillon and Dr. Giulio Catalano for their help and criticisms and for providing us with interesting data. We must also thank Valerio Bonacquisti and Marco Formenton for collaboration on the early stage of this analysis. Finally, we acknowledge the editor and the three anonymous referees for their criticisms and suggestions that greatly improved the paper.</t>
  </si>
  <si>
    <t>10.1016/j.dsr.2008.10.005</t>
  </si>
  <si>
    <t>411NV</t>
  </si>
  <si>
    <t>WOS:000263657200003</t>
  </si>
  <si>
    <t>Rybalka, N; Andersen, RA; Kostikov, I; Mohr, KI; Massalski, A; Olech, M; Friedl, T</t>
  </si>
  <si>
    <t>Rybalka, Nataliya; Andersen, Robert A.; Kostikov, Igor; Mohr, Kathrin I.; Massalski, Andrzej; Olech, Maria; Friedl, Thomas</t>
  </si>
  <si>
    <t>Testing for endemism, genotypic diversity and species concepts in Antarctic terrestrial microalgae of the Tribonemataceae (Stramenopiles, Xanthophyceae)</t>
  </si>
  <si>
    <t>ENVIRONMENTAL MICROBIOLOGY</t>
  </si>
  <si>
    <t>MOLECULAR PHYLOGENY; RBCL GENE; EVOLUTION; SOILS; SEA; BIODIVERSITY; COMMUNITIES; DISPERSAL; STRAINS; BIOMASS</t>
  </si>
  <si>
    <t>The genetic diversity of all available culture strains of the Tribonemataceae (Stramenopiles, Xanthophyceae) from Antarctica was assessed using the chloroplast-encoded psbA /rbcL spacer region sequences, a highly variable molecular marker, to test for endemism when compared with their closest temperate relatives. There was no species endemic for Antarctica, and no phylogenetic clade corresponded to a limited geographical region. However, species of the Tribonemataceae may have Antarctic populations that are distinct from those of other regions because the Antarctic strain spacer sequences were not identical to sequences from temperate regions. Spacer sequences from five new Antarctic isolates were identical to one or more previously available Antarctic strains, indicating that the Tribonemataceae diversity in Antarctic may be rather limited. Direct comparisons of the spacer sequences and phylogenetic analyses of the more conserved rbcL gene revealed that current morphospecies were inadequate to describe the actual biodiversity of the group. For example, the genus Xanthonema, as currently circumscribed, was paraphyletic. Fortunately, the presence of distinctive sequence regions within the psbA/rbcL spacer, together with differences in the rbcL phylogeny, provided significant autoapomorphic criteria to re-define the Tribonemataceae species.</t>
  </si>
  <si>
    <t>[Mohr, Kathrin I.; Friedl, Thomas] Univ Gottingen, D-37073 Gottingen, Germany; [Rybalka, Nataliya; Kostikov, Igor] Taras Shevchenko Natl Univ, Dept Bot, UA-01017 Kiev, Ukraine; [Andersen, Robert A.] Bigelow Lab Ocean Sci, W Boothbay Harbor, ME 04575 USA; [Massalski, Andrzej] Jan Kochanowski Univ Art &amp; Nat Sci, Inst Biol, Dept Bot, PL-25406 Kielce, Poland; [Olech, Maria] Jagiellonian Univ, Inst Bot, Zdzislaw Czeppe Dept Polar Res &amp; Documentat, PL-31501 Krakow, Poland; [Olech, Maria] Polish Acad Sci, Dept Antarctic Biol, PL-02141 Warsaw, Poland</t>
  </si>
  <si>
    <t>University of Gottingen; Ministry of Education &amp; Science of Ukraine; Taras Shevchenko National University of Kyiv; Bigelow Laboratory for Ocean Sciences; Jan Kochanowski University; Jagiellonian University; Polish Academy of Sciences</t>
  </si>
  <si>
    <t>Friedl, T (corresponding author), Univ Gottingen, Untere Karspule 2, D-37073 Gottingen, Germany.</t>
  </si>
  <si>
    <t>tfriedl@uni-goettingen.de</t>
  </si>
  <si>
    <t>Rybalka, Nataliya/AAX-1258-2020; Friedl, Thomas/AAS-4403-2021; Friedl, Thomas/AAQ-4606-2021; Rybalka, Nataliya/K-7693-2019</t>
  </si>
  <si>
    <t>Rybalka, Nataliya/0000-0002-3250-3679; Friedl, Thomas/0000-0002-4070-776X; Kostikov, Igor/0000-0002-6071-7105</t>
  </si>
  <si>
    <t>DAAD; University of Gottingen; German Federal Ministry of Education; BMBF [01 LC 0026]; USA NSF [0629564]; Direct For Biological Sciences; Division Of Environmental Biology [0629564] Funding Source: National Science Foundation</t>
  </si>
  <si>
    <t>DAAD(Deutscher Akademischer Austausch Dienst (DAAD)); University of Gottingen; German Federal Ministry of Education(Federal Ministry of Education &amp; Research (BMBF)); BMBF(Federal Ministry of Education &amp; Research (BMBF)); USA NSF(National Science Foundation (NSF)); Direct For Biological Sciences; Division Of Environmental Biology(National Science Foundation (NSF)NSF - Directorate for Biological Sciences (BIO))</t>
  </si>
  <si>
    <t>This study was supported by a research scholarship of the DAAD extended to N.R. We appreciate the support extended to N.R. by Dr. G. Berthold, which was made possible through his generous donation to the SAG Culture Collection at the University of Gottingen. Parts of this work were financed by the German Federal Ministry of Education and Research, BMBF (AlgaTerra Project, Grant 01 LC 0026) within the BIOLOG programme. I.K. and N.R. are thankful to National Antarctic Scientific Center of Ukraine for provision of equipment for isolation of Antarctic strains. R.A.A. acknowledges support from USA NSF Grant 0629564. N.R. and T.F. are thankful to Opayi Mudimu, Elke Zufall-Roth, Jessica SchAckermann, Ilse Kunkel and Marlis Heinemann for provision of assistance in molecular methodologies, purification and maintenance of culture strains. We thank Paul Silva for his advice on taxonomic questions.</t>
  </si>
  <si>
    <t>1462-2912</t>
  </si>
  <si>
    <t>1462-2920</t>
  </si>
  <si>
    <t>ENVIRON MICROBIOL</t>
  </si>
  <si>
    <t>Environ. Microbiol.</t>
  </si>
  <si>
    <t>10.1111/j.1462-2920.2008.01787.x</t>
  </si>
  <si>
    <t>412WU</t>
  </si>
  <si>
    <t>WOS:000263755700002</t>
  </si>
  <si>
    <t>Babalola, OO; Kirby, BM; Le Roes-Hill, M; Cook, AE; Cary, SC; Burton, SG; Cowan, DA</t>
  </si>
  <si>
    <t>Babalola, Olubukola O.; Kirby, Bronwyn M.; Le Roes-Hill, Marilize; Cook, Andrew E.; Cary, S. Craig; Burton, Stephanie G.; Cowan, Don A.</t>
  </si>
  <si>
    <t>Phylogenetic analysis of actinobacterial populations associated with Antarctic Dry Valley mineral soils</t>
  </si>
  <si>
    <t>RIBOSOMAL-RNA GENE; SP-NOV.; PSYCHROPHILIC BACTERIUM; DIVERSITY; MODESTOBACTER; AMPLIFICATION; ACTINOMYCETE; EVOLUTION; COMMUNITY; PROPOSAL</t>
  </si>
  <si>
    <t>Despite the apparent severity of the environmental conditions in the McMurdo Dry Valleys, Eastern Antarctica, recent phylogenetic studies conducted on mineral soil samples have revealed the presence of a wide diversity of microorganisms, with actinobacteria representing one of the largest phylotypic groups. Previous metagenomic studies have shown that the majority of Antarctic actinobacterial populations are classified as 'uncultured'. In this study, we assessed the diversity of actinobacteria in Antarctic cold desert soils by complementing traditional culture-based techniques with a metagenomic study. Phylogenetic analysis of clones generated with actinobacterium- and streptomycete-specific PCR primers revealed that the majority of the phylotypes were most closely related to uncultured Pseudonocardia and Nocardioides species. Phylotypes most closely related to a number of rarer actinobacteria genera, including Geodermatophilus, Modestobacter and Sporichthya, were also identified. While complementary culture-dependent studies isolated a number of Nocardia and Pseudonocardia species, the majority of the cultured isolates (&gt; 80%) were Streptomyces species - although phylotypes affiliated to the genus Streptomyces were detected at a low frequency in the metagenomic study. This study confirms that Antarctic Dry Valley desert soil harbours highly diverse actinobacterial communities and suggests that many of the phylotypes identified may represent novel, uncultured species.</t>
  </si>
  <si>
    <t>[Babalola, Olubukola O.; Kirby, Bronwyn M.; Cowan, Don A.] Univ Western Cape, Inst Microbial Biotechnol &amp; Metagenom, Dept Biotechnol, ZA-7535 Bellville, Cape Town, South Africa; [Le Roes-Hill, Marilize; Burton, Stephanie G.] Univ Cape Town, Biotransformat &amp; Tech Biol Grp, Dept Chem Engn, ZA-7701 Rondebosch, South Africa; [Cook, Andrew E.] Univ Queensland, Adv Water Management Ctr, Brisbane, Qld, Australia; [Cary, S. Craig] Univ Waikato, Dept Biol Sci, Hamilton, New Zealand</t>
  </si>
  <si>
    <t>University of the Western Cape; University of Cape Town; University of Queensland; University of Waikato</t>
  </si>
  <si>
    <t>Cowan, DA (corresponding author), Univ Western Cape, Inst Microbial Biotechnol &amp; Metagenom, Dept Biotechnol, Private Bag X17, ZA-7535 Bellville, Cape Town, South Africa.</t>
  </si>
  <si>
    <t>dcowan@uwc.ac.za</t>
  </si>
  <si>
    <t>Cowan, Donald A/E-3991-2012; Babalola, Olubukola Oluranti/HJI-7611-2023; Babalola, Olubukola Oluranti/Y-7564-2019; Burton, Stephanie/G-9674-2011</t>
  </si>
  <si>
    <t>Cowan, Donald A/0000-0001-8059-861X; Babalola, Olubukola Oluranti/0000-0003-4344-1909; Cary, Stephen/0000-0002-2876-2387; Le Roes-Hill, Marilize/0000-0002-1930-2637; Burton, Stephanie/0000-0002-3094-8420</t>
  </si>
  <si>
    <t>National Research Foundation (South Africa)</t>
  </si>
  <si>
    <t>National Research Foundation (South Africa)(National Research Foundation - South Africa)</t>
  </si>
  <si>
    <t>The authors gratefully acknowledge the National Research Foundation (South Africa) for support of this research through the IRDP programme.</t>
  </si>
  <si>
    <t>10.1111/j.1462-2920.2008.01809.x</t>
  </si>
  <si>
    <t>WOS:000263755700003</t>
  </si>
  <si>
    <t>Banks, JC; Cary, SC; Hogg, ID</t>
  </si>
  <si>
    <t>Banks, Jonathan C.; Cary, S. Craig; Hogg, Ian D.</t>
  </si>
  <si>
    <t>The phylogeography of Adelie penguin faecal flora</t>
  </si>
  <si>
    <t>INTERGENIC SPACER ANALYSIS; SP-NOV.; MICROBIAL DIVERSITY; GEOGRAPHICAL-DISTRIBUTION; BACTERIAL DIVERSITY; COMPUTER-PROGRAM; ANCIENT DNA; GENE FLOW; POPULATION; ENDEMICITY</t>
  </si>
  <si>
    <t>The gut of animals changes quickly from a totally sterile environment before birth to a numerous and highly diverse microbial community shortly after birth. However, few studies have examined the source of the bacteria colonizing the gut. We used a genetic based approach to investigate the distribution and acquisition of faecal microbial communities by Adelie penguins, Pygoscelis adeliae, breeding in the Ross Sea region of Antarctica by cloning a portion of the 16S rRNA gene and by automated ribosomal intergenic spacer analysis (ARISA). We hypothesized that bacteria were either acquired from the penguins' neighbours or inherited from their ancestors. Samples were collected from Adelie penguin breeding colonies at the north-western edge of the Ross Sea coast through to the southernmost Adelie penguin colonies on Ross Island. Most of the bacterial sequences we obtained were only distantly homologous with previously published sequences. Bacterial taxa appear to have a restricted distribution as the majority of 16S rRNA clones were isolated from only one or two hosts. Faecal bacterial community similarity was strongly negatively correlated with the genetic distance between hosts suggesting that bacterial communities are inherited. There was little support for a correlation between distance between collection sites and community similarity.</t>
  </si>
  <si>
    <t>[Banks, Jonathan C.; Cary, S. Craig; Hogg, Ian D.] Univ Waikato, Dept Biol Sci, Waikato Mail Ctr, Hamilton 3240, New Zealand</t>
  </si>
  <si>
    <t>University of Waikato</t>
  </si>
  <si>
    <t>Banks, JC (corresponding author), Univ Waikato, Dept Biol Sci, Waikato Mail Ctr, Private Bag 3105, Hamilton 3240, New Zealand.</t>
  </si>
  <si>
    <t>j.banks@waikato.ac.nz</t>
  </si>
  <si>
    <t>Hogg, Ian D./HNS-7393-2023; Banks, Jonathan C/B-9767-2008</t>
  </si>
  <si>
    <t>Hogg, Ian D./0000-0002-6685-0089; Banks, Jonathan/0000-0001-9174-2779; Cary, Stephen/0000-0002-2876-2387</t>
  </si>
  <si>
    <t>New Zealand Foundation for Research Science and Technology [UOWX0504]; University of Waikato Vice Chancellor's research fund; [UOWX0505]</t>
  </si>
  <si>
    <t>New Zealand Foundation for Research Science and Technology(New Zealand Foundation for Research, Science and Technology); University of Waikato Vice Chancellor's research fund;</t>
  </si>
  <si>
    <t>Thanks to Charles Lee, Ian McDonald, Andreas Rueckert and Susie Wood for advice and comments. Logistic support was provided through Antarctica New Zealand. Financial support was provided by the New Zealand Foundation for Research Science and Technology through a postdoctoral fellowship for JCB (UOWX0504) and research contract UOWX0505, and from the University of Waikato Vice Chancellor's research fund. This work contributes to the Latitudinal Gradient Project (LGP) and the Evolution and Biodiversity in the Antarctic (EBA) programme.</t>
  </si>
  <si>
    <t>10.1111/j.1462-2920.2008.01816.x</t>
  </si>
  <si>
    <t>WOS:000263755700004</t>
  </si>
  <si>
    <t>Amato, P; Doyle, S; Christner, BC</t>
  </si>
  <si>
    <t>Amato, Pierre; Doyle, Shawn; Christner, Brent C.</t>
  </si>
  <si>
    <t>Macromolecular synthesis by yeasts under frozen conditions</t>
  </si>
  <si>
    <t>LAKE VOSTOK; ICE; BACTERIA; MICROORGANISMS; TEMPERATURE; GROWTH; MODEL; SOIL; PERMAFROST; RECOVERY</t>
  </si>
  <si>
    <t>Although viable fungi have been recovered from a wide variety of icy environments, their metabolic capabilities under frozen conditions are still largely unknown. We investigated basidiomycetous yeasts isolated from an Antarctic ice core and showed that after freezing at a relatively slow rate (0.8 degrees C min(-1)), the cells are excluded into veins of liquid at the triple junctions of ice crystals. These strains were capable of reproductive growth at -5 degrees C under liquid conditions. Under frozen conditions, metabolic activity was assessed by measuring rates of [H-3]leucine incorporation into the acid-insoluble macromolecular fraction, which decreased exponentially at temperatures between 15 degrees C and -15 degrees C and was inhibited by the protein synthesis inhibitor cycloheximide. Experiments at -5 degrees C under frozen and liquid conditions revealed 2-3 orders of magnitude lower rates of endogenous metabolism in ice, likely due to the high salinity in the liquid fraction of the ice (equivalent of approximate to 1.4 mol l(-1) of NaCl at -5 degrees C). The mesophile Saccharomyces cerevisae also incorporated [H-3]leucine at -5 degrees C and -15 degrees C, indicating that this activity is not exclusive to cold-adapted microorganisms. The ability of yeast cells to incorporate amino acid substrates into macromolecules and remain metabolically active under these conditions has implications for understanding the survival of Eukarya in icy environments.</t>
  </si>
  <si>
    <t>[Amato, Pierre; Doyle, Shawn; Christner, Brent C.] Louisiana State Univ, Dept Biol Sci, Baton Rouge, LA 70803 USA</t>
  </si>
  <si>
    <t>Louisiana State University System; Louisiana State University</t>
  </si>
  <si>
    <t>Amato, P (corresponding author), UAPV, INRA, UMR 1114, EMMAH, Domaine St Paul, F-84914 Avignon, France.</t>
  </si>
  <si>
    <t>pamato1@lsu.edu</t>
  </si>
  <si>
    <t>Amato, Pierre/E-8912-2018</t>
  </si>
  <si>
    <t>Amato, Pierre/0000-0003-3168-0398; Doyle, Shawn/0000-0001-9818-0115</t>
  </si>
  <si>
    <t>NSF [OPP-0085400]; [EAR-0525567]; [OPP-0636828]</t>
  </si>
  <si>
    <t>NSF(National Science Foundation (NSF)); ;</t>
  </si>
  <si>
    <t>We thank John Priscu for initially supporting microbiological work on the Vostok ice core through NSF Grant OPP-0085400, Brianna Arnold for laboratory assistance, Steve Jepsen for help with the water activity calculations, Mark Skidmore and Scott Montross for ion chromatographic measurements, Ginger Brininstool for providing cultures of S. cerevisae, and Meredith Blackwell for identifying the yeast species used in this study. We are also grateful to two anonymous reviewers for their constructive comments. This work was supported by NSF grants EAR-0525567 and OPP-0636828, awarded to B.C.C.</t>
  </si>
  <si>
    <t>10.1111/j.1462-2920.2008.01829.x</t>
  </si>
  <si>
    <t>WOS:000263755700005</t>
  </si>
  <si>
    <t>Hopkins, DW; Sparrow, AD; Gregorich, EG; Elberling, B; Novis, P; Fraser, F; Scrimgeour, C; Dennis, PG; Meier-Augenstein, W; Greenfield, LG</t>
  </si>
  <si>
    <t>Hopkins, D. W.; Sparrow, A. D.; Gregorich, E. G.; Elberling, B.; Novis, P.; Fraser, F.; Scrimgeour, C.; Dennis, P. G.; Meier-Augenstein, W.; Greenfield, L. G.</t>
  </si>
  <si>
    <t>Isotopic evidence for the provenance and turnover of organic carbon by soil microorganisms in the Antarctic dry valleys</t>
  </si>
  <si>
    <t>ENDOLITHIC MICROBIAL COMMUNITIES; CHLOROPHYLL-A FLUORESCENCE; SOUTHERN VICTORIA LAND; TAYLOR VALLEY; STABLE CARBON; ECOLOGICAL IMPLICATIONS; MATTER TURNOVER; GAS-EXCHANGE; NITROGEN; ECOSYSTEM</t>
  </si>
  <si>
    <t>The extremely cold and arid Antarctic dry valleys are one of the most environmentally harsh terrestrial ecosystems supporting organisms in which the biogeochemical transformations of carbon are exclusively driven by microorganisms. The natural abundance of (13)C and (15)N in source organic materials and soils have been examined to obtain evidence for the provenance of the soil organic matter and the C loss as CO(2) during extended incubation (approximately 1200 days at 10 degrees C under moist conditions) has been used to determine the potential decay of soil organic C. The organic matter in soils remote from sources of liquid water or where lacustrine productivity was low had isotope signatures characteristic of endolithic (lichen) sources, whereas at more sheltered and productive sites, the organic matter in the soils that was a mixture mainly lacustrine detritus and moss-derived organic matter. Soil organic C declined by up to 42% during extended incubation under laboratory conditions (equivalent to 50-73 years in the field on a thermal time basis), indicating relatively fast turnover, consistent with previous studies indicating mean residence times for soil organic C in dry valley soils in the range 52-123 years and also with recent inputs of relatively labile source materials.</t>
  </si>
  <si>
    <t>[Hopkins, D. W.; Fraser, F.; Scrimgeour, C.; Dennis, P. G.; Meier-Augenstein, W.] Scottish Crop Res Inst, Dundee DD2 5DA, Scotland; [Hopkins, D. W.; Dennis, P. G.] Univ Stirling, Sch Biol &amp; Environm Sci, Stirling FK9 4LA, Scotland; [Sparrow, A. D.] Univ Nevada, Dept Nat Resources &amp; Environm Sci, Reno, NV 89512 USA; [Gregorich, E. G.] Agr &amp; Agri Food Canada, Cent Expt Farm, Ottawa, ON K1A 0C6, Canada; [Elberling, B.] Univ Copenhagen, Inst Geog &amp; Geol, DK-1350 Copenhagen K, Denmark; [Elberling, B.] Univ Ctr Svalbard, Longyearbyen, Norway; [Novis, P.] Manaaki Whenua Landcare Res, Lincoln 8152, New Zealand; [Greenfield, L. G.] Univ Canterbury, Sch Biol Sci, Christchurch 1, New Zealand</t>
  </si>
  <si>
    <t>James Hutton Institute; University of Stirling; Nevada System of Higher Education (NSHE); University of Nevada Reno; Agriculture &amp; Agri Food Canada; University of Copenhagen; University Centre Svalbard (UNIS); Landcare Research - New Zealand; University of Canterbury</t>
  </si>
  <si>
    <t>Hopkins, DW (corresponding author), Scottish Crop Res Inst, Dundee DD2 5DA, Scotland.</t>
  </si>
  <si>
    <t>david.hopkins@scri.ac.uk</t>
  </si>
  <si>
    <t>Sparrow, Ashley/D-7872-2011; Dennis, Paul G/H-2141-2017; Gregorich, Edward G./J-9785-2012; fraser, fiona/GZB-0241-2022; Sparrow, Ashley/AAD-7709-2020; Meier-Augenstein, Wolfram/F-1895-2011; Elberling, Bo/M-4000-2014</t>
  </si>
  <si>
    <t>Sparrow, Ashley/0000-0003-0388-8255; Meier-Augenstein, Wolfram/0000-0002-9498-5837; Novis, Phil/0000-0002-8802-4984; Fraser, Fiona/0000-0002-8745-3373; Gregorich, Edward/0000-0003-3652-2946; Elberling, Bo/0000-0002-6023-885X; Hopkins, David/0000-0003-0953-8643</t>
  </si>
  <si>
    <t>Royal Society (of London); TransAntarctic Association; Carnegie Trust for the Universities of Scotland; UK Natural Environment Research Council; Foundation for Research, Science and Technology (New Zealand); Scottish Government Rural Environment Research and Analysis Directorate; Natural Environment Research Council [NE/D00893X/1] Funding Source: researchfish; NERC [NE/D00893X/1] Funding Source: UKRI</t>
  </si>
  <si>
    <t>Royal Society (of London)(Royal Society); TransAntarctic Association; Carnegie Trust for the Universities of Scotland; UK Natural Environment Research Council(UK Research &amp; Innovation (UKRI)Natural Environment Research Council (NERC)); Foundation for Research, Science and Technology (New Zealand)(New Zealand Foundation for Research, Science and Technology); Scottish Government Rural Environment Research and Analysis Directorate; Natural Environment Research Council(UK Research &amp; Innovation (UKRI)Natural Environment Research Council (NERC)); NERC(UK Research &amp; Innovation (UKRI)Natural Environment Research Council (NERC))</t>
  </si>
  <si>
    <t>We are grateful to Antarctica New Zealand for fieldwork and logistic support. We acknowledge Irfon Jones (University of Canterbury) for help with Fig. S1 (Supporting information) and J.A. Raven (University of Dundee) for useful discussion. D.W.H. acknowledges additional support from the Royal Society (of London), the TransAntarctic Association, the Carnegie Trust for the Universities of Scotland and the UK Natural Environment Research Council. P.N. acknowledges support from the Foundation for Research, Science and Technology (New Zealand). Scottish Crop Research Institute is supported by the Scottish Government Rural Environment Research and Analysis Directorate.</t>
  </si>
  <si>
    <t>10.1111/j.1462-2920.2008.01830.x</t>
  </si>
  <si>
    <t>WOS:000263755700006</t>
  </si>
  <si>
    <t>Lanoil, B; Skidmore, M; Priscu, JC; Han, S; Foo, W; Vogel, SW; Tulaczyk, S; Engelhardt, H</t>
  </si>
  <si>
    <t>Lanoil, Brian; Skidmore, Mark; Priscu, John C.; Han, Sukkyun; Foo, Wilson; Vogel, Stefan W.; Tulaczyk, Slawek; Engelhardt, Hermann</t>
  </si>
  <si>
    <t>Bacteria beneath the West Antarctic Ice Sheet</t>
  </si>
  <si>
    <t>MICROBIAL COMMUNITY STRUCTURE; 16S RIBOSOMAL-RNA; LAKE VOSTOK; SUBGLACIAL SEDIMENTS; GLACIER; STREAM; POPULATIONS; SOIL; CELL</t>
  </si>
  <si>
    <t>Subglacial environments, particularly those that lie beneath polar ice sheets, are beginning to be recognized as an important part of Earth's biosphere. However, except for indirect indications of microbial assemblages in subglacial Lake Vostok, Antarctica, no sub-ice sheet environments have been shown to support microbial ecosystems. Here we report 16S rRNA gene and isolate diversity in sediments collected from beneath the Kamb Ice Stream, West Antarctic Ice Sheet and stored for 15 months at 4 degrees C. This is the first report of microbes in samples from the sediment environment beneath the Antarctic Ice Sheet. The cells were abundant (similar to 10(7) cells g(-1)) but displayed low diversity (only five phylotypes), likely as a result of enrichment during storage. Isolates were cold tolerant and the 16S rRNA gene diversity was a simplified version of that found in subglacial alpine and Arctic sediments and water. Although in situ cell abundance and the extent of wet sediments beneath the Antarctic ice sheet can only be roughly extrapolated on the basis of this sample, it is clear that the subglacial ecosystem contains a significant and previously unrecognized pool of microbial cells and associated organic carbon that could potentially have significant implications for global geochemical processes.</t>
  </si>
  <si>
    <t>[Lanoil, Brian; Skidmore, Mark; Han, Sukkyun; Foo, Wilson] Univ Calif Riverside, Dept Environm Sci, Riverside, CA 92506 USA; [Priscu, John C.] Montana State Univ, Dept Land Resources &amp; Environm Sci, Bozeman, MT 59717 USA; [Vogel, Stefan W.; Tulaczyk, Slawek] Univ Calif Santa Cruz, Dept Earth &amp; Planetary Sci, Santa Cruz, CA 95064 USA; [Engelhardt, Hermann] CALTECH, Div Geol &amp; Planetary Sci, Pasadena, CA 91125 USA</t>
  </si>
  <si>
    <t>University of California System; University of California Riverside; Montana State University System; Montana State University Bozeman; University of California System; University of California Santa Cruz; California Institute of Technology</t>
  </si>
  <si>
    <t>Lanoil, B (corresponding author), Univ Alberta, Dept Biol Sci, CW 405 Biol Sci Bldg, Edmonton, AB T6G 2E9, Canada.</t>
  </si>
  <si>
    <t>brian.lanoil@ualberta.ca</t>
  </si>
  <si>
    <t>Skidmore, Mark L/I-4317-2018; Lanoil, Brian/A-2657-2014; Vogel, Stefan/I-1963-2014; Tulaczyk, Slawek/O-7375-2018</t>
  </si>
  <si>
    <t>Tulaczyk, Slawek/0000-0002-9711-4332; Lanoil, Brian/0000-0001-8603-8330; Vogel, Stefan/0000-0002-4350-7130</t>
  </si>
  <si>
    <t>NSF [0314293]; Office of Polar Programs [0440943]; Directorate For Geosciences; Division Of Polar Programs [0838933, 0440943] Funding Source: National Science Foundation; Directorate For Geosciences; Office of Polar Programs (OPP) [0314293] Funding Source: National Science Foundation</t>
  </si>
  <si>
    <t>NSF(National Science Foundation (NSF)); Office of Polar Programs(National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t>
  </si>
  <si>
    <t>We would like to thank Lisa Stein, James Borneman and Marylynn Yates for critical reading of early drafts of the manuscript. We would like to thank Martyn Tranter for helpful discussions regarding the porewater chemistry. We would like to thank anonymous reviewers for comments that greatly improved the clarity of this manuscript. This work was supported by NSF 0314293 to B.D.L. and 0440943 to J.C.P. through the Office of Polar Programs. The sequences were deposited in GenBank under accession numbers EU030484-EU030496 and FJ477325-FJ477333.</t>
  </si>
  <si>
    <t>10.1111/j.1462-2920.2008.01831.x</t>
  </si>
  <si>
    <t>WOS:000263755700007</t>
  </si>
  <si>
    <t>Koch, K; Knoblauch, C; Wagner, D</t>
  </si>
  <si>
    <t>Koch, Katharina; Knoblauch, Christian; Wagner, Dirk</t>
  </si>
  <si>
    <t>Methanogenic community composition and anaerobic carbon turnover in submarine permafrost sediments of the Siberian Laptev Sea</t>
  </si>
  <si>
    <t>ARCHAEAL COMMUNITY; SULFATE REDUCTION; LENA DELTA; ACE LAKE; METHANE FLUXES; 16S RDNA; SP-NOV.; COAST; SENSITIVITY; BACTERIA</t>
  </si>
  <si>
    <t>The Siberian Laptev Sea shelf contains submarine permafrost, which was formed by flooding of terrestrial permafrost with ocean water during the Holocene sea level rise. This flooding resulted in a warming of the permafrost to temperatures close below 0 degrees C. The impact of these environmental changes on methanogenic communities and carbon dynamics in the permafrost was studied in a submarine permafrost core of the Siberian Laptev Sea shelf. Total organic carbon (TOC) content varied between 0.03% and 8.7% with highest values between 53 and 62 m depth below sea floor. In the same depth, maximum methane concentrations (284 nmol CH4 g(-1)) and lowest carbon isotope values of methane (-72.2 parts per thousand VPDB) were measured, latter indicating microbial formation of methane under in situ conditions. The archaeal community structure was assessed by a nested polymerase chain reaction (PCR) amplification for DGGE, followed by sequencing of reamplified bands. Submarine permafrost samples showed a different archaeal community than the nearby terrestrial permafrost. Samples with high methane concentrations were dominated by sequences affiliated rather to the methylotrophic genera Methanosarcina and Methanococcoides as well as to uncultured archaea. The presented results give the first insights into the archaeal community in submarine permafrost and the first evidence for their activity at in situ conditions.</t>
  </si>
  <si>
    <t>[Koch, Katharina; Wagner, Dirk] Alfred Wegener Inst Polar &amp; Marine Res, Res Dept Potsdam, D-14473 Potsdam, Germany; [Knoblauch, Christian] Univ Hamburg, Inst Soil Sci, D-20146 Hamburg, Germany</t>
  </si>
  <si>
    <t>Helmholtz Association; Alfred Wegener Institute, Helmholtz Centre for Polar &amp; Marine Research; University of Hamburg</t>
  </si>
  <si>
    <t>Koch, K (corresponding author), Alfred Wegener Inst Polar &amp; Marine Res, Res Dept Potsdam, Telegrafenberg A45, D-14473 Potsdam, Germany.</t>
  </si>
  <si>
    <t>Katharina.Koch@awi.de</t>
  </si>
  <si>
    <t>Knoblauch, Christian/L-6776-2015; Wagner, Dirk/C-3932-2012</t>
  </si>
  <si>
    <t>Knoblauch, Christian/0000-0002-7147-1008; Wagner, Dirk/0000-0001-5064-497X</t>
  </si>
  <si>
    <t>German Ministry of Education and Research (BMBF); Russian Ministry of Research and Technology</t>
  </si>
  <si>
    <t>German Ministry of Education and Research (BMBF)(Federal Ministry of Education &amp; Research (BMBF)); Russian Ministry of Research and Technology</t>
  </si>
  <si>
    <t>The authors wish to thank Volker Rachold (IASC, formerly Alfred Wegener Institute for Polar and Marine Research, Potsdam) for their leadership of the expedition COAST. Furthermore, we thank Dimitri V. Melnitschenko (Hydro Base Tiksi), Dimitry Yu. Bolshiyanov (Arctic and Antarctic Research Institute, St. Petersburg) and Waldemar Schneider (Alfred Wegener Institute for Polar and Marine Research, Potsdam) for their logistic support. The study is part of the German-Russian project Dynamic and History of Permafrost, which was funded by the German Ministry of Education and Research (BMBF) and the Russian Ministry of Research and Technology.</t>
  </si>
  <si>
    <t>10.1111/j.1462-2920.2008.01836.x</t>
  </si>
  <si>
    <t>WOS:000263755700011</t>
  </si>
  <si>
    <t>Kuhn, E; Bellicanta, GS; Pellizari, VH</t>
  </si>
  <si>
    <t>Kuhn, Emanuele; Bellicanta, Giovani Sebben; Pellizari, Vivian Helena</t>
  </si>
  <si>
    <t>New alk genes detected in Antarctic marine sediments</t>
  </si>
  <si>
    <t>BIODEGRADATION; HYDROCARBONS; HYDROXYLASE; DIVERSITY; PRISTINE; IDENTIFICATION; VARIABILITY; POPULATIONS; BACTERIA; PROGRAM</t>
  </si>
  <si>
    <t>Alkane monooxygenases (Alk) are the key enzymes for alkane degradation. In order to understand the dispersion and diversity of alk genes in Antarctic marine environments, this study analysed by clone libraries the presence and diversity of alk genes (alkB and alkM) in sediments from Admiralty Bay, King George Island, Peninsula Antarctica. The results show a differential distribution of alk genes between the sites, and the predominant presence of new alk genes, mainly in the pristine site. Sequences presented 53.10-69.60% nucleotide identity and 50.90-73.40% amino acid identity to alkB genes described in Silicibacter pomeroyi, Gordonia sp., Prauserella rugosa, Nocardioides sp., Rhodococcus sp., Nocardia farcinica, Pseudomonas putida, Acidisphaera sp., Alcanivorax borkumensis, and alkM described in Acinetobacter sp. This is the first time that the gene alkM was detected and described in Antarctic marine environments. The presence of a range of previously undescribed alk genes indicates the need for further studies in this environment.</t>
  </si>
  <si>
    <t>[Kuhn, Emanuele; Bellicanta, Giovani Sebben; Pellizari, Vivian Helena] Univ Sao Paulo, Inst Biomed Sci, Dept Microbiol, BR-05508900 Sao Paulo, Brazil</t>
  </si>
  <si>
    <t>Pellizari, VH (corresponding author), Univ Sao Paulo, Inst Biomed Sci, Dept Microbiol, Prof Lineu Prestes Ave,1374 Cidade Univ, BR-05508900 Sao Paulo, Brazil.</t>
  </si>
  <si>
    <t>vivianp@usp.br</t>
  </si>
  <si>
    <t>Pellizari, Vivian/J-9153-2012</t>
  </si>
  <si>
    <t>Pellizari, Vivian/0000-0003-2757-6352</t>
  </si>
  <si>
    <t>Brazilian Antarctic Program (PROANTAR); National Council for Scientific and Technological Development (CNPq); Coordenacao de Aperfeicoamento de Pessoal de Nivel Superior (CAPES)</t>
  </si>
  <si>
    <t>Brazilian Antarctic Program (PROANTAR); National Council for Scientific and Technological Development (CNPq)(Conselho Nacional de Desenvolvimento Cientifico e Tecnologico (CNPQ)); Coordenacao de Aperfeicoamento de Pessoal de Nivel Superior (CAPES)(Coordenacao de Aperfeicoamento de Pessoal de Nivel Superior (CAPES))</t>
  </si>
  <si>
    <t>The authors wish to thank Dr Charles Greer (NRC-BRI) for helping with primer design. This research was supported by the Brazilian Antarctic Program (PROANTAR) by grants from the National Council for Scientific and Technological Development (CNPq). E. Kuhn was supported by the Coordenacao de Aperfeicoamento de Pessoal de Nivel Superior (CAPES).</t>
  </si>
  <si>
    <t>10.1111/j.1462-2920.2008.01843.x</t>
  </si>
  <si>
    <t>WOS:000263755700012</t>
  </si>
  <si>
    <t>Freeman, KR; Pescador, MY; Reed, SC; Costello, EK; Robeson, MS; Schmidt, SK</t>
  </si>
  <si>
    <t>Freeman, Kristen R.; Pescador, Monte Y.; Reed, Sasha C.; Costello, Elizabeth K.; Robeson, Michael S.; Schmidt, Steven K.</t>
  </si>
  <si>
    <t>Soil CO2 flux and photoautotrophic community composition in high-elevation, 'barren' soil</t>
  </si>
  <si>
    <t>ANTARCTIC DRY VALLEY; GREEN LAKES VALLEY; MICROBIAL MATS; DESERT CRUSTS; TALUS FIELDS; FRONT RANGE; SEA-LEVEL; ALPINE; DIVERSITY; COLORADO</t>
  </si>
  <si>
    <t>Soil-dominated ecosystems, with little or no plant cover (i.e. deserts, polar regions, high-elevation areas and zones of glacial retreat), are often described as 'barren', despite their potential to host photoautotrophic microbial communities. In high-elevation, subnival zone soil (i.e. elevations higher than the zone of continuous vegetation), the structure and function of these photoautotrophic microbial communities remains essentially unknown. We measured soil CO2 flux at three sites (above 3600 m) and used molecular techniques to determine the composition and distribution of soil photoautotrophs in the Colorado Front Range. Soil CO2 flux data from 2002 and 2007 indicate that light-driven CO2 uptake occurred on most dates. A diverse community of Cyanobacteria, Chloroflexi and eukaryotic algae was present in the top 2 cm of the soil, whereas these clades were nearly absent in deeper soils (2-4 cm). Cyanobacterial communities were composed of lineages most closely related to Microcoleus vaginatus and Phormidium murrayi, eukaryotic photoautotrophs were dominated by green algae, and three novel clades of Chloroflexi were also abundant in the surface soil. During the light hours of the 2007 snow-free measurement period, CO2 uptake was conservatively estimated to be 23.7 g C m(-2) season(-1). Our study reveals that photoautotrophic microbial communities play an important role in the biogeochemical cycling of subnival zone soil.</t>
  </si>
  <si>
    <t>[Freeman, Kristen R.; Pescador, Monte Y.; Reed, Sasha C.; Costello, Elizabeth K.; Robeson, Michael S.; Schmidt, Steven K.] Univ Colorado, Dept Ecol &amp; Evolutionary Biol, Boulder, CO 80309 USA; [Reed, Sasha C.] Univ Colorado, Inst Arctic &amp; Alpine Res, Boulder, CO 80309 USA</t>
  </si>
  <si>
    <t>University of Colorado System; University of Colorado Boulder; University of Colorado System; University of Colorado Boulder</t>
  </si>
  <si>
    <t>Schmidt, SK (corresponding author), Univ Colorado, Dept Ecol &amp; Evolutionary Biol, N122 Ramaley Hall,Campus Box 334, Boulder, CO 80309 USA.</t>
  </si>
  <si>
    <t>Steve.Schmidt@colorado.edu</t>
  </si>
  <si>
    <t>Robeson, Michael Scott/J-5211-2019; Reed, Sasha C/ABE-9476-2020; SCHMIDT, STEVEN K/G-2771-2010</t>
  </si>
  <si>
    <t>Robeson, Michael Scott/0000-0001-7119-6301; Reed, Sasha C/0000-0002-8597-8619; SCHMIDT, STEVEN K/0000-0002-9175-2085</t>
  </si>
  <si>
    <t>NSF [0455606]; Niwot Ridge LTER site; Direct For Biological Sciences; Div Of Molecular and Cellular Bioscience [0455606] Funding Source: National Science Foundation</t>
  </si>
  <si>
    <t>NSF(National Science Foundation (NSF)); Niwot Ridge LTER site; Direct For Biological Sciences; Div Of Molecular and Cellular Bioscience(National Science Foundation (NSF)NSF - Directorate for Biological Sciences (BIO))</t>
  </si>
  <si>
    <t>We thank Andrew King and Andrew Martin for their support in this project. This work was funded by the NSF Microbial Observatories Program (MCB-0455606). Logistical assistance was provided by the Niwot Ridge LTER site.</t>
  </si>
  <si>
    <t>10.1111/j.1462-2920.2008.01844.x</t>
  </si>
  <si>
    <t>WOS:000263755700013</t>
  </si>
  <si>
    <t>Flocco, CG; Gomes, NCM; Mac Cormack, W; Smalla, K</t>
  </si>
  <si>
    <t>Flocco, Cecilia G.; Gomes, Newton C. M.; Mac Cormack, Walter; Smalla, Kornelia</t>
  </si>
  <si>
    <t>Occurrence and diversity of naphthalene dioxygenase genes in soil microbial communities from the Maritime Antarctic</t>
  </si>
  <si>
    <t>POLYCYCLIC AROMATIC-HYDROCARBONS; ORGANIC POLLUTANTS; DEGRADATION GENES; PSEUDOMONAS; BACTERIAL; RHIZOSPHERE; METABOLISM; PLASMID; QUANTIFICATION; BIOREMEDIATION</t>
  </si>
  <si>
    <t>The diversity of naphthalene dioxygenase genes (ndo) in soil environments from the Maritime Antarctic was assessed, dissecting as well the influence of the two vascular plants that grow in the Antarctic: Deschampsia antarctica and Colobanthus quitensis. Total community DNA was extracted from bulk and rhizosphere soil samples from Jubany station and Potter Peninsula, South Shetland Islands. ndo genes were amplified by a nested PCR and analysed by denaturant gradient gel electrophoresis approach (PCR-DGGE) and cloning and sequencing. The ndo-DGGE fingerprints of oil-contaminated soil samples showed even and reproducible patterns, composed of four dominant bands. The presence of vascular plants did not change the relative abundance of ndo genotypes compared with bulk soil. For non-contaminated sites, amplicons were not obtained for all replicates and the variability among the fingerprints was comparatively higher, likely reflecting a lower abundance of ndo genes. The phylogenetic analyses showed that all sequences were affiliated to the nahAc genes closely related to those described for Pseudomonas species and related mobile genetic elements. This study revealed that a microdiversity of nahAc-like genes exists in microbial communities of Antarctic soils and quantitative PCR indicated that their relative abundance was increased in response to anthropogenic sources of pollution.</t>
  </si>
  <si>
    <t>[Flocco, Cecilia G.; Smalla, Kornelia] Fed Res Ctr Cultivated Plants JKI, Julius Kuhn Inst, D-38104 Braunschweig, Germany; [Flocco, Cecilia G.] Consejo Nacl Invest Cient &amp; Tecn, Buenos Aires, DF, Argentina; [Gomes, Newton C. M.] Univ Aveiro, CESAM, Dept Biol, P-3810193 Aveiro, Portugal; [Mac Cormack, Walter] Inst Antartico Argentino, RA-1428 Buenos Aires, DF, Argentina</t>
  </si>
  <si>
    <t>Julius Kuhn-Institut; Consejo Nacional de Investigaciones Cientificas y Tecnicas (CONICET); Universidade de Aveiro; Instituto Antartico Argentino</t>
  </si>
  <si>
    <t>Flocco, CG (corresponding author), Fed Res Ctr Cultivated Plants JKI, Julius Kuhn Inst, Messeweg 11-12, D-38104 Braunschweig, Germany.</t>
  </si>
  <si>
    <t>flocco@ffyb.uba.ar</t>
  </si>
  <si>
    <t>Gomes, Newton Carlos Marcial/K-3211-2015; Gomes, Newton Carlos Marcial/AAV-4603-2021; Gomes, Newton CM/F-7430-2012</t>
  </si>
  <si>
    <t>Gomes, Newton Carlos Marcial/0000-0003-1934-0091; Gomes, Newton Carlos Marcial/0000-0003-1934-0091; Flocco, Cecilia/0000-0001-9370-6130; Mac Cormack, Walter/0000-0002-5280-5463</t>
  </si>
  <si>
    <t>Alexander von Humboldt Foundation; Instituto Antartico Argentino</t>
  </si>
  <si>
    <t>Alexander von Humboldt Foundation(Alexander von Humboldt Foundation); Instituto Antartico Argentino</t>
  </si>
  <si>
    <t>This work was supported by the Alexander von Humboldt Foundation. Field work was supported by Instituto Antartico Argentino and initial sample processing was performed at the University of Buenos Aires. Many thanks to Jubany station crew for logistical support and to E. Krogerrecklenfort and H. Heuer JKI for assistance in real-time PCR analyses.</t>
  </si>
  <si>
    <t>10.1111/j.1462-2920.2008.01858.x</t>
  </si>
  <si>
    <t>WOS:000263755700015</t>
  </si>
  <si>
    <t>Soo, RM; Wood, SA; Grzymski, JJ; McDonald, IR; Cary, SC</t>
  </si>
  <si>
    <t>Soo, Rochelle M.; Wood, Susanna A.; Grzymski, Joseph J.; McDonald, Ian R.; Cary, S. Craig</t>
  </si>
  <si>
    <t>Microbial biodiversity of thermophilic communities in hot mineral soils of Tramway Ridge, Mount Erebus, Antarctica</t>
  </si>
  <si>
    <t>NORTHERN VICTORIA LAND; INTERGENIC SPACER ANALYSIS; ROSS-ISLAND; MT EREBUS; DIVERSITY; BACTERIA; ARCHAEA; DEEP; ENVIRONMENT; FUMAROLES</t>
  </si>
  <si>
    <t>Tramway Ridge, located near the summit of Mount Erebus in Antarctica, is probably the most remote geothermal soil habitat on Earth. Steam fumaroles maintain moist, hot soil environments creating extreme local physicochemical differentials. In this study a culture-independent approach combining automated rRNA intergenic spacer analysis (ARISA) and a 16S rRNA gene library was used to characterize soil microbial (Bacterial and Archaeal) diversity along intense physicochemical gradients. Statistical analysis of ARISA data showed a clear delineation between bacterial community structure at sites close to fumaroles and all other sites. Temperature and pH were identified as the primary drivers of this demarcation. A clone library constructed from a high-temperature site led to the identification of 18 novel bacterial operational taxonomic units (OTUs). All 16S rRNA gene sequences were deep branching and distantly (85-93%) related to other environmental clones. Five of the signatures branched with an unknown group between candidate division OP10 and Chloroflexi. Within this clade, sequence similarity was low, suggesting it contains several yet-to-be described bacterial groups. Five archaeal OTUs were obtained and exhibited high levels of sequence similarity (95-97%) with Crenarchaeota sourced from deep-subsurface environments on two distant continents. The novel bacterial assemblage coupled with the unique archaeal affinities reinvigorates the hypotheses that Tramway Ridge organisms are relics of archaic microbial lineages specifically adapted to survive in this harsh environment and that this site may provide a portal to the deep-subsurface biosphere.</t>
  </si>
  <si>
    <t>[Soo, Rochelle M.; Wood, Susanna A.; McDonald, Ian R.; Cary, S. Craig] Univ Waikato, Dept Biol Sci, Hamilton 3240, New Zealand; [Wood, Susanna A.] Cawthron Inst, Nelson 7001, New Zealand; [Grzymski, Joseph J.] Univ Nevada, Desert Res Inst, Div Earth &amp; Ecosyst Sci, Reno, NV 89506 USA; [Cary, S. Craig] Univ Delaware, Coll Marine &amp; Earth Studies, Lewes, DE 19958 USA</t>
  </si>
  <si>
    <t>University of Waikato; Cawthron Institute; Nevada System of Higher Education (NSHE); University of Nevada Reno; Desert Research Institute NSHE; University of Delaware</t>
  </si>
  <si>
    <t>Cary, SC (corresponding author), Univ Waikato, Dept Biol Sci, Private Bag 3105, Hamilton 3240, New Zealand.</t>
  </si>
  <si>
    <t>caryc@waikato.ac.nz</t>
  </si>
  <si>
    <t>Soo, Rochelle M/A-6505-2018; McDonald, Ian R/A-4851-2008</t>
  </si>
  <si>
    <t>Soo, Rochelle M/0000-0002-8927-2066; McDonald, Ian R/0000-0002-4847-6492; Grzymski, Joseph/0000-0003-2646-8958; Cary, Stephen/0000-0002-2876-2387</t>
  </si>
  <si>
    <t>National Geographic Society; MARSDEN Fund of the Royal Society of New Zealand; New Zealand Foundation for Research, Science and Technology [CAWX0501]</t>
  </si>
  <si>
    <t>National Geographic Society(National Geographic Society); MARSDEN Fund of the Royal Society of New Zealand(Royal Society of New ZealandMarsden Fund (NZ)); New Zealand Foundation for Research, Science and Technology(New Zealand Foundation for Research, Science and Technology)</t>
  </si>
  <si>
    <t>This research was supported through a grant from the National Geographic Society to S.C.C. and a grant from the MARSDEN Fund of the Royal Society of New Zealand to S.C.C. and I.R.M. Antarctic logistic support for event K-023 was provided in full by Antarctica New Zealand. We thank Andreas Rueckert (Waikato University) for construction of the 16S rRNA gene clone library, and Steve Cameron and Anjana Rajendram (Waikato University) for assistance with soil chemistry analysis. S.A.W. thanks the New Zealand Foundation for Research, Science and Technology for postdoctoral fellowship funding (CAWX0501).</t>
  </si>
  <si>
    <t>10.1111/j.1462-2920.2009.01859.x</t>
  </si>
  <si>
    <t>WOS:000263755700016</t>
  </si>
  <si>
    <t>Celussi, M; Paoli, A; Crevatin, E; Bergamasco, A; Margiotta, F; Saggiomo, V; Umani, SF; Del Negro, P</t>
  </si>
  <si>
    <t>Celussi, Mauro; Paoli, Alessandro; Crevatin, Erica; Bergamasco, Andrea; Margiotta, Francesca; Saggiomo, Vincenzo; Umani, Serena Fonda; Del Negro, Paola</t>
  </si>
  <si>
    <t>Short-term under-ice variability of prokaryotic plankton communities in coastal Antarctic waters (Cape Hallett, Ross Sea)</t>
  </si>
  <si>
    <t>Bacteria; Archaea; Flavobacteria; biogeochemical processes; PCR-DGGE; Ross Sea</t>
  </si>
  <si>
    <t>NORTHWESTERN MEDITERRANEAN SEA; DISSOLVED ORGANIC-MATTER; NORTHERN ADRIATIC SEA; MARINE BACTERIOPLANKTON; BACTERIAL-GROWTH; SEASONAL-CHANGES; DIEL VARIATIONS; SOUTHERN-OCEAN; PHYTOPLANKTON; PARTICULATE</t>
  </si>
  <si>
    <t>During the 2006 Italian Antarctic expedition a diel sampling was performed close to Cape Hallett (Ross Sea) during the Austral summer. Under-ice seawater samples (similar to 4 m) were collected every 2 h for 28 h in order to estimate prokaryotic processes' variability and community structure dynamics. Prokaryotic and viral abundances, exoenzymatic activities (beta-glucosidase, chitinase, lipase, alkaline phosphatase and leucine aminopeptidase), prokaryotic carbon production ((3)H-leucine incorporation) and community structure (Denaturing Gradient Gel Electrophoresis - DGGE fingerprints) were analysed. Results showed that the diel variability of the prokaryotic activity followed a variation in salinity, probably as a consequence of the periodical thawing of sea ice (driven by solar radiation and air temperature cycles), while negligible variation in viral and prokaryotic abundances occurred. The Bacterial and Archaeal community structures underwent an Operational Taxonomic Units (OTUs) temporal shift from the beginning to the end of the sampling, while Flavobacteria-specific primers highlighted high variations in this group possibly related to sea ice melting and substrate release. (C) 2008 Elsevier Ltd. All rights reserved.</t>
  </si>
  <si>
    <t>[Celussi, Mauro; Paoli, Alessandro; Crevatin, Erica; Del Negro, Paola] Ist Nazl Oceanog &amp; Geofis Sperimentale OGS, Dipartimento Oceanog Biol, I-34014 Trieste, Italy; [Bergamasco, Andrea] CNR, ISMAR, Ist Sci Marine, Sez Venezia, I-30122 Venice, Italy; [Margiotta, Francesca; Saggiomo, Vincenzo] Stn Zool Anton Dohrn, I-80121 Naples, Italy; [Umani, Serena Fonda] Univ Trieste, Dept Life Sci, I-34127 Trieste, Italy</t>
  </si>
  <si>
    <t>Istituto Nazionale di Oceanografia e di Geofisica Sperimentale; Consiglio Nazionale delle Ricerche (CNR); Istituto di Scienze Marine (ISMAR-CNR); Stazione Zoologica Anton Dohrn di Napoli; University of Trieste</t>
  </si>
  <si>
    <t>Celussi, M (corresponding author), Ist Nazl Oceanog &amp; Geofis Sperimentale OGS, Dipartimento Oceanog Biol, VA Piccard 54, I-34014 Trieste, Italy.</t>
  </si>
  <si>
    <t>mcelussi@ogs.trieste.it</t>
  </si>
  <si>
    <t>Margiotta, Francesca/IST-5703-2023; margiotta, francesca/E-8755-2015; Fonda, Serena/H-6753-2012; CNR, Ismar/P-1247-2014</t>
  </si>
  <si>
    <t>Margiotta, Francesca/0000-0003-0757-5934; CNR, Ismar/0000-0001-5351-1486; Celussi, Mauro/0000-0002-5660-6832; DEL NEGRO, Paola/0000-0003-2465-4896; Bergamasco, Alessandro/0000-0003-3138-8418</t>
  </si>
  <si>
    <t>ACADEMIC PRESS LTD ELSEVIER SCIENCE LTD</t>
  </si>
  <si>
    <t>10.1016/j.ecss.2008.12.014</t>
  </si>
  <si>
    <t>411KM</t>
  </si>
  <si>
    <t>WOS:000263648500006</t>
  </si>
  <si>
    <t>Li, HR; Yu, Y; Luo, W; Zeng, YX; Chen, B</t>
  </si>
  <si>
    <t>Li, Huirong; Yu, Yong; Luo, Wei; Zeng, Yinxin; Chen, Bo</t>
  </si>
  <si>
    <t>Bacterial diversity in surface sediments from the Pacific Arctic Ocean</t>
  </si>
  <si>
    <t>EXTREMOPHILES</t>
  </si>
  <si>
    <t>16S rDNA; The Pacific Arctic Ocean; Sediment; Bacterial</t>
  </si>
  <si>
    <t>SULFATE-REDUCING BACTERIA; 16S RIBOSOMAL-RNA; MICROBIAL COMMUNITY COMPOSITION; SP-NOV.; SUBSEAFLOOR SEDIMENTS; VERTICAL-DISTRIBUTION; METABOLIC-ACTIVITY; MARINE-SEDIMENTS; ORGANIC-CARBON; SEA SEDIMENTS</t>
  </si>
  <si>
    <t>In order to assess bacterial diversity within four surface sediment samples (0-5 cm) collected from the Pacific Arctic Ocean, 16S ribosomal DNA clone library analysis was performed. Near full length 16S rDNA sequences were obtained for 463 clones from four libraries and 13 distinct major lineages of Bacteria were identified (alpha, beta, gamma, delta and epsilon-Proteobacteria, Acidobacteria, Bacteroidetes, Chloroflexi, Actinobacteria, Firmicutes, Planctomycetes, Spirochetes, and Verrucomicrobia). alpha, gamma, and delta-Proteobacteria, Acidobacteria, Bacteroidetes, Actinobacteria were common phylogenetic groups from all the sediments. The gamma-Proteobacteria were the dominant bacterial lineage, representing near or over 50% of the clones. Over 35% of gamma-Proteobacteria clones of four clone library were closely related to cultured bacterial isolates with similarity values ranging from 94 to 100%. The community composition was different among sampling sites, which potentially was related to geochemical differences.</t>
  </si>
  <si>
    <t>[Li, Huirong; Yu, Yong; Luo, Wei; Zeng, Yinxin; Chen, Bo] Polar Res Inst China, SOA Key Lab Polar Sci, Shanghai 200136, Peoples R China</t>
  </si>
  <si>
    <t>Polar Research Institute of China</t>
  </si>
  <si>
    <t>Li, HR (corresponding author), Polar Res Inst China, SOA Key Lab Polar Sci, Shanghai 200136, Peoples R China.</t>
  </si>
  <si>
    <t>lihuirong@pric.gov.cn</t>
  </si>
  <si>
    <t>Luo, Wei/0000-0002-4472-2182</t>
  </si>
  <si>
    <t>National Natural Science Foundation of China [40876097, 40806073]; Chinese National Basic Research Program [2004CB719601]; Polar Strategic Research Foundation of China; Science and Technology Committee of Shanghai, China [052307053]; Ministry of Finance of China</t>
  </si>
  <si>
    <t>National Natural Science Foundation of China(National Natural Science Foundation of China (NSFC)); Chinese National Basic Research Program(National Basic Research Program of China); Polar Strategic Research Foundation of China; Science and Technology Committee of Shanghai, China(Shanghai Science &amp; Technology Committee); Ministry of Finance of China</t>
  </si>
  <si>
    <t>We appreciate the assistance of the crew of the Xuelong and the scientists who collected samples for us on the CHINARE 2003 cruise, especially A. G. Gao, R. J. Wang and M. H. Cai. H. B. Teng, Q. Luo and M. Wang provided useful data analysis and other support during the preparation of the manuscript. Y. H. Su and A. B. Chen helped with sample analysis. We also thank Dr. H. S. Bi for assistance in editing and discussing this manuscript. This work was supported by the National Natural Science Foundation of China (No. 40876097, 40806073), Chinese National Basic Research Program (No. 2004CB719601), Polar Strategic Research Foundation of China, and the program of the Science and Technology Committee of Shanghai, China (052307053). This work is also a part of the Project 'Second Chinese National Arctic Research Expedition' or CHINARE2003 supported by the Ministry of Finance of China and organized by the Chinese Arctic and Antarctic Administration (CAA). The participants in this joint work are from the institutions (e. g., PRIC, FIO, SIO, etc.).</t>
  </si>
  <si>
    <t>SPRINGER JAPAN KK</t>
  </si>
  <si>
    <t>SHIROYAMA TRUST TOWER 5F, 4-3-1 TORANOMON, MINATO-KU, TOKYO, 105-6005, JAPAN</t>
  </si>
  <si>
    <t>1431-0651</t>
  </si>
  <si>
    <t>1433-4909</t>
  </si>
  <si>
    <t>Extremophiles</t>
  </si>
  <si>
    <t>10.1007/s00792-009-0225-7</t>
  </si>
  <si>
    <t>Biochemistry &amp; Molecular Biology; Microbiology</t>
  </si>
  <si>
    <t>413HM</t>
  </si>
  <si>
    <t>WOS:000263784200002</t>
  </si>
  <si>
    <t>Gocheva, YG; Tosi, S; Krumova, ET; Slokoska, LS; Miteva, JG; Vassilev, SV; Angelova, MB</t>
  </si>
  <si>
    <t>Gocheva, Yana G.; Tosi, Solveig; Krumova, Ekaterina Tz.; Slokoska, Lyudmila S.; Miteva, Jeny G.; Vassilev, Spassen V.; Angelova, Maria B.</t>
  </si>
  <si>
    <t>Temperature downshift induces antioxidant response in fungi isolated from Antarctica</t>
  </si>
  <si>
    <t>Antarctica; Fungi; Temperature downshift; Antioxidant enzymes; Carbonyl proteins; Trehalose; Glycogen</t>
  </si>
  <si>
    <t>COLD STRESS-RESPONSE; SACCHAROMYCES-CEREVISIAE; OXIDATIVE STRESS; SUPEROXIDE-DISMUTASE; GROWTH TEMPERATURE; PROTEIN OXIDATION; ESCHERICHIA-COLI; YEAST-CELLS; TREHALOSE; GLYCOGEN</t>
  </si>
  <si>
    <t>Although investigators have been studying the cold-shock response in a variety of organisms for the last two decades or more, comparatively little is known about the difference between antioxidant cell response to cold stress in Antarctic and temperate microorganisms. The change of environmental temperature, which is one of the most common stresses, could be crucial for their use in the biotechnological industry and in ecological research. We compared the effect of short-term temperature downshift on antioxidant cell response in Antarctic and temperate fungi belonging to the genus Penicillium. Our study showed that downshift from an optimal temperature to 15A degrees or 6A degrees C led to a cell response typical of oxidative stress: significant reduction of biomass production; increase in the levels of oxidative damaged proteins and accumulation of storage carbohydrates (glycogen and trehalose) in comparison to growth at optimal temperature. Cell response against cold stress includes also increase in the activities of SOD and CAT, which are key enzymes for directly scavenging reactive oxygen species. This response is more species-dependent than dependent on the degree of cold-shock. Antarctic psychrotolerant strain Penicillium olsonii p14 that is adapted to life in extremely cold conditions demonstrated enhanced tolerance to temperature downshift in comparison with both mesophilic strains (Antarctic Penicillium waksmanii m12 and temperate Penicillium sp. t35).</t>
  </si>
  <si>
    <t>[Gocheva, Yana G.; Krumova, Ekaterina Tz.; Slokoska, Lyudmila S.; Miteva, Jeny G.; Vassilev, Spassen V.; Angelova, Maria B.] Bulgarian Acad Sci, Stephan Angeloff Inst Microbiol, BU-1113 Sofia, Bulgaria; Univ Pavia, Dipartimento Ecol Terr, I-27100 Pavia, Italy</t>
  </si>
  <si>
    <t>Bulgarian Academy of Sciences; Stephan Angeloff Institute of Microbiology, Bulgarian Academy of Sciences; University of Pavia</t>
  </si>
  <si>
    <t>Angelova, MB (corresponding author), Bulgarian Acad Sci, Stephan Angeloff Inst Microbiol, Academician G Bonchev 26, BU-1113 Sofia, Bulgaria.</t>
  </si>
  <si>
    <t>mariange@microbio.bas.bg</t>
  </si>
  <si>
    <t>Tosi, Solveig/AAC-9482-2019; Gocheva, Yana/AAA-5526-2021</t>
  </si>
  <si>
    <t>Tosi, Solveig/0000-0002-6769-6984; Gocheva, Yana/0000-0002-6680-922X</t>
  </si>
  <si>
    <t>Ministry of Education and Science, Bulgaria [VU-B-205/06]</t>
  </si>
  <si>
    <t>Ministry of Education and Science, Bulgaria</t>
  </si>
  <si>
    <t>This work was supported by the NCSI of the Ministry of Education and Science, Bulgaria (grant VU-B-205/06) to which we owe our sincere thanks.</t>
  </si>
  <si>
    <t>CHIYODA FIRST BLDG EAST, 3-8-1 NISHI-KANDA, CHIYODA-KU, TOKYO, 101-0065, JAPAN</t>
  </si>
  <si>
    <t>10.1007/s00792-008-0215-1</t>
  </si>
  <si>
    <t>WOS:000263784200006</t>
  </si>
  <si>
    <t>Ainley, DG; Blight, LK</t>
  </si>
  <si>
    <t>Ainley, David G.; Blight, Louise K.</t>
  </si>
  <si>
    <t>Ecological repercussions of historical fish extraction from the Southern Ocean</t>
  </si>
  <si>
    <t>FISH AND FISHERIES</t>
  </si>
  <si>
    <t>Antarctic marine ecosystem; climate change; ocean food webs; over-fishing regime shift; Southern Annular Mode</t>
  </si>
  <si>
    <t>ANTARCTIC FUR SEALS; ICEFISH CHAMPSOCEPHALUS-GUNNARI; TROPHIC-LEVEL PREDATORS; FJORD NOTOTHENIA-ROSSII; ELEPHANT SEALS; CLIMATE-CHANGE; SHETLAND ISLANDS; MIROUNGA-LEONINA; MARINE MAMMALS; FORAGING AREAS</t>
  </si>
  <si>
    <t>A major mid-1980s shift in ecological structure of significant portions of the Southern Ocean was partially due to the serial depletion of fish by intensive industrial fishing, rather than solely to climate factors as previously hypothesized. Over a brief period (1969-1973), several finfish stocks were on average reduced to &lt; 50%, and finally (mid-1980s) to &lt; 20%, of original size. Despite management actions, few stocks have recovered and some are still declining. Most affected species exhibit K-selected life-history patterns, and before exploitation presumably fluctuated in accordance with infrequent strong year classes, as is true of such fish elsewhere. A climate regime, the Southern Annular Mode, once oscillated between two states, but has remained in its 'positive mode' since the time of the fish extraction. This may have increased finfish vulnerability to exploitation. As breeding stocks decreased, we hypothesize that availability of annually produced juvenile fish fed upon by upper-level predators remained low. Correlations between predator populations and fish biomass in predator foraging areas indicate that southern elephant seal Mirounga leonina, Antarctic fur seal Arctocephalus gazella, gentoo penguin Pygoscelis papua, macaroni penguin Eudyptes chrysolphus and 'imperial' shag Phalacrocorax spp. - all feeding extensively on these fish, and monitored at Marion, Crozet, Kerguelen, Heard, South Georgia, South Orkney and South Shetland Islands, where fishing was concentrated - declined simultaneously during the two periods of heavy fishing. These patterns indicate the past importance of demersal fish as prey in Antarctic marine systems, but determining these interactions' ecological mechanisms may now be impossible.</t>
  </si>
  <si>
    <t>[Ainley, David G.] HT Harvey &amp; Associates, Los Gatos, CA 95032 USA; [Blight, Louise K.] Univ British Columbia, Fisheries Ctr, Project Seahorse, Vancouver, BC V6T 1Z4, Canada</t>
  </si>
  <si>
    <t>University of British Columbia</t>
  </si>
  <si>
    <t>Ainley, DG (corresponding author), HT Harvey &amp; Associates, 983 Univ Ave,Bldg D, Los Gatos, CA 95032 USA.</t>
  </si>
  <si>
    <t>dainley@penguinscience.com</t>
  </si>
  <si>
    <t>National Science Foundation [0440643]; Natural Sciences and Engineering Research Council</t>
  </si>
  <si>
    <t>National Science Foundation(National Science Foundation (NSF)); Natural Sciences and Engineering Research Council(Natural Sciences and Engineering Research Council of Canada (NSERC))</t>
  </si>
  <si>
    <t>Thanks to the efforts of CCAMLR and FAO, fish extraction in the SO is fairly well documented from its inception to the present, and thanks to the efforts of steadfast and sometimes courageous biologists, the trends in a few predator populations have been documented annually through most of the history of the SO fisheries. We also appreciate the counsel, comments and references supplied by G. Ballard, R. Casaux, J. Eastman, W. Fraser, K.-H. Kock, A. Lescroel, D. Pauly, S. Ralston, E. Woehler and four anonymous referees. K. Dugger kindly advised on statistics. DGA's effort was supported by National Science Foundation grant 0440643, while LKB's was funded by a Natural Sciences and Engineering Research Council post-graduate scholarship.</t>
  </si>
  <si>
    <t>1467-2960</t>
  </si>
  <si>
    <t>1467-2979</t>
  </si>
  <si>
    <t>FISH FISH</t>
  </si>
  <si>
    <t>Fish. Fish.</t>
  </si>
  <si>
    <t>10.1111/j.1467-2979.2008.00293.x</t>
  </si>
  <si>
    <t>Fisheries</t>
  </si>
  <si>
    <t>409QG</t>
  </si>
  <si>
    <t>WOS:000263520300002</t>
  </si>
  <si>
    <t>Fernández, D; Calvo, J</t>
  </si>
  <si>
    <t>Fernandez, Daniel A.; Calvo, Jorge</t>
  </si>
  <si>
    <t>Fish muscle: the exceptional case of notothenioids</t>
  </si>
  <si>
    <t>FISH PHYSIOLOGY AND BIOCHEMISTRY</t>
  </si>
  <si>
    <t>Fish muscle; Muscle growth; Fiber size; Notothenioids; Temperature</t>
  </si>
  <si>
    <t>INTRACELLULAR METABOLITE DIFFUSION; FIBER TYPES; MITOCHONDRIAL DISTRIBUTION; ANTARCTIC TELEOST; PROGENITOR CELLS; SKELETAL-MUSCLE; WHITE MUSCLE; TEMPERATURE; EVOLUTION; PERFORMANCE</t>
  </si>
  <si>
    <t>Fish skeletal muscle is an excellent model for studying muscle structure and function, since it has a very well-structured arrangement with different fiber types segregated in the axial and pectoral fin muscles. The morphological and physiological characteristics of the different muscle fiber types have been studied in several teleost species. In fish muscle, fiber number and size varies with the species considered, limiting fish maximum final length due to constraints in metabolites and oxygen diffusion. In this work, we analyze some special characteristics of the skeletal muscle of the suborder Notothenioidei. They experienced an impressive radiation inside Antarctic waters, a stable and cold environment that could account for some of their special characteristics. The number of muscle fibers is very low, 12,700-164,000, in comparison to 550,000-1,200,000 in Salmo salar of similar sizes. The size of the fibers is very large, reaching 600 mu m in diameter, while for example Salmo salar of similar sizes have fibers of 220 mu m maximum diameter. Evolutionary adjustment in cell cycle length for working at low temperature has been shown in Harpagifer antarcticus (111 h at 0A degrees C), when compared to the closely related sub-Antarctic species Harpagifer bispinis (150 h at 5A degrees C). Maximum muscle fiber number decreases towards the more derived notothenioids, a trend that is more related to phylogeny than to geographical distribution (and hence water temperature), with values as low as 3,600 in Harpagifer bispinis. Mitochondria volume density in slow muscles of notothenioids is very high (reaching 0.56) and since maximal rates of substrate oxidation by mitochondria is not enhanced, at least in demersal notothenioids, volume density is the only means of overcoming thermal constraints on oxidative capacity. In brief, some characteristics of the muscles of notothenioids have an apparent phylogenetic component while others seem to be adaptations to low temperature.</t>
  </si>
  <si>
    <t>Austral Ctr Sci Res CADIC CONICET, RA-9410 Ushuaia, Tierra Fuego, Argentina</t>
  </si>
  <si>
    <t>Consejo Nacional de Investigaciones Cientificas y Tecnicas (CONICET)</t>
  </si>
  <si>
    <t>Fernández, D (corresponding author), Austral Ctr Sci Res CADIC CONICET, 200 B Houssay,CC 92 CADIC, RA-9410 Ushuaia, Tierra Fuego, Argentina.</t>
  </si>
  <si>
    <t>dfernandez@cadic.gov.ar</t>
  </si>
  <si>
    <t>Fernandez, Daniel Alfredo/0000-0002-3367-4138</t>
  </si>
  <si>
    <t>CONICET; Agencia de Investigacion Cientifica y Tecnologica (SeCyT); Fundacion Antorchas; European Union</t>
  </si>
  <si>
    <t>CONICET(Consejo Nacional de Investigaciones Cientificas y Tecnicas (CONICET)); Agencia de Investigacion Cientifica y Tecnologica (SeCyT)(Secretaria de Ciencia y Tecnologia (SECYT)); Fundacion Antorchas; European Union(European Union (EU))</t>
  </si>
  <si>
    <t>We would like to thank CONICET, Agencia de Investigacion Cientifica y Tecnologica (SeCyT), Fundacion Antorchas and the European Union for funding previous projects on muscle of notothenioids. We would also like to thank present and past members of the laboratory of Ecophysiology at CADIC for collaboration in these projects. Sandy Becker and Sheryl Macnie helped to improve the English of the manuscript. Comments from two anonymous referees have helped greately to improve the manuscript.</t>
  </si>
  <si>
    <t>0920-1742</t>
  </si>
  <si>
    <t>1573-5168</t>
  </si>
  <si>
    <t>FISH PHYSIOL BIOCHEM</t>
  </si>
  <si>
    <t>Fish Physiol. Biochem.</t>
  </si>
  <si>
    <t>10.1007/s10695-008-9282-6</t>
  </si>
  <si>
    <t>Biochemistry &amp; Molecular Biology; Fisheries; Physiology</t>
  </si>
  <si>
    <t>403CG</t>
  </si>
  <si>
    <t>WOS:000263059000005</t>
  </si>
  <si>
    <t>Fernández, DA; Lattuca, ME; Boy, CC; Pérez, AF; Ceballos, SG; Vanella, FA; Morriconi, ER; Malanga, GF; Aureliano, DR; Rimbau, S; Calvo, J</t>
  </si>
  <si>
    <t>Fernandez, D. A.; Lattuca, M. E.; Boy, C. C.; Perez, A. F.; Ceballos, S. G.; Vanella, F. A.; Morriconi, E. R.; Malanga, G. F.; Aureliano, D. R.; Rimbau, S.; Calvo, J.</t>
  </si>
  <si>
    <t>Energy density of sub-Antarctic fishes from the Beagle Channel</t>
  </si>
  <si>
    <t>Calorimetry; Notothenioids; Energy density; Sub-Antarctic fish</t>
  </si>
  <si>
    <t>SEASONAL-CHANGES; BIOCHEMICAL-COMPOSITION; PROXIMATE COMPOSITION; LIVER; MUSCLE; GONADS; MATURE; SEA; COD</t>
  </si>
  <si>
    <t>The energy density (ED) of nine species of sub-Antarctic fishes was estimated by calorimetry. The fish, seven notothenioids, one atherinopsid and one galaxiid, represents some of the more abundant species in the ichthyofauna of the Beagle Channel. Principal-components analysis (PCA) of the ED of the different organs/tissues indicated that PC1 and PC2 accounted for 87% of the variability. Separation along PC1 corresponded to differences in muscle and liver energy densities whereas separation along PC2 corresponded to differences in the ED of the gonads. Differences between species were significant except for P. sima. Inclusion of the gonadosomatic index (GSI) as an explanatory variable enabled us to establish the existence of energy transfer from muscle and liver to the gonads in ripe P. tessellata females. Total ED values varied between 4.21 and 6.26 kJ g(-1), the pelagic Odontesthes sp. being the species with the highest ED. A significant relationship between ED and muscle dry weight (DWM) was found for all the species except P. tessellata. These data are the first direct estimates of ED of fishes from the Beagle Channel.</t>
  </si>
  <si>
    <t>[Fernandez, D. A.; Lattuca, M. E.; Boy, C. C.; Perez, A. F.; Ceballos, S. G.; Vanella, F. A.; Morriconi, E. R.; Malanga, G. F.; Aureliano, D. R.; Rimbau, S.; Calvo, J.] CADIC CONICET, Austral Ctr Sci Res, Lab Ecophysiol, RA-9410 Ushuaia, Tierra Fuego, Argentina</t>
  </si>
  <si>
    <t>Fernández, DA (corresponding author), CADIC CONICET, Austral Ctr Sci Res, Lab Ecophysiol, 200 B Houssay, RA-9410 Ushuaia, Tierra Fuego, Argentina.</t>
  </si>
  <si>
    <t>Agencia de Investigacion Cientifica y Tecnologica (ANCyT); Nacional Park Administration from Argentina (APN); Consejo Nacional de Investigaciones Cientificas y Tecnicas, CONICET [PIP 6187]</t>
  </si>
  <si>
    <t>Agencia de Investigacion Cientifica y Tecnologica (ANCyT)(ANPCyT); Nacional Park Administration from Argentina (APN); Consejo Nacional de Investigaciones Cientificas y Tecnicas, CONICET(Consejo Nacional de Investigaciones Cientificas y Tecnicas (CONICET))</t>
  </si>
  <si>
    <t>We would like to thank Adrian Ayala for collaboration with the calorimetric work and Marcelo Gutierrez for collaboration with the sampling. The work was done with funding from the Agencia de Investigacion Cientifica y Tecnologica (ANCyT), Nacional Park Administration from Argentina (APN), and the Consejo Nacional de Investigaciones Cientificas y Tecnicas (PIP 6187, CONICET).</t>
  </si>
  <si>
    <t>10.1007/s10695-008-9234-1</t>
  </si>
  <si>
    <t>WOS:000263059000016</t>
  </si>
  <si>
    <t>Arkhipkin, AI; Schuchert, PC; Danyushevsky, L</t>
  </si>
  <si>
    <t>Arkhipkin, Alexander I.; Schuchert, Pia C.; Danyushevsky, Leonid</t>
  </si>
  <si>
    <t>Otolith chemistry reveals fine population structure and close affinity to the Pacific and Atlantic oceanic spawning grounds in the migratory southern blue whiting (Micromesistius australis australis)</t>
  </si>
  <si>
    <t>FISHERIES RESEARCH</t>
  </si>
  <si>
    <t>Otolith microchemistry; Southern blue whiting; Micromesistius australis australis; Southwest Atlantic; Southeast Pacific</t>
  </si>
  <si>
    <t>ANTARCTIC CIRCUMPOLAR CURRENT; LASER-ABLATION ICPMS; SOUTHWESTERN ATLANTIC; ELEMENTAL COMPOSITION; STOCK IDENTIFICATION; NEW-ZEALAND; FISH; TRACE; FRONTS; ISLAND</t>
  </si>
  <si>
    <t>Trace elemental signatures of otolith nuclei and edges were analysed by LA-ICP-MS in 514 specimens of the highly migratory oceanic fish southern blue whiting, Micromesistius australis australis, that were caught in their two distant spawning grounds located in the Southwest Atlantic (Patagonian Shelf around the Falkland Islands) and Southeast Pacific (shelf and slope of the southern Chile). The elemental fingerprints in the otolith edges, accumulated during the adult life of M. a. australis were spawning-site specific. Using just four elements (Li, Mg, Sr and Ba), the correct allocation of fish to their sampling areas situated in either Chilean or Falkland spawning grounds was about 90%, meaning the adult fish have a close affinity to their respective spawning grounds. Despite this, chemical concentrations in their otolith cores revealed two clusters of signatures, with the majority of Chilean fish (more than 80%) grouped into Cluster 1, which is characterized by lower Sr concentrations, and about 80% of Patagonian fish grouped into Cluster 2, which is characterized by higher Sr concentration. This most likely indicates that the Chilean spawning population consists of about four fifths of the native fish plus about one fifth of migrants from the Atlantic, and vice versa. Possible ways of the population interchange and migrations of Chilean and Patagonian fish were discussed contributing to identification of their stock status. (C) 2008 Elsevier B.V. All rights reserved.</t>
  </si>
  <si>
    <t>[Arkhipkin, Alexander I.; Schuchert, Pia C.] Falkland Isl Govt, Dept Fisheries, Stanley F1QQ 1ZZ, Falkland Isl, England; [Danyushevsky, Leonid] Univ Tasmania, CODES, ARC Ctr Excellence Ore Deposits, Hobart, Tas 7001, Australia</t>
  </si>
  <si>
    <t>Arkhipkin, AI (corresponding author), Falkland Isl Govt, Dept Fisheries, POB 598, Stanley F1QQ 1ZZ, Falkland Isl, England.</t>
  </si>
  <si>
    <t>aarkhipkin@fisheries.gov.fk</t>
  </si>
  <si>
    <t>Danyushevsky, Leonid/C-5346-2013; Schuchert, Pia/IZP-9807-2023</t>
  </si>
  <si>
    <t>Danyushevsky, Leonid/0000-0003-4050-6850;</t>
  </si>
  <si>
    <t>0165-7836</t>
  </si>
  <si>
    <t>FISH RES</t>
  </si>
  <si>
    <t>Fish Res.</t>
  </si>
  <si>
    <t>2-3</t>
  </si>
  <si>
    <t>10.1016/j.fishres.2008.11.002</t>
  </si>
  <si>
    <t>417PF</t>
  </si>
  <si>
    <t>WOS:000264087800009</t>
  </si>
  <si>
    <t>Mohapatra, RK; Schwenzer, SP; Herrmann, S; Murty, SVS; Ott, U; Gilmour, JD</t>
  </si>
  <si>
    <t>Mohapatra, Ratan K.; Schwenzer, Susanne P.; Herrmann, Siegfried; Murty, S. V. S.; Ott, Ulrich; Gilmour, Jamie D.</t>
  </si>
  <si>
    <t>Noble gases and nitrogen in Martian meteorites Dar al Gani 476, Sayh al Uhaymir 005 and Lewis Cliff 88516: EFA and extra neon</t>
  </si>
  <si>
    <t>SNC METEORITES; SHERGOTTITE METEORITES; ISOTOPIC SYSTEMATICS; EARLY EVOLUTION; ORIGIN; MARS; VOLATILES; EETA-79001; CHEMISTRY; LEW88516</t>
  </si>
  <si>
    <t>Meteorite finds from the terrestrial hot deserts have become a major contributor to the inventory of Martian meteorites. In order to understand their nitrogen and noble gas components, we have carried out stepped heating experiments on samples from two Martian meteorites collected from hot deserts. We measured interior and surface bulk samples, glassy and non-glassy portions of Dar al Gani 476 and Sayh al Uhaymir 005. We have also analyzed noble gases released from the Antarctic shergottite Lewis Cliff 88516 by crushing and stepped heating. For the hot desert meteorites significant terrestrial Ar, Kr, Xe contamination is observed, with an elementally fractionated air (EFA) component dominating the low temperature releases. The extremely low Ar/Kr/Xe ratios of EFA may be the result of multiple episodes of trapping/loss during terrestrial alteration involving aqueous fluids. We suggest fractionation processes similar to those in hot deserts to have acted on Mars, with acidic weathering on the latter possibly even more effective in producing elementally fractionated components. Addition from fission xenon is apparent in DaG 476 and SaU 005. The Ar-Kr-Xe patterns for LEW 88516 show trends as typically observed in shergottites - including evidence for a crush-released component similar to that observed in EETA 79001. A trapped Ne component most prominent in the surface sample of DaG 476 may represent air contamination. It is accompanied by little trapped Ar (Ne-20/Ar-36 &gt; 50) and literature data suggest its presence also in some Antarctic finds. Data for LEW 88516 and literature data, on the other hand, suggest the presence of two trapped Ne components of Martian origin characterized by different Ne-20/Ne-22, possibly related to the atmosphere and the interior. Caution is recommended in interpreting nitrogen and noble gas isotopic signatures of Martian meteorites from hot deserts in terms of extraterrestrial sources and processes. Nevertheless our results provide hope that vice-versa, via noble gases and nitrogen in meteorites and other relevant samples from terrestrial deserts, Martian secondary processes can be studied. (C) 2008 Elsevier Ltd. All rights reserved.</t>
  </si>
  <si>
    <t>[Mohapatra, Ratan K.; Schwenzer, Susanne P.; Herrmann, Siegfried; Ott, Ulrich] Max Planck Inst Chem, D-55128 Mainz, Germany; [Mohapatra, Ratan K.; Murty, S. V. S.] Phys Res Lab, Ahmadabad 38009, Gujarat, India; [Mohapatra, Ratan K.; Gilmour, Jamie D.] Univ Manchester, SEAES, Manchester M13 9PL, Lancs, England</t>
  </si>
  <si>
    <t>Max Planck Society; Department of Space (DoS), Government of India; Physical Research Laboratory - India; University of Manchester</t>
  </si>
  <si>
    <t>Ott, U (corresponding author), Max Planck Inst Chem, Joh J Becher Weg 27, D-55128 Mainz, Germany.</t>
  </si>
  <si>
    <t>ott@mpch-mainz.mpg.de</t>
  </si>
  <si>
    <t>Ott, Ulrich/ABH-2337-2020; Schwenzer, Susanne P/H-6992-2019; Gilmour, Jamie Duncan/G-7515-2011; Mohapatra, Ratan/A-3512-2009</t>
  </si>
  <si>
    <t>Schwenzer, Susanne P/0000-0002-9608-0759; Gilmour, Jamie/0000-0003-1990-8636; Ulrich, Ott/0000-0003-3574-9591; Mohapatra, Ratan/0000-0002-0999-1045</t>
  </si>
  <si>
    <t>Science and Technology Facilities Council [ST/G003068/1, PP/D001099/1] Funding Source: researchfish; STFC [PP/D001099/1, ST/G003068/1] Funding Source: UKRI</t>
  </si>
  <si>
    <t>Science and Technology Facilities Council(UK Research &amp; Innovation (UKRI)Science &amp; Technology Facilities Council (STFC)); STFC(UK Research &amp; Innovation (UKRI)Science &amp; Technology Facilities Council (STFC))</t>
  </si>
  <si>
    <t>10.1016/j.gca.2008.11.030</t>
  </si>
  <si>
    <t>412GX</t>
  </si>
  <si>
    <t>WOS:000263714300019</t>
  </si>
  <si>
    <t>Jin, YK; Lee, J; Hong, JK; Nam, SH</t>
  </si>
  <si>
    <t>Jin, Young Keun; Lee, Joohan; Hong, Jong Kuk; Nam, Sang Heon</t>
  </si>
  <si>
    <t>Is subduction ongoing in the South Shetland Trench, Antarctic Peninsula?: new constraints from crustal structures of outer trench wall</t>
  </si>
  <si>
    <t>GEOSCIENCES JOURNAL</t>
  </si>
  <si>
    <t>South Shetland Trench; Antarctic Peninsula; subduction; seismic structure; Bransfield Basin</t>
  </si>
  <si>
    <t>BRANSFIELD BASIN; WEST ANTARCTICA; DRAKE PASSAGE; MARGIN; RIDGE; PLATE; TECTONICS; SEDIMENTS; ARC</t>
  </si>
  <si>
    <t>The South Shetland Trench (SST) northwest of the South Shetland Islands is the only trench along the Pacific margin of the Antarctic Peninsula. Multichannel seismic reflection profile shows very narrow normal faulting zone (about 20 km) on the outer wall of the SST and thick trench-fill sediments (up to 1000 m) on two distinct crustal horst and graben structures in the trench. These structures are rare in the active subduction trenches. On the basis of the implications from these seismic structures and known tectonic history, the following scenarios of subduction activities of the former Phoenix plate are proposed: (1) normal faulting has not occurred since subduction rate in the SST sharply decreased after cessation of seafloor spreading at the West Scotia Ridge at about 6 Ma; and (2) subduction almost stopped after the cessation of spreading in Drake Passage at about 3.3 Ma. Recent contractional structures around the SST are indicative of current crustal shortening (not subduction) accommodating trenchward movement of South Shetland Islands caused by the ongoing extension of Bransfield Basin behind the South Shetland Islands.</t>
  </si>
  <si>
    <t>[Jin, Young Keun; Lee, Joohan; Hong, Jong Kuk; Nam, Sang Heon] KORDI, Korea Polar Res Inst, Inchon 406840, South Korea</t>
  </si>
  <si>
    <t>Korea Institute of Ocean Science &amp; Technology (KIOST); Korea Polar Research Institute (KOPRI)</t>
  </si>
  <si>
    <t>Jin, YK (corresponding author), KORDI, Korea Polar Res Inst, Songdo Techno Pk,7-50 Songdo Dong, Inchon 406840, South Korea.</t>
  </si>
  <si>
    <t>ykjin@kopri.re.kr</t>
  </si>
  <si>
    <t>Korea Polar Research Institute [PE09020]; Ministry of Transport, Land and Maritime Affairs of Korea [PM08040]</t>
  </si>
  <si>
    <t>Korea Polar Research Institute(Korea Polar Research Institute of Marine Research Placement (KOPRI)); Ministry of Transport, Land and Maritime Affairs of Korea</t>
  </si>
  <si>
    <t>The work was supported by Korea Polar Research Institute grant PE09020 and the Ministry of Transport, Land and Maritime Affairs of Korea grant PM08040.</t>
  </si>
  <si>
    <t>1226-4806</t>
  </si>
  <si>
    <t>GEOSCI J</t>
  </si>
  <si>
    <t>Geosci. J.</t>
  </si>
  <si>
    <t>10.1007/s12303-009-0005-5</t>
  </si>
  <si>
    <t>428NN</t>
  </si>
  <si>
    <t>WOS:000264855200005</t>
  </si>
  <si>
    <t>Peyve, AA</t>
  </si>
  <si>
    <t>Peyve, A. A.</t>
  </si>
  <si>
    <t>Accretion of oceanic crust under conditions of oblique spreading</t>
  </si>
  <si>
    <t>GEODYNAMIC EVOLUTION; RIDGE SEGMENTATION; GREENLAND; BOUNDARY; NORWAY; ZONE</t>
  </si>
  <si>
    <t>The accretion of oceanic crust under conditions of oblique spreading is considered. It is shown that deviation of the normal to the strike of mid-ocean ridge from the extension direction results in the formation of echeloned basins and ranges in the rift valley, which are separated by normal and strike-slip faults oriented at an angle to the axis of the mid-ocean ridge. The orientation of spreading ranges is determined by initial breakup and divergence of plates, whereas the within-rift structural elements are local and shallow-seated; they are formed only in the tectonically mobile rift zone. As a rule, the mid-ocean ridges with oblique spreading are not displaced along transform fracture zones, and stresses are relaxed in accommodation zones without rupture of continuity of within-rift structural elements. The structural elements related to oblique spreading can be formed in both rift and megafault zones. At the initial breakup and divergence of continental or oceanic plates with increased crust thickness, the appearance of an extension component along with shear in megafault zones gives rise to the formation of embryonic accretionary structural elements. As opening and extension increase, oblique spreading zones are formed. Various destructive and accretionary structural elements (nearly parallel extension troughs; basin and range systems oriented obliquely relative to the strike of the fault zone and the extension axis; rhomb-shaped extension basins, etc.) can coexist in different segments of the fault zone and replace one another over time. The Andrew Bain Megafault Zone in the South Atlantic started to develop as a strike-slip fault zone that separated the African and Antarctic plates. Under extension in the oceanic domain, this zone was transformed into a system of strike-slip faults divided by accretionary structures. It is suggested that the De Geer Megafault Zone in the North Atlantic, which separated Greenland and Eurasia at the initial stage of extension that followed strike-slip offset, evolved in the same way.</t>
  </si>
  <si>
    <t>Peyve, AA (corresponding author), Russian Acad Sci, Inst Geol, Pyzhevskii 7, Moscow 119017, Russia.</t>
  </si>
  <si>
    <t>apeyve@yandex.ru</t>
  </si>
  <si>
    <t>Peyve, Alexander A/J-5724-2013</t>
  </si>
  <si>
    <t>Russian Academy of Sciences; Russian Foundation for Basic Research [00-05-00150]; Council for Grants of the President of the Russian Federation [NSh-9664.2006.5]</t>
  </si>
  <si>
    <t>Russian Academy of Sciences(Russian Academy of Sciences); Russian Foundation for Basic Research(Russian Foundation for Basic Research (RFBR)Spanish Government); Council for Grants of the President of the Russian Federation</t>
  </si>
  <si>
    <t>This study was supported by the Presidium of the Russian Academy of Sciences, the Russian Foundation for Basic Research (project no. 00-05-00150), and the Council for Grants of the President of the Russian Federation for Support of Leading Scientific Schools (grant no. NSh-9664.2006.5).</t>
  </si>
  <si>
    <t>10.1134/S0016852109020022</t>
  </si>
  <si>
    <t>437PB</t>
  </si>
  <si>
    <t>WOS:000265498300002</t>
  </si>
  <si>
    <t>Fock, HO</t>
  </si>
  <si>
    <t>Fock, Heino O.</t>
  </si>
  <si>
    <t>Deep-sea pelagic ichthyonekton diversity in the Atlantic Ocean and the adjacent sector of the Southern Ocean</t>
  </si>
  <si>
    <t>GLOBAL ECOLOGY AND BIOGEOGRAPHY</t>
  </si>
  <si>
    <t>Atlantic Ocean; bathypelagic; deep-sea; nekton; latitudinal diversity gradients; pelagic diversity; primary production</t>
  </si>
  <si>
    <t>SPECIES-RICHNESS; ANTARCTIC MARINE; LATITUDINAL GRADIENTS; CONTINENTAL-SHELF; RAPOPORTS RULE; BENTHIC FAUNA; PATTERNS; BIODIVERSITY; BIOGEOGRAPHY; FISHES</t>
  </si>
  <si>
    <t>Deep-sea pelagic diversity is poorly understood. Local (SL) and regional (SR) ichthyonekton species richness are presented and analysed with respect to local and regional environmental factors, and biogeographical processes. Sixty-six stations from the Atlantic Ocean and adjacent sector of the Southern Ocean, 65 degrees N to 57 degrees S. Estimation of SL by means of rarefaction. Stepwise evaluation of SL and SR relationships by means of the second-order corrected Akaike information criterion (AICc) after locally weighted scatterplot smoothing (LOESS) and linear fitting, analysis of saturation effects by means of slopes of species accumulation curves (log-log plots). Latitudinal gradients were present for SL and SR, and were asymmetric between the Northern and Southern hemispheres. Relatively low species richness was encountered for the Southern Ocean. Asymmetry at the regional level by means of higher SR was attributed to area effects in the South Atlantic. Log-log plots indicated saturation of local assemblages and dependence on environmental factors. SL was related to productivity; this relationship was hump-shaped. SR was positively related to area size and negatively to seasonality of production. Biogeographical effects were indicated in that SR peaks coincided with overlap zones of boreal and tropical faunas as a consequence of historical faunal exchange processes. The stepwise approach allowed for distinction between effects of area size, productivity and biogeographical processes on diversity at local and regional scales. Productivity in particular is important in two ways. At the local scale, the link of productivity to SL is explained by a successional-functional hypothesis of resource utilization, whereas the seasonality effect for SR reinforces the hypothesis of dependence of deep-sea fishes on seasonality of production through changes of life-history traits. The causes of low Antarctic faunal diversity remained unresolved.</t>
  </si>
  <si>
    <t>Inst Sea Fisheries, D-22767 Hamburg, Germany</t>
  </si>
  <si>
    <t>Fock, HO (corresponding author), Inst Sea Fisheries, Palmaille 9, D-22767 Hamburg, Germany.</t>
  </si>
  <si>
    <t>heino.fock@vti.bund.de</t>
  </si>
  <si>
    <t>MAR-ECO [10331-3]</t>
  </si>
  <si>
    <t>MAR-ECO</t>
  </si>
  <si>
    <t>Thanks are due to Joachim Groger, Siegfried Ehrich, Odd-Aksel Bergstad, Berndt Heydemann, Andrew Clarke and one anonymous referee. Work was partly supported through MAR-ECO grant 10331-3.</t>
  </si>
  <si>
    <t>1466-822X</t>
  </si>
  <si>
    <t>1466-8238</t>
  </si>
  <si>
    <t>GLOBAL ECOL BIOGEOGR</t>
  </si>
  <si>
    <t>Glob. Ecol. Biogeogr.</t>
  </si>
  <si>
    <t>10.1111/j.1466-8238.2008.00435.x</t>
  </si>
  <si>
    <t>405ST</t>
  </si>
  <si>
    <t>WOS:000263245200005</t>
  </si>
  <si>
    <t>Calliari, D; Brugnoli, E; Ferrari, G; Vizziano, D</t>
  </si>
  <si>
    <t>Calliari, Danilo; Brugnoli, Ernesto; Ferrari, Graciela; Vizziano, Denise</t>
  </si>
  <si>
    <t>Phytoplankton distribution and production along a wide environmental gradient in the South-West Atlantic off Uruguay</t>
  </si>
  <si>
    <t>HYDROBIOLOGIA</t>
  </si>
  <si>
    <t>Phytoplankton; Chlorophyll; Primary production; Southwest Atlantic; Rio de la Plata; Uruguay</t>
  </si>
  <si>
    <t>DE-LA-PLATA; SOUTHWESTERN ATLANTIC; DISTRIBUTION PATTERNS; MARINE-PHYTOPLANKTON; NATURAL ASSEMBLAGES; LIGHT-LIMITATION; CHLOROPHYLL; PHOTOSYNTHESIS; BIOMASS; ESTUARY</t>
  </si>
  <si>
    <t>We investigated phytoplankton biomass, assemblage structure and production along an environmental gradient to evaluate if chlorophyll-a (as proxy for biomass) and primary production peaked under conditions hypothesised to favour phytoplankton growth. During Spring 2003, a wide area from shallow estuarine waters to the shelf slope off the Rio de la Plata was sampled and routine measurements included CTD profiles, nutrients, chlorophyll-a, phytoplankton composition and abundance, seston and organic matter loads, downwelling light and, at selected stations, production versus irradiance experiments. Spatial differences in abiotic variables suggested distinct hydrographic zones that differed in phytoplankton biomass and productivity. Chlorophyll-a was highest under estuarine influence and peaked at low salinity when strong stratification developed in the outer estuary, and was minimum at the shelf break and slope. In that area, however, relatively high chlorophyll-a was associated to oceanographic fronts and to the occurrence of Sub Antarctic water within the photic depth range. Productivity was maximum in shallow waters, but biomass-specific productivity peaked at the outer shelf in oceanographic fronts or in upwelled Sub Antarctic waters. Over shelf and slope waters productivity and biomass were not tightly coupled, as indicated by situations of high biomass and low productivity (Station 9), low biomass and high productivity (Station 10), or both high biomass and productivity (Station 22). Ordination analysis of phytoplankton taxa suggested that assemblages changed gradually along the environmental gradient and correlated to abiotic variables defining geographic zones. Overall results were consistent with an interpretation that phytoplankton biomass and growth were modulated by light in estuarine and coastal waters, and by hydrographic processes on the continental shelf and slope.</t>
  </si>
  <si>
    <t>[Calliari, Danilo; Brugnoli, Ernesto; Vizziano, Denise] Univ Republica, Fac Ciencias, Secc Oceanol, Montevideo 11400, Uruguay; [Calliari, Danilo] Univ Gothenburg, Marine Ecol Dept, Sven Loven Ctr Marine Res Kristineberg, S-45034 Fiskebackskil, Sweden; [Ferrari, Graciela] Direcc Nacl Recursos Acuat, Montevideo 11200, Uruguay</t>
  </si>
  <si>
    <t>Universidad de la Republica, Uruguay; University of Gothenburg</t>
  </si>
  <si>
    <t>Calliari, D (corresponding author), Univ Republica, Fac Ciencias, Secc Oceanol, Igua 4225, Montevideo 11400, Uruguay.</t>
  </si>
  <si>
    <t>dcalliar@fcien.edu.uy</t>
  </si>
  <si>
    <t>Calliari Cuadro, Danilo Luis/0000-0002-4752-1669</t>
  </si>
  <si>
    <t>FEMCIDI-OAS; Marie Curie [MIF1-CT-2005-007718]</t>
  </si>
  <si>
    <t>FEMCIDI-OAS; Marie Curie(European Union (EU))</t>
  </si>
  <si>
    <t>We thank crews of R/Vs Aldebaran and Vavilov for assistance at sea, R. Piaggio (Montevideo City Municipality) for nitrogen and phosphorus analyses, and K. Sanz at Facultad de Ciencias (FC, Uruguay) for silicon analyses. V. Garcia (FURG, Brazil), D. Conde and M. Gomez (FC) contributed with discussion of methods and D. Severov (FC) with discussion of physical oceanographic results. Research was funded by FEMCIDI-OAS 'Primera Iniciativa Trinacional del uso de mediciones radiometricas satelitarias de clorofila-a (SeaWiFS) en el area del Atlantico Sud-Occidental'. D. Calliari was supported by Marie Curie contract MIF1-CT-2005-007718 (European Commission) during writing of this manuscript.</t>
  </si>
  <si>
    <t>0018-8158</t>
  </si>
  <si>
    <t>Hydrobiologia</t>
  </si>
  <si>
    <t>10.1007/s10750-008-9614-7</t>
  </si>
  <si>
    <t>387YQ</t>
  </si>
  <si>
    <t>WOS:000261987900005</t>
  </si>
  <si>
    <t>Yergeau, E; Schoondermark-Stolk, SA; Brodie, EL; Déjean, S; DeSantis, TZ; Gonçalves, O; Piceno, YM; Andersen, GL; Kowalchuk, GA</t>
  </si>
  <si>
    <t>Yergeau, Etienne; Schoondermark-Stolk, Sung A.; Brodie, Eoin L.; Dejean, Sebastien; DeSantis, Todd Z.; Goncalves, Olivier; Piceno, Yvette M.; Andersen, Gary L.; Kowalchuk, George A.</t>
  </si>
  <si>
    <t>Environmental microarray analyses of Antarctic soil microbial communities</t>
  </si>
  <si>
    <t>ISME JOURNAL</t>
  </si>
  <si>
    <t>Antarctic soil ecosystems; GeoChip microarray; microbial community structure; microbial diversity; PhyloChip microarray</t>
  </si>
  <si>
    <t>AMMONIA-OXIDIZING BACTERIA; CLIMATE-CHANGE; FALKLAND ISLANDS; DIVERSITY; RESPONSES; DATABASE; GENES</t>
  </si>
  <si>
    <t>Antarctic ecosystems are fascinating in their limited trophic complexity, with decomposition and nutrient cycling functions being dominated by microbial activities. Not only are Antarctic habitats exposed to extreme environmental conditions, the Antarctic Peninsula is also experiencing unequalled effects of global warming. Owing to their uniqueness and the potential impact of global warming on these pristine systems, there is considerable interest in determining the structure and function of microbial communities in the Antarctic. We therefore utilized a recently designed 16S rRNA gene microarray, the PhyloChip, which targets 8741 bacterial and archaeal taxa, to interrogate microbial communities inhabiting densely vegetated and bare fell-field soils along a latitudinal gradient ranging from 51 degrees S (Falkland Islands) to 72 degrees S (Coal Nunatak). Results indicated a clear decrease in diversity with increasing latitude, with the two southernmost sites harboring the most distinct Bacterial and Archaeal communities. The microarray approach proved more sensitive in detecting the breadth of microbial diversity than polymerase chain reaction-based bacterial 16S rRNA gene libraries of modest size (similar to 190 clones per library). Furthermore, the relative signal intensities summed for phyla and families on the PhyloChip were significantly correlated with the relative occurrence of these taxa in clone libraries. PhyloChip data were also compared with functional gene microarray data obtained earlier, highlighting numerous significant relationships and providing evidence for a strong link between community composition and functional gene distribution in Antarctic soils. Integration of these PhyloChip data with other complementary methods provides an unprecedented understanding of the microbial diversity and community structure of terrestrial Antarctic habitats.</t>
  </si>
  <si>
    <t>[Yergeau, Etienne; Schoondermark-Stolk, Sung A.; Kowalchuk, George A.] Netherlands Inst Ecol NIOO KNAW, Ctr Terr Ecol, NL-6666 ZG Heteren, Netherlands; [Brodie, Eoin L.; DeSantis, Todd Z.; Piceno, Yvette M.; Andersen, Gary L.] Lawrence Berkeley Natl Lab, Div Earth Sci, Dept Ecol, Berkeley, CA USA; [Dejean, Sebastien] Univ Toulouse 3, Inst Math, F-31062 Toulouse, France; [Goncalves, Olivier] Univ Blaise Pascal, CNRS, Lab Microorganismes Genome &amp; Environm, UMR 6023, Clermont Ferrand 2, France; [Kowalchuk, George A.] Free Univ Amsterdam, Inst Ecol Sci, Amsterdam, Netherlands</t>
  </si>
  <si>
    <t>Royal Netherlands Academy of Arts &amp; Sciences; Netherlands Institute of Ecology (NIOO-KNAW); United States Department of Energy (DOE); Lawrence Berkeley National Laboratory; Universite de Toulouse; Universite Toulouse III - Paul Sabatier; Centre National de la Recherche Scientifique (CNRS); Universite Clermont Auvergne (UCA); Vrije Universiteit Amsterdam</t>
  </si>
  <si>
    <t>Kowalchuk, GA (corresponding author), Netherlands Inst Ecol NIOO KNAW, Ctr Terr Ecol, POB 40, NL-6666 ZG Heteren, Netherlands.</t>
  </si>
  <si>
    <t>g.kowalchuk@nioo.knaw.nl</t>
  </si>
  <si>
    <t>Brodie, Eoin L/A-7853-2008; Yergeau, Etienne/AAZ-6145-2020; Piceno, Yvette M/I-6738-2016; Kowalchuk, George A/C-4298-2011; Yergeau, Etienne/B-5344-2008; DEJEAN, Sébastien/JDD-5050-2023; Andersen, Gary/G-2792-2015; Goncalves, Olivier/C-6869-2013</t>
  </si>
  <si>
    <t>Brodie, Eoin L/0000-0002-8453-8435; Yergeau, Etienne/0000-0002-7112-3425; DEJEAN, Sébastien/0000-0001-9610-5306; Piceno, Yvette/0000-0002-7915-4699; Kowalchuk, George/0000-0003-3866-0832; Andersen, Gary/0000-0002-1618-9827; Goncalves, Olivier/0000-0002-9498-6194</t>
  </si>
  <si>
    <t>NWO [851.20.018]; U. S. DOE's Office of Science, Biological and Environmental Research Program; University of California, LBNL [DE-AC02-05CH11231]; FQRNT; Natural Environment Research Council [bas010015] Funding Source: researchfish; NERC [bas010015] Funding Source: UKRI</t>
  </si>
  <si>
    <t>NWO(Netherlands Organization for Scientific Research (NWO)); U. S. DOE's Office of Science, Biological and Environmental Research Program(United States Department of Energy (DOE)); University of California, LBNL(University of California System); FQRNT(FQRNT); Natural Environment Research Council(UK Research &amp; Innovation (UKRI)Natural Environment Research Council (NERC)); NERC(UK Research &amp; Innovation (UKRI)Natural Environment Research Council (NERC))</t>
  </si>
  <si>
    <t>This study was supported by NWO grant 851.20.018 to Rien Aerts and GA Kowalchuk. Part of this work was performed under the auspices of the U. S. DOE's Office of Science, Biological and Environmental Research Program, and by the University of California, LBNL under contract no. DE-AC02-05CH11231. E Yergeau was partly supported by a FQRNT postgraduate scholarship. Stef Bokhorst, Merlijn Janssens and Kat Snell are gratefully acknowledged for sampling at Fossil Bluff, Coal Nunatak and Signy Islands. Comments from Eiko Kuramae significantly improved this paper. We thank Pete Convey and the British Antarctic Survey for insightful discussions and logistical support. This is NIOO-KNAW publication # 4400.</t>
  </si>
  <si>
    <t>1751-7362</t>
  </si>
  <si>
    <t>1751-7370</t>
  </si>
  <si>
    <t>ISME J</t>
  </si>
  <si>
    <t>ISME J.</t>
  </si>
  <si>
    <t>10.1038/ismej.2008.111</t>
  </si>
  <si>
    <t>Ecology; Microbiology</t>
  </si>
  <si>
    <t>Environmental Sciences &amp; Ecology; Microbiology</t>
  </si>
  <si>
    <t>415DI</t>
  </si>
  <si>
    <t>WOS:000263914100007</t>
  </si>
  <si>
    <t>Pfaffling, A; Reid, JE</t>
  </si>
  <si>
    <t>Pfaffling, Andreas; Reid, James E.</t>
  </si>
  <si>
    <t>Sea ice as an evaluation target for HEM modelling and inversion</t>
  </si>
  <si>
    <t>JOURNAL OF APPLIED GEOPHYSICS</t>
  </si>
  <si>
    <t>Helicopter electromagnetics; Inversion; Modelling; Calibration; Sea ice; Antarctica</t>
  </si>
  <si>
    <t>THICKNESS; EM; FOOTPRINTS; SYSTEM</t>
  </si>
  <si>
    <t>We investigate helicopter electromagnetic (HEM) inversion schemes applied to synthetic and measured HEM sea ice profiling data. Direct HEM data-to-ice-thickness inversion is compared to three different formal, least squares layered earth inversion algorithms. By making several approximations, it is possible to directly invert a single channel measurement (i.e., the in-phase or quadrature component of a single frequency measurement) to obtain an estimate of sea ice thickness. Measurements from multiple input channels, however, can be used in a layered earth inversion to simultaneously recover several model parameters such as sea ice thickness, sea ice conductivity and sub-ice bathymetry. Synthetic data sets for a particular two-frequency HEM system showed that simple least squares inversion algorithms produce reliable estimates of sea ice thickness in cases where the ice is thicker than 3 m. These methods could also recover acceptable estimates of sea ice thickness when a thin, conductive, partially melted sea ice layer was present, and could determine shallow, sub-ice bathymetry in brackish water. As expected, 1D transformations and inversions of synthetic data for a three-dimensional pressure ridge keel structure contained artifacts, notably broadening of the apparent width of the keel. Prior to inverting a field data set acquired over rather thin (similar to 0.5 m) Antarctic sea ice, we found it necessary to recalibrate the phase angle of the measurements using a phasor diagram-based method. Direct transformation of a single channel from the recalibrated data set produced more accurate estimates of sea-ice thickness than formal inversion of multi-channel data. We suggest that the least squares inversion methods are inferior in this situation because of the particular characteristics of the two-frequency HEM system used in this evaluation; the extreme differences in sensitivity of high and low frequency data components, the overall low sensitivity to sea ice conductivity (especially for thin ice), and the partially low signal-to noise ratios of the measurements. The data sets used in this study will be made available to the public to allow alternate inversion approaches to be applied and evaluated. It is suggested that inclusion of parameter bounds and other forms of regularization could help to improve the inversion results. (C) 2008 Elsevier B.V. All rights reserved.</t>
  </si>
  <si>
    <t>[Reid, James E.] Univ Tasmania, Sch Earth Sci, Hobart, Tas 7001, Australia; [Pfaffling, Andreas] Alfred Wegener Inst Polar &amp; Marine Res, Climate Sci Res Div, Sea Ice Phys Sect, D-27515 Bremerhaven, Germany</t>
  </si>
  <si>
    <t>University of Tasmania; Helmholtz Association; Alfred Wegener Institute, Helmholtz Centre for Polar &amp; Marine Research</t>
  </si>
  <si>
    <t>Pfaffling, A (corresponding author), Davidstr 3, D-20359 Hamburg, Germany.</t>
  </si>
  <si>
    <t>ap@pfaffling-geophysics.com; james@geoforce.com.au</t>
  </si>
  <si>
    <t>Antarctic Climate &amp; Ecosystems Cooperative Research Centre (ACE CRC); Australian Antarctic Science (AAS) [2381]</t>
  </si>
  <si>
    <t>Antarctic Climate &amp; Ecosystems Cooperative Research Centre (ACE CRC)(Australian GovernmentDepartment of Industry, Innovation and ScienceCooperative Research Centres (CRC) Programme); Australian Antarctic Science (AAS)</t>
  </si>
  <si>
    <t>Parts of this work were supported by the Antarctic Climate &amp; Ecosystems Cooperative Research Centre (ACE CRC) based in Hobart/Australia within the AWI-ACE CRC exchange program, and by Australian Antarctic Science (AAS) grant #2381. The conductance deficit approach was suggested to JER by Dr Niels Beie Christensen of the University of Aarhus. We thank the ARISE 2003 shipboard party for conducting almost 1000 drill-hole measurements of sea ice thickness, the officers and crew of the RV AURORA AUSTRALIS for field support, and the pilots and technicians of Helicopter Resources Pty Ltd. Thorough comments from Richard Lane, an anonymous reviewer and guest editor Niels B. Christensen have significantly clarified this manuscript.</t>
  </si>
  <si>
    <t>0926-9851</t>
  </si>
  <si>
    <t>1879-1859</t>
  </si>
  <si>
    <t>J APPL GEOPHYS</t>
  </si>
  <si>
    <t>J. Appl. Geophys.</t>
  </si>
  <si>
    <t>10.1016/j.jappgeo.2008.05.010</t>
  </si>
  <si>
    <t>Geosciences, Multidisciplinary; Mining &amp; Mineral Processing</t>
  </si>
  <si>
    <t>Geology; Mining &amp; Mineral Processing</t>
  </si>
  <si>
    <t>435AB</t>
  </si>
  <si>
    <t>WOS:000265314500006</t>
  </si>
  <si>
    <t>Morris, RJ; Klekociuk, AR; Latteck, R; Singer, W; Holdsworth, DA; Murphy, DJ</t>
  </si>
  <si>
    <t>Morris, Ray J.; Klekociuk, Andrew R.; Latteck, Ralph; Singer, Werner; Holdsworth, David A.; Murphy, Damian J.</t>
  </si>
  <si>
    <t>Inter-hemispheric asymmetry in polar mesosphere summer echoes and temperature at 69° latitude</t>
  </si>
  <si>
    <t>8th International Workshop on Layered Phenomena in the Mesopause Region (LPMR-8)</t>
  </si>
  <si>
    <t>AUG 20-23, 2007</t>
  </si>
  <si>
    <t>Univ Alaska Fairbanks, Fairbanks, AK</t>
  </si>
  <si>
    <t>Univ Alaska Fairbanks</t>
  </si>
  <si>
    <t>MST radar; PMSE; Mesosphere; Temperature; Inter-hemispheric</t>
  </si>
  <si>
    <t>NOCTILUCENT CLOUDS; WATER-VAPOR; PMSE</t>
  </si>
  <si>
    <t>An inter-hemispheric asymmetry is found in the characteristics of polar mesosphere summer echoes (PMSE) and upper mesosphere temperatures at conjugate latitudes (similar to 69 degrees) above Antarctica and the Arctic. The second complete mesosphere-stratosphere-troposphere (MST) radar summer observation season at Davis (68.6 degrees S) revealed that PMSE occur less frequently. with lower strength and on average I km higher compared with their northern counterparts at Andenes (69.3 degrees N). We consider the thermodynamic state of the mesosphere for conjoining hemispheric summers based on satellite and ground-based radar measurements, and show the mesopause region near similar to 80-87 km of the Southern Hemisphere (SH) to be up to 7.5 K warmer than its Northern Hemisphere (NH) counterpart. We show that this is consistent with our observation of asymmetries in the characteristics of PMSE and demonstrate how the mesosphere meridional wind field influences the existence and strength of the echoes in both hemispheres. Crown Copyright (C) 2008 Published by Elsevier Ltd. All rights reserved.</t>
  </si>
  <si>
    <t>[Morris, Ray J.; Klekociuk, Andrew R.; Murphy, Damian J.] Australian Antarctic Div, Kingston, Tas 7050, Australia; [Latteck, Ralph; Singer, Werner] Leibniz Inst Atmospher Phys, Kuhlungsborn, Germany; [Holdsworth, David A.] Atmospher Radar Syst, Thebarton, SA, Australia</t>
  </si>
  <si>
    <t>Australian Antarctic Division; Leibniz Institut fur Atmospharenphysik e.V. an der Universitat Rostock (IAP)</t>
  </si>
  <si>
    <t>Morris, RJ (corresponding author), Australian Antarctic Div, 203 Channel Highway, Kingston, Tas 7050, Australia.</t>
  </si>
  <si>
    <t>ray.morris@aad.gov.au</t>
  </si>
  <si>
    <t>Klekociuk, Andrew/A-4498-2015</t>
  </si>
  <si>
    <t>Klekociuk, Andrew/0000-0003-3335-0034; Murphy, Damian/0000-0003-1738-5560; Latteck, Ralph/0000-0002-0001-7473</t>
  </si>
  <si>
    <t>1879-1824</t>
  </si>
  <si>
    <t>10.1016/j.jastp.2008.09.042</t>
  </si>
  <si>
    <t>433UQ</t>
  </si>
  <si>
    <t>WOS:000265231700018</t>
  </si>
  <si>
    <t>Womble, JN; Sigler, MF; Willson, MF</t>
  </si>
  <si>
    <t>Womble, Jamie N.; Sigler, Michael F.; Willson, Mary F.</t>
  </si>
  <si>
    <t>Linking seasonal distribution patterns with prey availability in a central-place forager, the Steller sea lion</t>
  </si>
  <si>
    <t>Workshop on Southeast Alaska Marine Biology and Oceanography</t>
  </si>
  <si>
    <t>MAR 30-31, 2005</t>
  </si>
  <si>
    <t>Univ Alaska SE, Juneau, AK</t>
  </si>
  <si>
    <t>Univ Alaska SE</t>
  </si>
  <si>
    <t>Central-place forager; distribution; Eumetopias jubatus; otariid; pinniped; prey availability; seasonal; Southeast Alaska</t>
  </si>
  <si>
    <t>ANTARCTIC FUR SEALS; EUMETOPIAS-JUBATUS; MARINE PREDATOR; HAUL-OUT; ALASKA; DISPERSAL; ABUNDANCE; DIET; CONSEQUENCES; FISH</t>
  </si>
  <si>
    <t>We used a novel approach to infer foraging areas of a central-place forager, the Steller sea lion (Eumetopias jubatus), by assessing changes in the temporal and spatial distribution patterns of sea lions at terrestrial sites. Specifically, our objectives were (1) to classify seasonal distribution patterns of Steller sea lions and (2) to determine to what extent the seasonal distribution of Steller sea lions is explained by seasonal concentrations of prey. Southeast Alaska, USA. Steller sea lions of all age classes were counted monthly (2001-04) by aerial surveys at 28 terrestrial sites. Hierarchical cluster analysis and principal components analysis were used to classify seasonal distribution patterns of Steller sea lions at these terrestrial sites. We estimated the proportion of sea lions in the study area that were associated with each seasonal distribution pattern. Multivariate ordination techniques revealed four distinct seasonal distributional patterns. During December, 55% of the sea lions in the study area were found at Type 1 sites, located near over-wintering herring aggregations. During May, 56% of sea lions were found at Type 2 sites, near aggregations of spring-spawning forage fish. In July, 78% of sea lions were found at Type 3 sites, near summer migratory corridors of salmon. During September, 44% of sea lions were found at Type 4 sites, near autumn migratory corridors of salmon. Seasonal attendance patterns of sea lions were commonly associated with the seasonal availability of prey species near terrestrial sites and reflected seasonal foraging patterns of Steller sea lions in Southeast Alaska. A reasonable annual foraging strategy for Steller sea lions is to forage on herring (Clupea pallasii) aggregations in winter, spawning aggregations of forage fish in spring, salmon (Oncorhynchus spp.) in summer and autumn, and pollock (Theragra chalcogramma) and Pacific hake (Merluccius productus) throughout the year. The seasonal use of haulouts by sea lions and ultimately haulout-specific foraging patterns of Steller sea lions depend in part upon seasonally available prey species in each region.</t>
  </si>
  <si>
    <t>[Womble, Jamie N.] Natl Pk Serv, Coastal Program, Glacier Bay Field Stn, Juneau, AK 99801 USA; [Womble, Jamie N.; Willson, Mary F.] Univ Alaska Fairbanks, Sch Fisheries &amp; Ocean Sci, Juneau, AK 99801 USA; [Womble, Jamie N.; Sigler, Michael F.] NOAA Fisheries, Alaska Fisheries Sci Ctr, Juneau, AK 99801 USA</t>
  </si>
  <si>
    <t>United States Department of the Interior; University of Alaska System; University of Alaska Fairbanks; National Oceanic Atmospheric Admin (NOAA) - USA</t>
  </si>
  <si>
    <t>Womble, JN (corresponding author), Natl Pk Serv, Coastal Program, Glacier Bay Field Stn, 3100 Natl Pk Rd, Juneau, AK 99801 USA.</t>
  </si>
  <si>
    <t>Jamie_Womble@nps.gov</t>
  </si>
  <si>
    <t>Womble, Jamie/0000-0002-6635-1490; Sigler, Michael/0000-0001-6361-0613</t>
  </si>
  <si>
    <t>10.1111/j.1365-2699.2007.01873.x</t>
  </si>
  <si>
    <t>407CD</t>
  </si>
  <si>
    <t>WOS:000263340300006</t>
  </si>
  <si>
    <t>Blockeel, TL; Bakalin, VA; Bednarek-Ochyra, H; Ochyra, R; Buck, WR; Choi, S; Cykowska, B; Erdag, A; Erzberger, P; Kirmaci, M; Kürschner, H; Lebouvier, M; Papp, B; Sabovljevic, M; Sabovljevic, A; Schröder, W; Singh, SM; Sun, BY; Townsend, CC; Vana, J; Yayintas, ÖT</t>
  </si>
  <si>
    <t>Blockeel, T. L.; Bakalin, V. A.; Bednarek-Ochyra, H.; Ochyra, R.; Buck, W. R.; Choi, S.; Cykowska, B.; Erdag, A.; Erzberger, P.; Kirmaci, M.; Kuerschner, H.; Lebouvier, M.; Papp, B.; Sabovljevic, Marko; Sabovljevic, Aneta; Schroeder, W.; Singh, S. M.; Sun, B. -Y.; Townsend, C. C.; Vana, J.; Yayintas, Oezlem Tonguc</t>
  </si>
  <si>
    <t>New national and regional bryophyte records, 20</t>
  </si>
  <si>
    <t>JOURNAL OF BRYOLOGY</t>
  </si>
  <si>
    <t>POTTIACEAE; FLORA; MOSS; DENSIFOLIUM; CHECKLIST; BROTH.; MUSCI; NOV</t>
  </si>
  <si>
    <t>[Bakalin, V. A.] Inst Biol &amp; Soil Sci, Vladivostok, Russia; [Bednarek-Ochyra, H.; Ochyra, R.; Cykowska, B.] Polish Acad Sci, Inst Bot, Lab Bryol, PL-31512 Krakow, Poland; [Buck, W. R.] New York Bot Garden, Inst Systemat Bot, Bronx, NY 10458 USA; [Choi, S.; Sun, B. -Y.] Chonbuk Natl Univ, Fac Biol Sci, Jeonju, Jeonbuk, South Korea; [Erdag, A.; Kirmaci, M.] Adnan Menderes Univ, Fen Edebiyat Fak, Biyol Bolumu, TR-09010 Kepez Aydin, Turkey; [Kuerschner, H.] Free Univ Berlin, Inst Biol Systemat Bot &amp; Pflanzengeog, D-14195 Berlin, Germany; [Lebouvier, M.] Univ Rennes 1, CNRS, UMR 6553, Biol Stn, F-35380 Paimpont, France; [Papp, B.] Hungarian Nat Hist Museum, H-1476 Budapest, Hungary; [Sabovljevic, Marko; Sabovljevic, Aneta] Univ Belgrade, Inst Bot, Belgrade 11000, Serbia; [Sabovljevic, Marko; Sabovljevic, Aneta] Univ Belgrade, Garden Fac Biol, Belgrade 11000, Serbia; [Singh, S. M.] Govt India, Minist Earth Sci, Natl Ctr Antarctic &amp; Ocean Res, Vasco Da Gama 403804, Goa, India; [Vana, J.] Charles Univ Prague, Fac Sci, Dept Bot, CZ-12801 Prague 2, Czech Republic; [Yayintas, Oezlem Tonguc] Canakkale Onsekiz Mart Univ, Biga Vocat Coll, Tech Program, TR-17200 Biga, Canakkale, Turkey</t>
  </si>
  <si>
    <t>Russian Academy of Sciences; Federal Scientific Center of the East Asia Terrestrial Biodiversity, Far Eastern Branch of the Russian Academy of Sciences; Polish Academy of Sciences; New York Botanical Garden; Jeonbuk National University; Adnan Menderes University; Free University of Berlin; Centre National de la Recherche Scientifique (CNRS); CNRS - Institute of Ecology &amp; Environment (INEE); Universite de Rennes; University of Belgrade; University of Belgrade; Ministry of Earth Sciences (MoES) - India; National Centre for Polar and Ocean Research (NCPOR); Charles University Prague; Canakkale Onsekiz Mart University</t>
  </si>
  <si>
    <t>Blockeel, TL (corresponding author), 9 Ashfurlong Close, Sheffield S17 3NN, S Yorkshire, England.</t>
  </si>
  <si>
    <t>Tblockeel@aol.com; v_bak@list.ru; Halina.Bednarek@ib-pan.krakow.pl; Ryszard.Ochyra@ib-pan.krakow.pl; BBUCK@nybg.org; hcpaticac@chonbuk.ac.kr; ibcykowska@ib-pan.krakow.pl; erzberger@erzfisch.de; marc.lebouvier@univ-rennes1.fr; sabmar@hotmail.com; drsmsingh@yahoo.com; sunby@chonbuk.ac.kr; cliff.townsend@blueyonder.co.uk; vana@natur.cuni.cz; ozlemyayintas@hotmail.com</t>
  </si>
  <si>
    <t>Váňa, Jiří/I-5979-2016; Erdag, Adnan/KGL-5866-2024; Sabovljevic, Marko/AAJ-2593-2020; Bakalin, Vadim A./S-8876-2017; Sabovljevic, Marko S/ABC-8637-2020; Bednarek-Ochyra, Halina/K-7507-2012; Cykowska-Marzencka, Beata/K-2661-2017</t>
  </si>
  <si>
    <t>Erdag, Adnan/0000-0001-7289-5622; Sabovljevic, Marko/0000-0001-5809-0406; Bakalin, Vadim A./0000-0001-7897-4305; Sabovljevic, Marko S/0000-0001-5809-0406; Cykowska-Marzencka, Beata/0000-0002-5468-4909; Ochyra, Ryszard/0000-0002-2541-0722; Bednarek-Ochyra, Halina/0000-0002-6994-8313; Sabovljevic, Aneta/0000-0003-3092-9972</t>
  </si>
  <si>
    <t>0373-6687</t>
  </si>
  <si>
    <t>1743-2820</t>
  </si>
  <si>
    <t>J BRYOL</t>
  </si>
  <si>
    <t>J. Bryol.</t>
  </si>
  <si>
    <t>10.1179/037366808X343711</t>
  </si>
  <si>
    <t>443HP</t>
  </si>
  <si>
    <t>WOS:000265901100011</t>
  </si>
  <si>
    <t>Southern Hemisphere Westerly Wind Control over the Ocean's Thermohaline Circulation</t>
  </si>
  <si>
    <t>ATLANTIC DEEP-WATER; LAST-GLACIAL-MAXIMUM; EXCHANGE; LATITUDE; RECORD</t>
  </si>
  <si>
    <t>The effect of the position of the Southern Hemisphere subpolar westerly winds (SWWs) on the thermohaline circulation (THC) of the World Ocean is examined. The latitudes of zero wind stress curl position exert a strong control on the distribution of overturning between basins in the Northern Hemisphere. A southward wind shift results in a stronger Atlantic THC and enhanced stratification in the North Pacific, whereas a northward wind shift leads to a significantly reduced Atlantic THC and the development of vigorous sinking (up to 1500-m depth) in the North Pacific. In other words, the Atlantic dominance of the meridional overturning circulation depends on the position of the zero wind stress curl over the Southern Ocean in the experiments. This position has a direct influence on the surface salinity contrast between the Pacific and the Atlantic, which is then further amplified by changes in the distribution of Northern Hemisphere sinking between these basins. The results show that the northward location of the SWW stress maximum inferred for the last glacial period may have contributed to significantly reduced North Atlantic Deep Water formation during this period, and perhaps an enhanced and deeper North Pacific THC. Also, a more poleward location of the SWW stress maximum in the current warming climate may entail stronger salinity stratification of the North Pacific.</t>
  </si>
  <si>
    <t>[Sijp, Willem P.; England, Matthew H.] Univ New S Wales, Climate Change Res Ctr, Sydney, NSW 2052, Australia</t>
  </si>
  <si>
    <t>Sijp, WP (corresponding author), Univ New S Wales, Climate Change Res Ctr, Sydney, NSW 2052, Australia.</t>
  </si>
  <si>
    <t>10.1175/2008JCLI2310.1</t>
  </si>
  <si>
    <t>426AZ</t>
  </si>
  <si>
    <t>WOS:000264681100013</t>
  </si>
  <si>
    <t>McLandress, C; Shepherd, TG</t>
  </si>
  <si>
    <t>McLandress, Charles; Shepherd, Theodore G.</t>
  </si>
  <si>
    <t>Simulated Anthropogenic Changes in the Brewer-Dobson Circulation, Including Its Extension to High Latitudes</t>
  </si>
  <si>
    <t>CHEMISTRY-CLIMATE MODEL; MIDDLE ATMOSPHERE; STRATOSPHERE; EXCHANGE; TRENDS; CYCLE; DRAG; MASS</t>
  </si>
  <si>
    <t>Recent studies using comprehensive middle atmosphere models predict a strengthening of the Brewer-Dobson circulation in response to climate change. To gain confidence in the realism of this result it is important to quantify and understand the contributions from the different components of stratospheric wave drag that cause this increase. Such an analysis is performed here using three 150-yr transient simulations from the Canadian Middle Atmosphere Model (CMAM), a Chemistry-Climate Model that simulates climate change and ozone depletion and recovery. Resolved wave drag and parameterized orographic gravity wave drag account for 60% and 40%, respectively, of the long-term trend in annual mean net upward mass flux at 70 hPa, with planetary waves accounting for 60% of the resolved wave drag trend. Synoptic wave drag has the strongest impact in northern winter, where it accounts for nearly as much of the upward mass flux trend as planetary wave drag. Owing to differences in the latitudinal structure of the wave drag changes, the relative contribution of resolved and parameterized wave drag to the tropical upward mass flux trend over any particular latitude range is highly sensitive to the range of latitudes considered. An examination of the spatial structure of the climate change response reveals no straightforward connection between the low-latitude and high-latitude changes: while the model results show an increase in Arctic downwelling in winter, they also show a decrease in Antarctic downwelling in spring. Both changes are attributed to changes in the flux of stationary planetary wave activity into the stratosphere.</t>
  </si>
  <si>
    <t>[McLandress, Charles; Shepherd, Theodore G.] Univ Toronto, Dept Phys, Toronto, ON M5S 1A7, Canada</t>
  </si>
  <si>
    <t>University of Toronto</t>
  </si>
  <si>
    <t>McLandress, C (corresponding author), Univ Toronto, Dept Phys, 60 St George St, Toronto, ON M5S 1A7, Canada.</t>
  </si>
  <si>
    <t>charles@atmosp.physics.utoronto.ca</t>
  </si>
  <si>
    <t>Canadian Foundation for Climate and Atmospheric Sciences</t>
  </si>
  <si>
    <t>CM thanks Diane Pendlebury and Neal Butchart for helpful discussions. Rolando Garcia and an anonymous reviewer provided valuable reviews. This work was supported by the Canadian Foundation for Climate and Atmospheric Sciences through the CSPARC project.</t>
  </si>
  <si>
    <t>10.1175/2008JCLI2679.1</t>
  </si>
  <si>
    <t>431ZT</t>
  </si>
  <si>
    <t>WOS:000265104000013</t>
  </si>
  <si>
    <t>Barrows, APW; Martin-Smith, KM; Baine, MSP</t>
  </si>
  <si>
    <t>Barrows, A. P. W.; Martin-Smith, K. M.; Baine, M. S. P.</t>
  </si>
  <si>
    <t>Population variables and life-history characteristics of the alligator pipefish Syngnathoides biaculeatus, in Papua New Guinea</t>
  </si>
  <si>
    <t>JOURNAL OF FISH BIOLOGY</t>
  </si>
  <si>
    <t>growth; life-history strategy; reproduction; seagrass; syngnathid</t>
  </si>
  <si>
    <t>NEROPHIS-LUMBRICIFORMIS; SEAGRASS; FISH; ECOLOGY; SYNGNATHIDAE; SEAHORSES; PISCES; BAY; CONSERVATION; TRADE</t>
  </si>
  <si>
    <t>Population structure and life-history variables of the widely distributed alligator pipefish Syngnathoides biaculeatus were characterized in Bootless Bay, Papua New Guinea over the course of 11 months. There was little evidence of seasonality with four focal populations showing no significant change in abundance. Similarly, the sex ratio remained 1:1 for all but 1 month. Reproductive males carrying eggs (148-278 mm in total length, L-T) were found in all months. Brood size was significantly, positively related to male L-T for newly laid broods only. Maximum observed brood size was 351 and mean +/- s.d. brood size was 238 +/- 57 for newly laid broods. Juveniles and males showed no change in mean L-T over the year while slightly smaller females were captured in November 2006 and September 2007. Males were significantly longer than females so von Bertalanffy growth coefficients were estimated separately for each sex: males L-infinity = 285 mm, K = 0.82 year(-1) and females L-infinity = 261 mm, K = 1.10 year(-1). These estimates suggest that this species grows rapidly and has a short-life span. In the context of growing concern about overexploitation of syngnathids, a rapid growth rate combined with year round reproductive activity suggests that the tropical S. biaculeatus may be relatively resilient with regard to fishing pressure.</t>
  </si>
  <si>
    <t>[Martin-Smith, K. M.] Univ Tasmania, Sch Zool, Project Seahorse, Private Bag 05, Hobart, Tas, Australia; [Barrows, A. P. W.; Baine, M. S. P.] Univ Papua New Guinea, Motupore Isl Res Ctr, Waigani, Papua N Guinea; [Martin-Smith, K. M.] Univ Tasmania, Sch Zool, Project Seahorse, Hobart, Tas 7001, Australia</t>
  </si>
  <si>
    <t>University of Tasmania; University of Papua New Guinea; University of Tasmania</t>
  </si>
  <si>
    <t>Martin-Smith, KM (corresponding author), Australian Antarctic Div, 230 Channel Highway, Kingston, Tas 7050, Australia.</t>
  </si>
  <si>
    <t>keith.martin-smith@aad.gov.au</t>
  </si>
  <si>
    <t>Australia and Pacific Science Foundation; Project Seahorse</t>
  </si>
  <si>
    <t>This research was funded by the Australia and Pacific Science Foundation, and supported by Project Seahorse. We thank C. Dako, E. Tovue, J. Wia, T. Daure, R. Lis, E. Silas, B. Jackson and J. Davis for field support and two anonymous reviewers for their comments on the manuscript.</t>
  </si>
  <si>
    <t>0022-1112</t>
  </si>
  <si>
    <t>1095-8649</t>
  </si>
  <si>
    <t>J FISH BIOL</t>
  </si>
  <si>
    <t>J. Fish Biol.</t>
  </si>
  <si>
    <t>10.1111/j.1095-8649.2008.02158.x</t>
  </si>
  <si>
    <t>416RF</t>
  </si>
  <si>
    <t>WOS:000264022500006</t>
  </si>
  <si>
    <t>Chen, YC; Tou, JC; Jaczynski, J</t>
  </si>
  <si>
    <t>Chen, Y. -C.; Tou, J. C.; Jaczynski, J.</t>
  </si>
  <si>
    <t>Amino Acid and Mineral Composition of Protein and Other Components and Their Recovery Yields from Whole Antarctic Krill (Euphausia superba) Using Isoelectric Solubilization/Precipitation</t>
  </si>
  <si>
    <t>isoelectric solubilization/precipitation; krill amino acid profile; krill mineral profile; krill proteins; protein recovery</t>
  </si>
  <si>
    <t>PROCESSING BY-PRODUCTS; HUMAN CONSUMPTION; NUTRITIONAL-VALUE; PH; GELATION; QUALITY</t>
  </si>
  <si>
    <t>Proteins and insolubles were recovered from whole Antarctic krill via novel isoelectric solubilization/precipitation using different pH treatments. The protein recovery yield was 45% to 50% ( dry basis). The recovered proteins had higher (P &lt; 0.05) content of essential amino acids (EAAs) and non-EAAs as well as higher ( P &lt; 0.05) ratio of total EAA/total AA than whole krill. The EAAs constituted almost 50% of total AAs. The least extreme pH treatments (pHs 3 and 12) yielded highest ( P &lt; 0.05) content of EAAs. The quality of recovered proteins was high based on EAAs meeting FAO/WHO/UNU recommendations for adults and infants. The basic pH yielded proteins with the lowest (P &lt; 0.05) amount of minerals and the highest (P &lt; 0.05) amount of Ca, P, and Mg in the insolubles when compared to the acidic treatments. However, both basic and acidic treatments effectively removed minerals from recovered proteins without the removal of the exoskeleton before processing. Therefore, besides high-quality proteins, the insolubles may provide a mineral supplement in the animal diet.</t>
  </si>
  <si>
    <t>[Tou, J. C.; Jaczynski, J.] W Virginia Univ, Morgantown, WV 26505 USA; [Chen, Y. -C.] Chung Shan Med Univ, Sch Nutr, Taichung, Taiwan</t>
  </si>
  <si>
    <t>West Virginia University; Chung Shan Medical University</t>
  </si>
  <si>
    <t>Jaczynski, J (corresponding author), W Virginia Univ, POB 6108, Morgantown, WV 26505 USA.</t>
  </si>
  <si>
    <t>Jacek.Jaczynski@mail.wvu.edu</t>
  </si>
  <si>
    <t>Chen, Yi-Chen/GVU-0551-2022; Chen, Yiyi/IAR-4632-2023</t>
  </si>
  <si>
    <t>CHEN, YI-CHEN/0000-0002-4616-2115</t>
  </si>
  <si>
    <t>H31</t>
  </si>
  <si>
    <t>H39</t>
  </si>
  <si>
    <t>10.1111/j.1750-3841.2008.01026.x</t>
  </si>
  <si>
    <t>420EU</t>
  </si>
  <si>
    <t>WOS:000264272500028</t>
  </si>
  <si>
    <t>Benoit, JB; Elnitsky, MA; Schulte, GG; Lee, RE; Denlinger, DL</t>
  </si>
  <si>
    <t>Benoit, J. B.; Elnitsky, M. A.; Schulte, G. G.; Lee, R. E., Jr.; Denlinger, D. L.</t>
  </si>
  <si>
    <t>Antarctic Collembolans Use Chemical Signals to Promote Aggregation and Egg Laying</t>
  </si>
  <si>
    <t>JOURNAL OF INSECT BEHAVIOR</t>
  </si>
  <si>
    <t>Aggregation; oviposition; pheromone; Collembola; Antarctica</t>
  </si>
  <si>
    <t>CRYPTOPYGUS-ANTARCTICUS; ALASKOZETES-ANTARCTICUS; PHEROMONE; BEETLE; SEMIOCHEMICALS; OVIPOSITION; TEMPERATURE; POPULATIONS; ARTHROPODS; FEMALES</t>
  </si>
  <si>
    <t>Terrestrial arthropods that reside in Antarctica are exposed to considerable periods of environmental stress, thus factors that promote identification of favorable microhabitats are extremely important. In this study, we report the presence of chemical cues that induce oviposition and aggregation in two species of Antarctic collembolans, Cryptopygus antarcticus and Friesea grisea. Responses of the Collembola were enhanced by low temperatures but were not altered by humidity. One of the major physiological benefits derived from an aggregation was a substantial reduction in water loss rates. Although F. grisea and C. antarcticus were commonly found in cross-species aggregations, we found no evidence to suggest cross-species attraction. When individuals were exposed to areas previously occupied by groups of Collembola, more eggs were laid. Thus, chemicals released by the collembolans appear to induce both aggregation and oviposition in these Antarctic species.</t>
  </si>
  <si>
    <t>[Benoit, J. B.; Denlinger, D. L.] Ohio State Univ, Dept Entomol, Columbus, OH 43210 USA; [Elnitsky, M. A.; Schulte, G. G.; Lee, R. E., Jr.] Miami Univ, Dept Zool, Oxford, OH 45056 USA</t>
  </si>
  <si>
    <t>We thank the staff at Palmer Station, Antarctica for their assistance. Funding for this research was provided by NSF grants OPP-0337656 and OPP-0413786.</t>
  </si>
  <si>
    <t>SPRINGER/PLENUM PUBLISHERS</t>
  </si>
  <si>
    <t>0892-7553</t>
  </si>
  <si>
    <t>1572-8889</t>
  </si>
  <si>
    <t>J INSECT BEHAV</t>
  </si>
  <si>
    <t>J. Insect Behav.</t>
  </si>
  <si>
    <t>10.1007/s10905-008-9159-7</t>
  </si>
  <si>
    <t>Entomology</t>
  </si>
  <si>
    <t>397YQ</t>
  </si>
  <si>
    <t>WOS:000262698700004</t>
  </si>
  <si>
    <t>Mongin, MM; Abraham, ER; Trull, TW</t>
  </si>
  <si>
    <t>Mongin, M. M.; Abraham, E. R.; Trull, T. W.</t>
  </si>
  <si>
    <t>Winter advection of iron can explain the summer phytoplankton bloom that extends 1000 km downstream of the Kerguelen Plateau in the Southern Ocean</t>
  </si>
  <si>
    <t>JOURNAL OF MARINE RESEARCH</t>
  </si>
  <si>
    <t>DISSOLVED IRON; ISLANDS; VARIABILITY; CIRCULATION; WATERS</t>
  </si>
  <si>
    <t>The predominantly low-chlorophyll conditions of the Southern Ocean are punctuated by regions of elevated phytoplankton biomass, including a bloom in the Antarctic Circumpolar Current (ACC) that extends for 1000 km downstream of the Kerguelen-Heard islands. Summer-time studies have demonstrated that iron from the islands and intervening shallow plateau (300-600 m) fuels localized production. Whether this supply, or alternatively iron brought to the surface by enhanced mixing in ACC eddies, drives the more extensive downstream bloom has not been addressed. We show that the extent and shape of the downstream bloom can be reproduced by simulating the winter-tithe spread of a slowly-decaying tracer (iron) from the islands and plateau using a satellite-altimetry based advection scheme. This suggests that mesoscale activity in the ACC plays a minor role in generating the enhanced biomass and emphasizes the importance of shallow bathymetry, large-scale advection, and winter-time observations in understanding the productivity of the Southern Ocean.</t>
  </si>
  <si>
    <t>[Mongin, M. M.; Trull, T. W.] Antarctic Climate &amp; Ecosyt CRC, Hobart, Tas 7001, Australia; [Mongin, M. M.; Trull, T. W.] CSIRO Marine &amp; Atmospher Res, Hobart, Tas 7001, Australia; [Abraham, E. R.] Dragonfly, Wellington 6023, New Zealand; [Trull, T. W.] Univ Tasmania, Inst Antarctic &amp; So Ocean Studies, Hobart, Tas 7001, Australia</t>
  </si>
  <si>
    <t>University of Tasmania; Commonwealth Scientific &amp; Industrial Research Organisation (CSIRO); University of Tasmania</t>
  </si>
  <si>
    <t>Mongin, MM (corresponding author), Antarctic Climate &amp; Ecosyt CRC, Hobart, Tas 7001, Australia.</t>
  </si>
  <si>
    <t>mathieu.mongin@csiro.au</t>
  </si>
  <si>
    <t>Trull, Tom W/B-7028-2014; Abraham, Edward R/D-7422-2011; mongin, mathieu/G-4169-2015</t>
  </si>
  <si>
    <t>Abraham, Edward R/0000-0003-4490-6704; mongin, mathieu/0000-0001-9647-0530</t>
  </si>
  <si>
    <t>Australian Commonwealth Cooperative Research Centres Program</t>
  </si>
  <si>
    <t>Australian Commonwealth Cooperative Research Centres Program(Australian GovernmentDepartment of Industry, Innovation and ScienceCooperative Research Centres (CRC) Programme)</t>
  </si>
  <si>
    <t>We thank Richard Matear, Andrew Bowie, and Matt Charette for insightful discussions, and David Griffins and Steve Rintoul for constructive internal reviews. This work was funded by the Australian Commonwealth Cooperative Research Centres Program.</t>
  </si>
  <si>
    <t>SEARS FOUNDATION MARINE RESEARCH</t>
  </si>
  <si>
    <t>NEW HAVEN</t>
  </si>
  <si>
    <t>YALE UNIV, KLINE GEOLOGY LAB, 210 WHITNEY AVENUE, NEW HAVEN, CT 06520-8109 USA</t>
  </si>
  <si>
    <t>0022-2402</t>
  </si>
  <si>
    <t>J MAR RES</t>
  </si>
  <si>
    <t>J. Mar. Res.</t>
  </si>
  <si>
    <t>10.1357/002224009789051218</t>
  </si>
  <si>
    <t>488UI</t>
  </si>
  <si>
    <t>WOS:000269375200006</t>
  </si>
  <si>
    <t>Silva, MC; Edwards, SV</t>
  </si>
  <si>
    <t>silva, Monica C.; Edwards, Scott V.</t>
  </si>
  <si>
    <t>Structure and Evolution of a New Avian MHC Class II B Gene in a Sub-Antarctic Seabird, the Thin-Billed Prion (Procellariiformes: Pachyptila belcheri)</t>
  </si>
  <si>
    <t>JOURNAL OF MOLECULAR EVOLUTION</t>
  </si>
  <si>
    <t>Major histocompatibility complex; Peptide binding region; Polymorphism; Balancing selection; Procellariiformes</t>
  </si>
  <si>
    <t>MAJOR HISTOCOMPATIBILITY COMPLEX; BLACKBIRDS AGELAIUS-PHOENICEUS; BALANCING SELECTION; DIVERSIFYING SELECTION; ALLELIC DIVERSITY; HAPLOTYPE RECONSTRUCTION; NUCLEOTIDE SUBSTITUTION; OVERDOMINANT SELECTION; PHYLOGENETIC NETWORKS; NATURAL-SELECTION</t>
  </si>
  <si>
    <t>The major histocompatibility complex encodes molecules that present foreign peptides to T cells of the immune system. The peptide binding region (PBR) of these molecules is among the most polymorphic regions found in vertebrate taxa. Genomic cloning approaches are improving our understanding of the evolution of this multigene family in nonmodel avian groups. By building a cosmid library, a new MHC class II B gene, Pabe-DAB1, was isolated and characterized at the genomic level in a sub-Antarctic seabird, the thin-billed prion (Pachyptila belcheri). Pabe-DAB1 exhibits the hallmark structural features of functional MHC class II loci. Direct sequencing of the PBR encoding exon in a panel of prions revealed significantly higher levels of genetic diversity compared to two noncoding neutral loci, with most alleles differing by at least one replacement substitution in the peptide binding codons. We estimated evolutionary dynamics for Pabe-DAB1 using a variety of Bayesian and other approaches. Evidence for balancing selection comes from a spatially variable ratio of nonsynonymous-to-synonymous substitutions (mean d (N)/d (S) = 2.87) in the PBR, with sites predicted to be functionally relevant exhibiting the highest omega values. We estimate the population recombination rate to be approximately 0.3 per site per generation, indicating an important role for recombination in generating polymorphism at this locus. Pabe-DAB1 is among the few avian class II loci characterized at the genomic level and with a known intron-exon structure, a feature that greatly facilitated the amplification and sequencing of a single MHC locus in this species.</t>
  </si>
  <si>
    <t>[silva, Monica C.] Univ Lisbon, Fac Ciencias, Dept Biol Anim, Ctr Biol Ambiental, P-1749016 Lisbon, Portugal; [silva, Monica C.; Edwards, Scott V.] Univ Washington, Dept Biol, Seattle, WA 98195 USA; [Edwards, Scott V.] Harvard Univ, Dept Organism &amp; Evolutionary Biol, Cambridge, MA 02138 USA</t>
  </si>
  <si>
    <t>Universidade de Lisboa; University of Washington; University of Washington Seattle; Harvard University</t>
  </si>
  <si>
    <t>Silva, MC (corresponding author), Univ Lisbon, Fac Ciencias, Dept Biol Anim, Ctr Biol Ambiental, Bloco C2,3 Piso,Campo Grande, P-1749016 Lisbon, Portugal.</t>
  </si>
  <si>
    <t>mssilva@fc.ul.pt</t>
  </si>
  <si>
    <t>Edwards, Scott V./D-9071-2018; Silva, Monica/ABG-1984-2021</t>
  </si>
  <si>
    <t>Edwards, Scott V./0000-0003-2535-6217; Silva, Monica/0000-0003-2404-3964</t>
  </si>
  <si>
    <t>Fundacao para a Ciencia e a Tecnologia [BD/9356/96, BPD/22276/2006]; New Island Conservation Trust; Margaret Morse Nice Fund; Sigma-XI; National Science Foundation</t>
  </si>
  <si>
    <t>Fundacao para a Ciencia e a Tecnologia(Fundacao para a Ciencia e a Tecnologia (FCT)); New Island Conservation Trust; Margaret Morse Nice Fund; Sigma-XI; National Science Foundation(National Science Foundation (NSF))</t>
  </si>
  <si>
    <t>Many thanks are due to I. Strange and the New Island Conservation Trust for allowing us access to New Island and to work with its population of thin-billed prions. The authors are grateful to J. Gasper for his invaluable help during lab work and assistance at different stages of this study. Help from W. Swanson and B. Wakimoto was also instrumental in the success of this project. S. MacKay helped with sample collection and software data analysis. H. Walsh kindly provided us with her MHC primers. J. C. Silva, H. Walsh, J. Gasper, and anonymous reviewer provided useful comments on the manuscript. Funding was provided by research grants from Fundacao para a Ciencia e a Tecnologia to MCS (BD/9356/96 and BPD/22276/2006). Financial support was also provided by the New Island Conservation Trust, the Margaret Morse Nice Fund, and Sigma-XI to M. C. S. and by grants from the National Science Foundation to SVE.</t>
  </si>
  <si>
    <t>0022-2844</t>
  </si>
  <si>
    <t>J MOL EVOL</t>
  </si>
  <si>
    <t>J. Mol. Evol.</t>
  </si>
  <si>
    <t>10.1007/s00239-009-9200-2</t>
  </si>
  <si>
    <t>420CF</t>
  </si>
  <si>
    <t>WOS:000264265300010</t>
  </si>
  <si>
    <t>Austin, E; Semmens, K; Parsons, C; Treonis, A</t>
  </si>
  <si>
    <t>Austin, Erin; Semmens, Katharine; Parsons, Charles; Treonis, Amy</t>
  </si>
  <si>
    <t>Granite Rock Outcrops: An Extreme Environment for Soil Nematodes?</t>
  </si>
  <si>
    <t>JOURNAL OF NEMATOLOGY</t>
  </si>
  <si>
    <t>Anhydrobiosis; community structure; diversity; ecology; granite flatrock outcrops; Maturity index; nematode survival; primary succession</t>
  </si>
  <si>
    <t>ANTARCTIC DRY VALLEYS; COMMUNITY STRUCTURE; PRIMARY SUCCESSION; PLANT-COMMUNITIES; DESERT ECOSYSTEM; ANHYDROBIOSIS; DIVERSITY; ECOLOGISTS; ABUNDANCE; SURVIVAL</t>
  </si>
  <si>
    <t>We studied soil nematode communities from the Surface of granite flatrock outcrops in the eastern Piedmont region of the United States. The thin soils that develop here experience high light intensity and extreme fluctuations in temperature and moisture and host unique plant communities. We collected soils from outcrop microsites in Virginia (VA) and North Carolina (NC) in various stages of succession (Primitive, Minimal, and Mature) and compared soil properties and nematode communities to those of adjacent forest soils. Nematodes were present in most outcrop soils, with densities comparable to forest soils (P &gt; 0.05). Nematode communities in Mature and Minimal soils had lower species richness than forest soils (P &lt; 0.05) and contained more bacterial-feeders and fewer fungal-feeders (P &lt; 0.05). Primitive soils contained either no nematodes (NC) or only a single species (Mesodorylaimus sp., VA). Nematode communities were similar between Mature and Minimal soils, according to trophic group representation, MI, PPI, EI, SI, and CI (P &gt; 0.05). Forest soils had a higher PPI value (P &lt; 0.05), but otherwise community indices were similar to outcrop soils (P &gt; 0.05). Outcrop nematode communities failed to group together in a Bray-Curtis cluster analysis, indicating higher variability in community Structure than the Forest soils, which did cluster together. A high proportion of the nematodes were extracted from outcrop soils in coiled form (33-89%), indicating that they used anhydrobiosis to persist in this unique environment.</t>
  </si>
  <si>
    <t>[Austin, Erin; Semmens, Katharine; Parsons, Charles; Treonis, Amy] Univ Richmond, Dept Biol, Richmond, VA 23173 USA</t>
  </si>
  <si>
    <t>University of Richmond</t>
  </si>
  <si>
    <t>Austin, E (corresponding author), Univ Richmond, Dept Biol, Richmond, VA 23173 USA.</t>
  </si>
  <si>
    <t>atreonis@richmond.edu</t>
  </si>
  <si>
    <t>University of Richmond College of Arts Sciences</t>
  </si>
  <si>
    <t>The authors thank Wanda SanJoule at The Nature Conservancy and Jeff Masten and Walt Tysinger at the Triangle Land Conservancy for use of field sites and Seth Lipstock and Cecilia O'Leary for laboratory assistance. EA, CP, and KS received undergraduate research funding from the University of Richmond College of Arts &amp; Sciences.</t>
  </si>
  <si>
    <t>SOC NEMATOLOGISTS</t>
  </si>
  <si>
    <t>MARCELINE</t>
  </si>
  <si>
    <t>PO BOX 311, MARCELINE, MO 64658 USA</t>
  </si>
  <si>
    <t>0022-300X</t>
  </si>
  <si>
    <t>J NEMATOL</t>
  </si>
  <si>
    <t>J. Nematol.</t>
  </si>
  <si>
    <t>542QD</t>
  </si>
  <si>
    <t>WOS:000273508900012</t>
  </si>
  <si>
    <t>Machín, F; Pelegrí, JL</t>
  </si>
  <si>
    <t>Machin, F.; Pelegri, J. L.</t>
  </si>
  <si>
    <t>Northward Penetration of Antarctic Intermediate Water off Northwest Africa</t>
  </si>
  <si>
    <t>EASTERN BOUNDARY CURRENT; TROPICAL ATLANTIC-OCEAN; GIBRALTAR OBSERVATIONS CANIGO; CANARY-ISLANDS; CURRENT SYSTEM; SUBTROPICAL GYRE; SOUTH-ATLANTIC; CIRCULATION; THERMOCLINE; AZORES</t>
  </si>
  <si>
    <t>In this article, historical and climatological datasets are used to investigate the seasonal northward propagation of Antarctic Intermediate Waters (AAIW) along the eastern margin of the North Atlantic subtropical gyre. A cluster analysis for data north of 26 degrees N shows the presence of a substantial number of hydrographic stations with AAIW characteristics that stretch northeast along the African slope. This water mass extends north during fall, as shown both through the comparison of actual and climatological data, and by applying a mixing analysis to normal-to-shore seasonal sections at both 28.5 degrees and 32 degrees N. The mixing analysis is further used with several fall cruises between 32 degrees and 36 degrees N, and shows that at these latitudes the core of AAIW propagates along the 27.5 isoneutral with contributions that reach as much as 50% at 32.5 degrees N. An idealized Sverdrup-type model is used in combination with climatological hydrographic and wind data to examine what forces this eastern boundary propagation. It is found that column stretching, initiated in the tropical North Atlantic, is the dominant term in the vorticity balance of the AAIW stratum, capable of sustaining a winter-spring-summer northward transport of about 3-4 Sv (1 Sv 10(6) m(3) s(-1)) that reaches as far north as the Canary Archipelago (28 degrees N). In fall, this transport may continue beyond 28 degrees N, sustained by a near-slope meridional stretching of this water stratum. AAIW probably fades away in the northeastern region as the result of several processes, specially enhanced double diffusion with surrounding waters and interaction with Mediterranean water lenses.</t>
  </si>
  <si>
    <t>[Machin, F.; Pelegri, J. L.] CSIC, Inst Ciencias Mar, E-08003 Barcelona, Spain</t>
  </si>
  <si>
    <t>Consejo Superior de Investigaciones Cientificas (CSIC); CSIC - Centro Mediterraneo de Investigaciones Marinas y Ambientales (CMIMA); CSIC - Instituto de Ciencias del Mar (ICM)</t>
  </si>
  <si>
    <t>Machín, F (corresponding author), CSIC, Inst Ciencias Mar, Passeig Maritim Barceloneta 37-49, E-08003 Barcelona, Spain.</t>
  </si>
  <si>
    <t>fmachin@icm.csic.es</t>
  </si>
  <si>
    <t>Machin, Francisco/A-9287-2009; Pelegrí, Josep L/L-5815-2014</t>
  </si>
  <si>
    <t>Machin, Francisco/0000-0002-4281-6804; Pelegrí, Josep L/0000-0003-0661-2190</t>
  </si>
  <si>
    <t>Ministerio de Educacion y Ciencia through the Juan de la Cierva Program; Ministerio de Educacion y Ciencia, Spain, through Project CANOA [CTM2005-00444/MAR]</t>
  </si>
  <si>
    <t>Ministerio de Educacion y Ciencia through the Juan de la Cierva Program(German Research Foundation (DFG)); Ministerio de Educacion y Ciencia, Spain, through Project CANOA(Spanish Government)</t>
  </si>
  <si>
    <t>The first author has been funded by the Ministerio de Educacion y Ciencia through the Juan de la Cierva Program. We are very grateful to our editor, Lynne Talley, and two anonymous reviewers for many useful comments and suggestions. We are also thankful to Jaime Palter for several useful discussions. We wish to thank the Woods Hole Oceanographic Institution and the U. S. National Oceanographic Data Center for making available the pre-WOCE, WOCE, and Hydrobase datasets. Funding for this work comes from the Ministerio de Educacion y Ciencia, Spain, through Project CANOA (CTM2005-00444/MAR).</t>
  </si>
  <si>
    <t>10.1175/2008JPO3825.1</t>
  </si>
  <si>
    <t>431ZV</t>
  </si>
  <si>
    <t>WOS:000265104200003</t>
  </si>
  <si>
    <t>Kusahara, K; Ohshima, KI</t>
  </si>
  <si>
    <t>Kusahara, Kazuya; Ohshima, Kay I.</t>
  </si>
  <si>
    <t>Dynamics of the Wind-Driven Sea Level Variation around Antarctica</t>
  </si>
  <si>
    <t>DRAKE PASSAGE; CIRCUMPOLAR CURRENT; BAROMETRIC-PRESSURE; ANNULAR MODE; TIME SCALES; SHELF WAVES; WEDDELL SEA; OCEAN; VARIABILITY; TRANSPORT</t>
  </si>
  <si>
    <t>Coastal sea level variation around Antarctica is characterized by a coherent (circumpolarly in-phase) fluctuation, correlated with the Antarctic Oscillation (AAO). This study addresses the dynamics of the wind-driven sea level variation around Antarctica. A realistic barotropic numerical model reproduced well the observed sea level around Antarctica. From numerical model experiments, the authors demonstrate that the forcing responsible for the coastal sea level is the wind stress at the coastal boundary. Both the dominant coherent signal and westward propagating signals are identified in the model, and these signals are trapped over the shelf and slope around Antarctica. As a mechanism of these trapped signals, the authors consider analytical solutions of the oceanic response to alongshore wind stress over the shelf and slope in the circumpolar domain. In these solutions, besides the shelf wave mode, a wavenumber-zero mode appears and characterizes the coastal dynamics around Antarctica. At periods from 10 to 200 days, the coherent sea level can be explained quantitatively by the solution of this wavenumber-zero mode with a 5-10-day damping time scale. The spectral peaks of the westward propagating signals can be explained by the resonance of the shelf wave mode. The wavenumber-zero mode can respond to the wavenumber-zero forcing at any frequency and the degree of response increases with decreasing frequency. In addition, the wavenumber-zero component of wind stress, corresponding to the AAO variation, is a dominant forcing. Therefore, the coherent sea level variation around Antarctica is preferably generated and becomes a dominant feature in the circumpolar domain, particularly at lower frequencies.</t>
  </si>
  <si>
    <t>[Kusahara, Kazuya] Hokkaido Univ, Grad Sch Environm Earth Sci, Sapporo, Hokkaido 060, Japan; [Kusahara, Kazuya; Ohshima, Kay I.] Hokkaido Univ, Inst Low Temp Sci, Sapporo, Hokkaido 060, Japan</t>
  </si>
  <si>
    <t>Hokkaido University; Hokkaido University</t>
  </si>
  <si>
    <t>Kusahara, K (corresponding author), Univ Tokyo, Ctr Climate Syst Res, 5-1-5 Kashiwanoha, Kashiwa, Chiba 2778568, Japan.</t>
  </si>
  <si>
    <t>kusahara@ccsr.u-tokyo.ac.jp</t>
  </si>
  <si>
    <t>Ohshima, Kay I/D-6909-2012</t>
  </si>
  <si>
    <t>Kusahara, Kazuya/0000-0003-4067-7959</t>
  </si>
  <si>
    <t>10.1175/2008JPO3982.1</t>
  </si>
  <si>
    <t>WOS:000265104200010</t>
  </si>
  <si>
    <t>Lenn, YD; Chereskin, TK</t>
  </si>
  <si>
    <t>Lenn, Yueng-Djern; Chereskin, Teresa K.</t>
  </si>
  <si>
    <t>Observations of Ekman Currents in the Southern Ocean</t>
  </si>
  <si>
    <t>ANTARCTIC CIRCUMPOLAR CURRENT; WIND-DRIVEN CURRENTS; BALANCE; LAYER; HEAT; FLUX</t>
  </si>
  <si>
    <t>Largely zonal winds in the Southern Ocean drive an equatorward Ekman transport that constitutes the shallowest limb of the meridional overturning circulation of the Antarctic Circumpolar Current (ACC). Despite its importance, there have been no direct observations of the open ocean Ekman balance in the Southern Ocean until now. Using high-resolution repeat observations of upper-ocean velocity in Drake Passage, a mean Ekman spiral is resolved and Ekman transport is computed. The mean Ekman currents decay in amplitude and rotate anticyclonically with depth, penetrating to similar to 100-m depth, above the base of the annual mean mixed layer at 120 m. The rotation depth scale exceeds the e-folding scale of the speed by about a factor of 3, resulting in a current spiral that is compressed relative to predictions from Ekman theory. Transport estimated from the observed currents is mostly equatorward and in good agreement with the Ekman transport computed from four different gridded wind products. The mean temperature of the Ekman layer is not distinguishable from temperature at the surface. Turbulent eddy viscosities inferred from Ekman theory and a direct estimate of the time-averaged stress were O(10(2)-10(3)) cm(2) s(-1). The latter calculation results in a profile of eddy viscosity that decreases in magnitude with depth and a time-averaged stress that is not parallel to the time-averaged vertical shear. The compression of the Ekman spiral and the nonparallel shear-stress relation are likely due to time averaging over the cycling of the stratification in response to diurnal buoyancy fluxes, although the action of surface waves and the oceanic response to high-frequency wind variability may also contribute.</t>
  </si>
  <si>
    <t>[Lenn, Yueng-Djern] Bangor Univ, Sch Ocean Sci, Menai Bridge LL59 5AB, Anglesey, Wales; [Chereskin, Teresa K.] Univ Calif San Diego, Scripps Inst Oceanog, La Jolla, CA 92093 USA</t>
  </si>
  <si>
    <t>Bangor University; University of California System; University of California San Diego; Scripps Institution of Oceanography</t>
  </si>
  <si>
    <t>Lenn, YD (corresponding author), Bangor Univ, Sch Ocean Sci, Menai Bridge LL59 5AB, Anglesey, Wales.</t>
  </si>
  <si>
    <t>Lenn, Yueng-Djern/0000-0001-6031-523X; Chereskin, Teresa/0000-0003-1214-0978</t>
  </si>
  <si>
    <t>National Science Foundation Office of Polar Programs [OPP-9816226/-0338103]; Division of Ocean Sciences [OCE-0327544]</t>
  </si>
  <si>
    <t>National Science Foundation Office of Polar Programs(National Science Foundation (NSF)NSF - Directorate for Geosciences (GEO)); Division of Ocean Sciences(National Science Foundation (NSF)NSF - Directorate for Geosciences (GEO))</t>
  </si>
  <si>
    <t>We acknowledge support from the National Science Foundation Office of Polar Programs (Grant OPP-9816226/-0338103) and the Division of Ocean Sciences (Grant OCE-0327544). Janet Sprintall generously provided the temperatures and geostrophic shear estimates from the Drake Passage XBT data. We are also grateful to the captain and crew of the ARSV Laurence M. Gould and to Raytheon Polar Services Corporation for their excellent technical and logistical support on the cruises. Eric Firing, Jules Hummon, and Sharon Escher have been invaluable for their contribution to the ADCP data collection, processing, and editing. Conversations with Janet Sprintall, Sarah Gille, Shane Elipot, Jeff Polton, Gordon Stephenson, and Paola Cessi have provided much insight into the problem.</t>
  </si>
  <si>
    <t>10.1175/2008JPO3943.1</t>
  </si>
  <si>
    <t>WOS:000265104200017</t>
  </si>
  <si>
    <t>Kyhn, LA; Tougaard, J; Jensen, F; Wahlberg, M; Stone, G; Yoshinaga, A; Beedholm, K; Madsen, PT</t>
  </si>
  <si>
    <t>Kyhn, Line A.; Tougaard, J.; Jensen, F.; Wahlberg, M.; Stone, G.; Yoshinaga, A.; Beedholm, K.; Madsen, P. T.</t>
  </si>
  <si>
    <t>Feeding at a high pitch: Source parameters of narrow band, high-frequency clicks from echolocating off-shore hourglass dolphins and coastal Hector's dolphins</t>
  </si>
  <si>
    <t>JOURNAL OF THE ACOUSTICAL SOCIETY OF AMERICA</t>
  </si>
  <si>
    <t>bioacoustics; biocommunications; mechanoception; zoology</t>
  </si>
  <si>
    <t>PORPOISE NEOPHOCAENA-PHOCAENOIDES; BOTTLE-NOSED-DOLPHIN; SPERM-WHALE CLICKS; PHOCOENA-PHOCOENA; ORCINUS-ORCA; RANGE; COMMUNICATION; VOCALIZATIONS; EVOLUTION; SIGNALS</t>
  </si>
  <si>
    <t>Toothed whales depend on echolocation for orientation and prey localization, and source parameters of echolocation clicks from free-ranging animals therefore convey valuable information about the acoustic physiology and behavioral ecology of the recorded species. Recordings of wild hourglass (Lagenorhynchus cruciger) and Hector's dolphins (Cephalorhynchus hectori) were made in the Drake Passage (between Tierra del Fuego and the Antarctic Peninsular) and Banks Peninsular (Akaroa Harbour, New Zealand) with a four element hydrophone array. Analysis of source parameters shows that both species produce narrow band high-frequency (NBHF) echolocation clicks. Coastal Hector's dolphins produce clicks with a mean peak frequency of 129 kHz, 3 dB bandwidth of 20 kHz, 57 mu s, 10 dB duration, and mean apparent source level (ASL) of 177 dB re 1 mu Pap.-p.. The oceanic hourglass dolphins produce clicks with mean peak frequency of 126 kHz, 3 dB bandwidth of 8 kHz, 116 mu s, 10 dB duration, and a mean estimated ASL of 197 dB re 1 mu Pap.-p.. Thus, hourglass dolphins apparently produce clicks of higher source level, which should allow them to detect prey at more than twice the distance compared to Hector's dolphins. The observed source parameter differences within these two NBHF species may be an adaptation to a coastal cluttered environment versus a deep water, pelagic habitat.</t>
  </si>
  <si>
    <t>[Kyhn, Line A.; Tougaard, J.] Univ Aarhus, Natl Environm Res Inst, Dept Arctic Environm, DK-4000 Roskilde, Denmark; [Kyhn, Line A.; Jensen, F.; Beedholm, K.; Madsen, P. T.] Aarhus Univ, Dept Biol Sci, DK-8000 Aarhus, Denmark; [Wahlberg, M.] Fjord&amp;Baelt, DK-5600 Kerteminde, Denmark; [Stone, G.; Yoshinaga, A.] England Aquarium Cent Wharf, Boston, MA 02110 USA; [Madsen, P. T.] Woods Hole Oceanog Inst, Woods Hole, MA USA</t>
  </si>
  <si>
    <t>Aarhus University; Aarhus University; Woods Hole Oceanographic Institution</t>
  </si>
  <si>
    <t>Kyhn, LA (corresponding author), Univ Aarhus, Natl Environm Res Inst, Dept Arctic Environm, Frederiksborgvej 399, DK-4000 Roskilde, Denmark.</t>
  </si>
  <si>
    <t>lky@dmu.dk</t>
  </si>
  <si>
    <t>Tougaard, Jakob/G-4948-2011; Kyhn, Line Anker/AAY-9923-2021; Jensen, Frants/G-3438-2013; Madsen, Peter T./K-5832-2013</t>
  </si>
  <si>
    <t>Tougaard, Jakob/0000-0002-4422-7800; Jensen, Frants/0000-0001-8776-3606; Madsen, Peter T./0000-0002-5208-5259; Kyhn, Line/0000-0002-0926-6812</t>
  </si>
  <si>
    <t>Danish Galathea3 oceanographic expedition; Danish Expedition Foundation; Villum Kann Rasmussen's Foundation; Knud Hojgaard's Foundation; RESON A/S and National Instruments; Galathea3 Expedition</t>
  </si>
  <si>
    <t>This study was conducted as part of the Danish Galathea3 oceanographic expedition, which took place in 2006-2007 and was organized and sponsored by the Danish Expedition Foundation. Special thanks goes to the crew on HDMS Vadderen, in particular, Chief of Operations D. Vad and the RHIB crew M. Erdman and S. S. Nielsen for excellent seamanship and devotion to the project. This study was funded by Villum Kann Rasmussen's Foundation and Knud Hojgaard's Foundation. Additional support from RESON A/S and National Instruments, Denmark is also acknowledged. This is publication No. P16 from the Galathea3 Expedition.</t>
  </si>
  <si>
    <t>ACOUSTICAL SOC AMER AMER INST PHYSICS</t>
  </si>
  <si>
    <t>STE 1 NO 1, 2 HUNTINGTON QUADRANGLE, MELVILLE, NY 11747-4502 USA</t>
  </si>
  <si>
    <t>0001-4966</t>
  </si>
  <si>
    <t>1520-8524</t>
  </si>
  <si>
    <t>J ACOUST SOC AM</t>
  </si>
  <si>
    <t>J. Acoust. Soc. Am.</t>
  </si>
  <si>
    <t>10.1121/1.3075600</t>
  </si>
  <si>
    <t>Acoustics; Audiology &amp; Speech-Language Pathology</t>
  </si>
  <si>
    <t>415CL</t>
  </si>
  <si>
    <t>WOS:000263911800057</t>
  </si>
  <si>
    <t>Khare, N; Mazumder, A; Govil, P; Singh, VP</t>
  </si>
  <si>
    <t>Khare, N.; Mazumder, A.; Govil, P.; Singh, V. P.</t>
  </si>
  <si>
    <t>Environmental implication on chamber accretion of Neogloboquadrina pachyderma (Ehrenberg) in southern Indian Ocean</t>
  </si>
  <si>
    <t>Neogloboquadrina pachyderma; Number of chambers; Temperature and salinity; Equatorial to polar region; Indian Ocean</t>
  </si>
  <si>
    <t>TEMPERATURE; GROWTH; PRODUCTIVITY; FORAMINIFERA; ASSEMBLAGES; SALINITY; SURVIVAL</t>
  </si>
  <si>
    <t>Morphological variations with respect to the number of chambers in Neogloboquadrina pachyderma (Ehrenberg) were investigated in 25 surficial sediments of Indian Ocean taken along the N-S transect between 9.69A degrees N and 55.01A degrees S latitude and 80A degrees E and 40A degrees E longitude. The number of chamber was counted for at least 40 specimens picked for each sample. The average number of chamber was correlated with the average temperature and salinity along the changing latitude. The results showed a high correlation between the number of chambers and temperature and salinity. It was noted that number of chambers decreases from equatorial to polar region. The carbonate saturation and nutrient availability could possibly be other causes for the change in number of chambers. The results of this study, if applied on the subsurface marine sediments, will bear implications on paleoclimatic condition in the Indian Ocean region.</t>
  </si>
  <si>
    <t>[Khare, N.; Mazumder, A.; Govil, P.] Natl Ctr Antarctic &amp; Ocean Res, Minist Earth Sci, Headland Sada 403804, Goa, India; [Singh, V. P.] Banaras Hindu Univ, Dept Geol, Varanasi 221005, Uttar Pradesh, India</t>
  </si>
  <si>
    <t>Ministry of Earth Sciences (MoES) - India; National Centre for Polar and Ocean Research (NCPOR); Banaras Hindu University (BHU)</t>
  </si>
  <si>
    <t>Khare, N (corresponding author), Natl Ctr Antarctic &amp; Ocean Res, Minist Earth Sci, Headland Sada 403804, Goa, India.</t>
  </si>
  <si>
    <t>nkhare45@gmail.com</t>
  </si>
  <si>
    <t>Mazumder, Abhijit/0000-0001-9944-5306</t>
  </si>
  <si>
    <t>10.1007/s12594-009-0017-9</t>
  </si>
  <si>
    <t>450YG</t>
  </si>
  <si>
    <t>WOS:000266437300008</t>
  </si>
  <si>
    <t>Quiroga, E; Sellanes, J</t>
  </si>
  <si>
    <t>Quiroga, Eduardo; Sellanes, Javier</t>
  </si>
  <si>
    <t>Growth and size-structure of Stegophiura sp (Echinodermata: Ophiuroidea) on the continental slope off central Chile: a comparison between cold seep and non-seep sites</t>
  </si>
  <si>
    <t>JOURNAL OF THE MARINE BIOLOGICAL ASSOCIATION OF THE UNITED KINGDOM</t>
  </si>
  <si>
    <t>bathyal ophiuroid; cold seep; growth; Chile</t>
  </si>
  <si>
    <t>ANNUAL MACROFAUNA PRODUCTION; BRITTLE STARS; CHEMOSYNTHETIC COMMUNITIES; METHANE SEEPAGE; SEA; AGE; MORTALITY; ATLANTIC; MARGIN; BANDS</t>
  </si>
  <si>
    <t>The growth and size-structure of the bathyal ophiuroid brittle star, Stegophiura sp., were analysed from skeletal growth bands and disc diameter frequencies. Specimens were collected in trawl samples taken on the continental slope off central Chile (similar to 36 degrees S) at two sites within the recently discovered Concepcion Methane Seep Area (CMSA) and at two control non-seep sites. Growth bands were measured as radii of vertebral ossicles from scanning electron microscope (SEM) micrographs and used to provide size-at-age data. The von Bertalanffy and the Gompertz growth models provided good fit to size-at-age data. The size-structure distributions observed in the study area suggest that small-bodied (&lt;10 mm disc diameter) individuals of Stegophiura. sp. are more abundant near seep sites, probably attracted there by the presence of methane-derived authigenic carbonates, which provide a preferred habitat for ophiuroids and benthic fauna in general. Furthermore, size-at-age data from measurements of the ossicle growth bands indicate relatively rapid growth of Stegophiura sp. populations at seep sites. Assuming that the growth rings are annual, the maximum Stegophiura sp. age was estimated to be 15 years. The growth performance of this species falls within the range of values reported for sub-Antarctic and bathyal species.</t>
  </si>
  <si>
    <t>[Quiroga, Eduardo] CIEP, Coyhaique, Chile; [Sellanes, Javier] Univ Catolica Norte, Fac Ciencias Mar, Dept Marine Biol, Coquimbo, Chile; [Sellanes, Javier] Univ Concepcion, Dept Oceanog, Ctr Invest Oceanog Pacifico Oriental COPAS, Concepcion, Chile</t>
  </si>
  <si>
    <t>Universidad Catolica del Norte; Universidad de Concepcion</t>
  </si>
  <si>
    <t>Quiroga, E (corresponding author), CIEP, Bilbao 449, Coyhaique, Chile.</t>
  </si>
  <si>
    <t>eduardo.quiroga@ciep.cl</t>
  </si>
  <si>
    <t>Sellanes, Javier/I-5722-2012; Sellanes, Javier/P-4699-2019</t>
  </si>
  <si>
    <t>Sellanes, Javier/0000-0002-6942-0762; Sellanes, Javier/0000-0002-6942-0762</t>
  </si>
  <si>
    <t>0025-3154</t>
  </si>
  <si>
    <t>J MAR BIOL ASSOC UK</t>
  </si>
  <si>
    <t>J. Mar. Biol. Assoc. U.K.</t>
  </si>
  <si>
    <t>10.1017/S0025315408002786</t>
  </si>
  <si>
    <t>436NF</t>
  </si>
  <si>
    <t>WOS:000265420100025</t>
  </si>
  <si>
    <t>Cherel, Y; Fontaine, C; Jackson, GD; Jackson, CH; Richard, P</t>
  </si>
  <si>
    <t>Cherel, Yves; Fontaine, Camille; Jackson, George D.; Jackson, Christine H.; Richard, Pierre</t>
  </si>
  <si>
    <t>Tissue, ontogenic and sex-related differences in δ13C and δ15N values of the oceanic squid Todarodes filippovae (Cephalopoda: Ommastrephidae)</t>
  </si>
  <si>
    <t>STABLE-ISOTOPE RATIOS; SOUTHERN-OCEAN; TROPHIC RELATIONSHIPS; OCTOPUS-VULGARIS; FOOD WEBS; DIET; CARBON; NITROGEN; BEAKS; SIGNATURES</t>
  </si>
  <si>
    <t>Stable isotopes are increasingly used in the study of trophic interactions of many aquatic animals and most recently cephalopods. To evaluate the application of the method to squids, it is important to assess isotopic differences among and within consumer tissues that may confound the resolution of ecological relationships. Inter- and intra-tissue isotopic variation was examined in 55 individuals of the oceanic squid Todarodes filippovae that were collected at the beginning of April 2000 in the southwestern Indian Ocean (between 44A degrees S, 76A degrees E, and Saint Paul and Amsterdam islands, 38A degrees S, 78A degrees E). Delipidated soft tissues (mantle, arm, buccal mass, gill and reproductive organs) showed small delta C-13 and delta N-15 differences, which were probably tissue-specific. A lower carbon value was observed in the digestive gland as a consequence of incomplete lipid removal. Hard tissues, such as beaks and gladii, had lower N-15 values than soft tissues, which can be explained by the presence of chitin, a N-15-depleted molecule. Females (n = 38) and males (n = 17) had identical delta C-13 values, but females showed higher delta N-15 values than males. The difference was size-related rather than sex-related, however, as females were generally larger than males. A comparison of similar-sized females and males produced identical nitrogen values. These data suggest dietary shifts from lower to higher trophic levels during growth, because delta N-15 values of large T. filippovae were much higher than that of small specimens. As expected, nitrogen values of lower beaks and gladii of large squids increased from the oldest to the most recently formed region, reflecting the progressive growth of chitinized tissues in parallel with dietary changes. Sequential sampling along the growth increments of squid beaks and gladii can likely be used to produce a chronological record of dietary information throughout an individual's history.</t>
  </si>
  <si>
    <t>[Cherel, Yves; Fontaine, Camille] CNRS, Ctr Etud Biol Chize, UPR 1934, F-79360 Villiers En Bois, France; [Jackson, George D.; Jackson, Christine H.] Univ Tasmania, Inst Antarctic &amp; So Ocean Studies, Hobart, Tas 7001, Australia; [Richard, Pierre] Univ La Rochelle, CNRS, Lab Littoral Environm &amp; Soc, UMR 6250, F-17000 La Rochelle, France</t>
  </si>
  <si>
    <t>Centre National de la Recherche Scientifique (CNRS); University of Tasmania; La Rochelle Universite; Centre National de la Recherche Scientifique (CNRS)</t>
  </si>
  <si>
    <t>Cherel, Y (corresponding author), CNRS, Ctr Etud Biol Chize, UPR 1934, BP 14, F-79360 Villiers En Bois, France.</t>
  </si>
  <si>
    <t>cherel@cebc.cnrs.fr</t>
  </si>
  <si>
    <t>Jackson, George D/AAI-7315-2021; Richard, Pierre/N-6482-2014</t>
  </si>
  <si>
    <t>Richard, Pierre/0000-0002-0393-9967</t>
  </si>
  <si>
    <t>Hermon Slade</t>
  </si>
  <si>
    <t>The authors thank G. Duhamel, P. Provost, and the crew from La Curieuse for their help in collecting cephalopods at sea, and G. Guillou for stable isotope analysis. The present work was supported Wnancially and logistically by the Institut Polaire Fran ais Paul Emile Victor (IPEV, Programme No. 109, H. Weimerskirch), and the Terres Australes et Antarctiques Fran aises. Stable isotope analysis was supported by a Hermon Slade grant awarded to G. D. Jackson.</t>
  </si>
  <si>
    <t>10.1007/s00227-008-1121-x</t>
  </si>
  <si>
    <t>407RA</t>
  </si>
  <si>
    <t>WOS:000263380800016</t>
  </si>
  <si>
    <t>Genzano, GN; Giberto, D; Schejter, L; Bremec, C; Meretta, P</t>
  </si>
  <si>
    <t>Genzano, Gabriel N.; Giberto, Diego; Schejter, Laura; Bremec, Claudia; Meretta, Pablo</t>
  </si>
  <si>
    <t>Hydroid assemblages from the Southwestern Atlantic Ocean (34-42° S)</t>
  </si>
  <si>
    <t>MARINE ECOLOGY-AN EVOLUTIONARY PERSPECTIVE</t>
  </si>
  <si>
    <t>Assemblages; biogeography; Hydrozoa; richness; South Western Atlantic; Sub-Antarctic</t>
  </si>
  <si>
    <t>MAR-DEL-PLATA; ZYGOCHLAMYS-PATAGONICA BEDS; TUBULARIA-CROCEA; SHELF; ASSOCIATIONS; COMMUNITY; CNIDARIA; ZONE</t>
  </si>
  <si>
    <t>This paper provides updated taxonomic knowledge about hydrozoan species and provides ecological information including geographical and bathymetric distributions and biological substrata for the various hydroid assemblages from the Sub-Antarctic Biogeographical Region, mainly Buenos Aires and the Uruguayan coasts. Five of the 41 species found are new records for the study region. Thirty-one species (75.6%), all found at depths of less than 80 m, have cosmopolitan distributions. Biodiversity decreased markedly below 80 m depth, where nine species (approximate to 22%) distributed in the Southern hemisphere and one endemic species (2.4%) were found. Most species were non-specific epizoites, occurring on diverse substrata. A non-parametric multivariate similarity analysis revealed nine species groups that were correlated with large-scale and local oceanographic patterns and with the availability of suitable substrata. The main hydroid substrata for eight of the groups were cnidarians, molluscs (mainly blue mussels), quartzite rocks and sponges. In a single group found in Patagonian scallop beds, the main biological substrata were polychaete tubes, other hydroids and scallops.</t>
  </si>
  <si>
    <t>[Genzano, Gabriel N.; Meretta, Pablo] Univ Nacl Mar del Plata, Fac Ciencias Exactas &amp; Nat, Dept Ciencias Marinas, Estac Costera Nagera, Mar Del Plata, Buenos Aires, Argentina; [Genzano, Gabriel N.; Giberto, Diego; Schejter, Laura; Bremec, Claudia] Inst Nacl Invest &amp; Desarrollo Pesquero, Mar Del Plata, Buenos Aires, Argentina; [Giberto, Diego; Schejter, Laura; Bremec, Claudia] Consejo Nacl Invest Cient &amp; Tecn, RA-1033 Buenos Aires, DF, Argentina</t>
  </si>
  <si>
    <t>National University of Mar del Plata; National Fisheries Research &amp; Development Institute (INIDEP); Consejo Nacional de Investigaciones Cientificas y Tecnicas (CONICET)</t>
  </si>
  <si>
    <t>Genzano, GN (corresponding author), Univ Nacl Mar del Plata, Fac Ciencias Exactas &amp; Nat, Dept Ciencias Marinas, Estac Costera Nagera, Funes 3350, Mar Del Plata, Buenos Aires, Argentina.</t>
  </si>
  <si>
    <t>genzano@mdp.edu.ar</t>
  </si>
  <si>
    <t>Schejter, Laura/AAR-1106-2020</t>
  </si>
  <si>
    <t>Schejter, Laura/0000-0001-5443-4048; Meretta, Pablo Ezequiel/0000-0002-3912-6175</t>
  </si>
  <si>
    <t>EXA [372/07]; PICT [1-15080, 1553]; PIP [5009]; Antorchas [13900-13]</t>
  </si>
  <si>
    <t>EXA; PICT(ANPCyT); PIP; Antorchas</t>
  </si>
  <si>
    <t>This paper was partially funded by EXA 372/07, PICT 1-15080, PICT 2006 No.1553, PIP 5009, Antorchas 13900-13. This is INIDEP Contribution No. 1518.</t>
  </si>
  <si>
    <t>0173-9565</t>
  </si>
  <si>
    <t>1439-0485</t>
  </si>
  <si>
    <t>MAR ECOL-EVOL PERSP</t>
  </si>
  <si>
    <t>Mar. Ecol.-Evol. Persp.</t>
  </si>
  <si>
    <t>10.1111/j.1439-0485.2008.00247.x</t>
  </si>
  <si>
    <t>400UH</t>
  </si>
  <si>
    <t>WOS:000262894000003</t>
  </si>
  <si>
    <t>De Luca, V; Maria, G; De Mauro, G; Catara, G; Carginale, V; Ruggiero, G; Capasso, A; Parisi, E; Brier, S; Engen, JR; Capasso, C</t>
  </si>
  <si>
    <t>De Luca, Viviana; Maria, Giovanna; De Mauro, Gaia; Catara, Giuliana; Carginale, Vincenzo; Ruggiero, Giuseppe; Capasso, Antonio; Parisi, Elio; Brier, Sebastien; Engen, John R.; Capasso, Clemente</t>
  </si>
  <si>
    <t>Aspartic proteinases in Antarctic fish</t>
  </si>
  <si>
    <t>MARINE GENOMICS</t>
  </si>
  <si>
    <t>Workshop on Polar and Alpine Environments - Molecular and Evolutionary Adaptations in Prokaryotic and Eukaryotic Organisms</t>
  </si>
  <si>
    <t>MAY 29-30, 2008</t>
  </si>
  <si>
    <t>Inst Protein Biochem, Naples, ITALY</t>
  </si>
  <si>
    <t>Inst Protein Biochem</t>
  </si>
  <si>
    <t>Antarctica; Aspartic proteinase; Cathepsin; Pepsin; Nothepsin; Kinetic analysis</t>
  </si>
  <si>
    <t>CATHEPSIN-D; PORCINE PEPSIN; CRYSTAL-STRUCTURES; MOLECULAR-CLONING; EVOLUTION; PURIFICATION; RESOLUTION; PEPSTATIN; ENZYMES; COLD</t>
  </si>
  <si>
    <t>The present review surveys several recent studies of the aspartic proteinases from Antarctic Notothenioidei, a dominating fish group that has developed a number of adjustments at the molecular level to maintain metabolic function at low temperatures. Given the unique peculiarities of the Antarctic environment, studying the features of Antarctic aspartic proteinases could provide new insights into the role of these proteins in fish physiology. We describe here: (1) the biochemical properties of a cathepsin D purified from the liver of the hemoglobinless icefish Chionodraco hamatus; (2) the biochemical characterization of Trematomus bernacchii pepsins variants A1 and A2 obtained by heterologous expression in bacteria; and (3) the identification of two closely related, novel aspartic proteinases from the liver of the two Antarctic fish species mentioned above. Overall, the results show that Notothenioidei aspartic proteinases display a number of characteristics that are remarkably different from those of mammalian aspartic proteinases, including high turnover number or high catalytic efficiency. We have named the newly identified aspartic proteinases Nothepsins and classified them relative to aspartic proteinases from other species. (C) 2009 Elsevier B.V. All rights reserved.</t>
  </si>
  <si>
    <t>[De Luca, Viviana; Maria, Giovanna; De Mauro, Gaia; Catara, Giuliana; Carginale, Vincenzo; Ruggiero, Giuseppe; Capasso, Antonio; Parisi, Elio; Capasso, Clemente] CNR, Inst Prot Biochem, I-80131 Naples, Italy; [Brier, Sebastien; Engen, John R.] Northeastern Univ, Dept Chem &amp; Biol Chem, Boston, MA 02115 USA; [Brier, Sebastien; Engen, John R.] Northeastern Univ, Barnett Inst Chem &amp; Biol Anal, Boston, MA 02115 USA</t>
  </si>
  <si>
    <t>Consiglio Nazionale delle Ricerche (CNR); Istituto di Biochimica delle Proteine (IBP-CNR); Northeastern University; Northeastern University</t>
  </si>
  <si>
    <t>Capasso, C (corresponding author), CNR, Inst Prot Biochem, Via P Castellino 111, I-80131 Naples, Italy.</t>
  </si>
  <si>
    <t>c.capasso@ibp.cnr.it</t>
  </si>
  <si>
    <t>De Luca, Viviana/Q-2911-2016; Catara, Giuliana/AAW-1077-2020; Brier, Sébastien/E-8558-2019; Brier, Sebastien/L-7787-2019; Carginale, Vincenzo/N-2531-2014; CAPASSO, CLEMENTE/P-3522-2016</t>
  </si>
  <si>
    <t>Brier, Sebastien/0000-0003-1758-8237; DE LUCA, Viviana/0000-0003-3406-833X; Carginale, Vincenzo/0000-0002-1842-494X; Engen, John R./0000-0002-6918-9476; CAPASSO, CLEMENTE/0000-0003-3314-2411</t>
  </si>
  <si>
    <t>1874-7787</t>
  </si>
  <si>
    <t>1876-7478</t>
  </si>
  <si>
    <t>MAR GENOM</t>
  </si>
  <si>
    <t>Mar. Genom.</t>
  </si>
  <si>
    <t>10.1016/j.margen.2009.03.001</t>
  </si>
  <si>
    <t>Genetics &amp; Heredity; Marine &amp; Freshwater Biology</t>
  </si>
  <si>
    <t>545NJ</t>
  </si>
  <si>
    <t>WOS:000273739000002</t>
  </si>
  <si>
    <t>Clark, MS; Peck, LS</t>
  </si>
  <si>
    <t>Clark, Melody S.; Peck, Lloyd S.</t>
  </si>
  <si>
    <t>HSP70 heat shock proteins and environmental stress in Antarctic marine organisms: A mini-review</t>
  </si>
  <si>
    <t>Climate change; Adaptation; Temperature tolerance; Temperature limit; Stenotherm; Extinction</t>
  </si>
  <si>
    <t>MOLECULAR CHAPERONES; GENE-EXPRESSION; NEW-ZEALAND; NOTOTHENIOID FISHES; EUPLOTES-FOCARDII; COLD-DENATURATION; HSC70 ORTHOLOGS; TEMPERATURE; RESPONSES; METABOLISM</t>
  </si>
  <si>
    <t>The ability to understand and predict the effects of environmental stress on biodiversity is becoming increasingly important in our changing environment. Antarctic marine species are some of the most stenothermal on the planet and many inhabit the waters off the Antarctic Peninsula which is one of the areas where there is rapid regional climate change. Therefore these animals are highly vulnerable to changing environmental temperatures and clearly we need to understand the complexities of their response, not just at the individual species level, but also the implications for the ecosystem as a whole. Heat shock proteins have a long history of use in studies of organism stress responses and have frequently been proposed as potential universal molecular biomarkers, especially for non-model species. In this mini-review, the heat shock response and heat shock proteins (specifically the HSP70 family) are examined in Antarctic marine species alongside their physiological capabilities and limits to answer a series of questions: do these animals have a heat shock response which includes the expression of HSP70 genes? What is the relationship between their heat shock response and physiological capabilities? Can HSP70 genes be used as molecular biomarkers for these species? Crown Copyright (C) 2009 Published by Elsevier B.V. All rights reserved</t>
  </si>
  <si>
    <t>[Clark, Melody S.; Peck, Lloyd S.] British Antarctic Survey, NERC, Div Biol Sci, Cambridge CB3 0ET, England</t>
  </si>
  <si>
    <t>Clark, MS (corresponding author), British Antarctic Survey, NERC, Div Biol Sci, High Cross,Madingley Rd, Cambridge CB3 0ET, England.</t>
  </si>
  <si>
    <t>mscl@bas.ac.uk</t>
  </si>
  <si>
    <t>10.1016/j.margen.2009.03.003</t>
  </si>
  <si>
    <t>WOS:000273739000003</t>
  </si>
  <si>
    <t>Coscia, MR; Oreste, U</t>
  </si>
  <si>
    <t>Coscia, Maria Rosaria; Oreste, Umberto</t>
  </si>
  <si>
    <t>Exploring Antarctic teleost immunoglobulin genes</t>
  </si>
  <si>
    <t>Cold adaptation; Molecular evolution; Immunity; Reverse complement sequences</t>
  </si>
  <si>
    <t>TREMATOMUS-BERNACCHII; HEAVY-CHAIN; LIGHT-CHAIN; NOTOTHENIOID FISHES; FLEXIBILITY; ANTIBODIES; PLASMA</t>
  </si>
  <si>
    <t>We have chosen immunoglobulin, the key molecule of the immune system, to look for specific features accounting for adaptive evolution of Notothenioidei, the most abundant teleost species living in the Antarctic Ocean. Trematomus bemacchii immunoglobulin light chain was investigated and three isotypes were identified. Sequencing genomic DNA and transcripts encoding both the secreted and membrane-bound forms of the immunoglobulin heavy chain from 18 notothenioid species disclosed several unusual features. A limited diversity of the immunoglobulin heavy chain variable domain of the notothenioid teleost T bemacchii was found, with only two VH gene families being defined. Analysis of deduced amino acid sequences of the secreted heavy chain showed an unexpected long hinge peptide, located at the CH2-CH3 boundary. To search for polymorphism, ten T bemacchii individuals were analyzed: the largest number of polymorphic positions was found to fall within the hinge peptide suggesting that this feature may have some biological significance. In several species, alternative mRNA splicing that is responsible for the membrane-bound form synthesis generates heavy chains consisting of only two constant region domains. This domain-truncated form has a long extracellular spacer that has arisen from the insertion of multiple 39-nt repeats. Interestingly, each repeat was found to be the reverse complement of a sequence in the CH3 exon. (C) 2009 Elsevier B.V. All rights reserved.</t>
  </si>
  <si>
    <t>[Coscia, Maria Rosaria; Oreste, Umberto] CNR, Inst Prot Biochem, I-80131 Naples, Italy</t>
  </si>
  <si>
    <t>Consiglio Nazionale delle Ricerche (CNR); Istituto di Biochimica delle Proteine (IBP-CNR)</t>
  </si>
  <si>
    <t>Coscia, MR (corresponding author), CNR, Inst Prot Biochem, Via P Castellino 111, I-80131 Naples, Italy.</t>
  </si>
  <si>
    <t>mr.coscia@ibp.cnr.it</t>
  </si>
  <si>
    <t>Coscia, Maria Rosaria/AAU-1808-2021</t>
  </si>
  <si>
    <t>10.1016/j.margen.2009.03.002</t>
  </si>
  <si>
    <t>WOS:000273739000004</t>
  </si>
  <si>
    <t>Vallesi, A; Alimenti, C; La Terza, A; Di Giuseppe, G; Dini, F; Luporini, P</t>
  </si>
  <si>
    <t>Vallesi, Adriana; Alimenti, Claudio; La Terza, Antonietta; Di Giuseppe, Graziano; Dini, Fernando; Luporini, Pierangelo</t>
  </si>
  <si>
    <t>Characterization of the pheromone gene family of an Antarctic and Arctic protozoan ciliate, Euplotes nobilii</t>
  </si>
  <si>
    <t>Psychrophilic microorganisms; Gene-sized DNA molecules; Water-soluble signal proteins; Sub-chromosomic ciliate genomes</t>
  </si>
  <si>
    <t>MACRONUCLEAR DNA-MOLECULES; STRUCTURAL-CHARACTERIZATION; TRANSCRIPTION INITIATION; PROTEIN PHEROMONE; CODING PROPERTIES; SIGNAL PROTEINS; SEQUENCE; RAIKOVI; IDENTIFICATION; CHROMOSOMES</t>
  </si>
  <si>
    <t>Allelic genes encoding water-borne signal proteins (pheromones) were amplified and sequenced from the somatic (macronuclear) sub-chromosomic genome of Antarctic and Arctic strains of the marine ciliate. Euplotes nobilii. Their open reading frames appeared to be specific for polypeptide sequences of 83 to 94 amino acids identifiable with cytoplasmic pheromone precursors (pre-pro-pheromones), requiring two proteolytic steps to remove the pre- and pro-segments and secrete the mature pheromones. Differently from most of the macronuclear genes that have so far been characterized from Euplotes and other hypotrich ciliates, the 5' and 3' non-coding regions of all the seven E. nobilii pheromone genes are much longer than the coding regions (621 to 700 versus 214 to 285 nucleotides), and the 5' regions in particular show nearly identical sequences across the whole set of pheromone genes. These structural peculiarities of the non-coding regions are likely due to the presence of intron sequences and provide presumptive evidence that they are site of basic, conserved activities in the mechanism that regulates the expression of the E nobilii pheromone genes. (C) 2009 Elsevier B.V. All rights reserved.</t>
  </si>
  <si>
    <t>[Vallesi, Adriana; Alimenti, Claudio; La Terza, Antonietta; Luporini, Pierangelo] Univ Camerino, Dipartimento Biol Mol Cellulare &amp; Anim, I-62032 Camerino, MC, Italy; [Di Giuseppe, Graziano; Dini, Fernando] Univ Pisa, Dipartimento Biol, I-56126 Pisa, Italy</t>
  </si>
  <si>
    <t>University of Camerino; University of Pisa</t>
  </si>
  <si>
    <t>Vallesi, A (corresponding author), Univ Camerino, Dipartimento Biol Mol Cellulare &amp; Anim, I-62032 Camerino, MC, Italy.</t>
  </si>
  <si>
    <t>adriana.vallesi@unicam.it</t>
  </si>
  <si>
    <t>Vallesi, Adriana/I-9933-2016</t>
  </si>
  <si>
    <t>Vallesi, Adriana/0000-0002-4127-090X; La Terza, Antonietta/0000-0002-1244-1503; Alimenti, Claudio/0000-0003-2231-2948; Di Giuseppe, Graziano/0000-0002-9999-7650</t>
  </si>
  <si>
    <t>10.1016/j.margen.2009.04.001</t>
  </si>
  <si>
    <t>WOS:000273739000005</t>
  </si>
  <si>
    <t>Rojas, JL; Martín, J; Tormo, JR; Vicente, F; Brunati, M; Ciciliato, I; Losi, D; Van Trappen, S; Mergaert, J; Swings, J; Marinelli, F; Genilloud, O</t>
  </si>
  <si>
    <t>Luis Rojas, Jose; Martin, Jesus; Ruben Tormo, Jose; Vicente, Francisca; Brunati, Mara; Ciciliato, Ismaela; Losi, Daniele; Van Trappen, Stefanie; Mergaert, Joris; Swings, Jean; Marinelli, Flavia; Genilloud, Olga</t>
  </si>
  <si>
    <t>Bacterial diversity from benthic mats of Antarctic lakes as a source of new bioactive metabolites</t>
  </si>
  <si>
    <t>Antarctic lakes; Microbial mats; Bacteria; High throughput screening; Antibiotics</t>
  </si>
  <si>
    <t>MCMURDO DRY VALLEYS; SOIL DNA LIBRARIES; SP-NOV.; MICROBIAL MATS; NATURAL-PRODUCTS; GEN.-NOV.; PSYCHROPHILIC BACTERIA; SEA-ICE; MICROORGANISMS; COMMUNITIES</t>
  </si>
  <si>
    <t>During the MICROMAT project, the bacterial diversity of microbial mats growing in the benthic environment of Antarctic lakes was accessed for the discovery of novel antibiotics. In all, 723 Antarctic heterotrophic bacteria belonging to novel and/or endemic taxa in the alpha-, beta- and gamma-subclasses of the Proteobacteria, the Bacteroidetes branch, and of the high and low percentage G+C Gram-positives, were isolated, cultivated in different media and at different temperatures, and then screened for the production of antimicrobial activities. A total of 6348 extracts were prepared by solid phase extraction of the culture broths or by biomass solvent extraction. 122 bacteria showed antibacterial activity against the Gram-positives Staphylococcus aureus and to a lower extent Enterococcus faecium, and versus the Gram-negative Escherichia coli. Few of these strains showed also some antifungal activity against Cryptococcus neoformans, Aspergillus fumigatus and to a lower extent Candida albicans. LC-MS fractionation of extracts from a subset of strains (hits) that exhibited relatively potent antibacterial activities evidenced a chemical novelty that was further investigated. Two strains of Arthrobacter agilis produced potent antibacterial compounds with activity against Gram-positives and possibly related to novel cyclic thiazolyl peptides. To our knowledge, this is the first report of new antibiotics produced by bacteria from benthic microbial mats from Antarctic lakes. With no doubts these microbial assemblages represent an extremely rich source for the isolation of new strains producing novel bioactive metabolites with the potential to be developed as antibiotic compounds. (C) 2009 Elsevier B.V. All rights reserved.</t>
  </si>
  <si>
    <t>[Luis Rojas, Jose; Martin, Jesus; Ruben Tormo, Jose; Vicente, Francisca; Genilloud, Olga] Merck Sharp &amp; Dohme Espana SA, Merck Res Labs, CIBE, E-28027 Madrid, Spain; [Brunati, Mara; Ciciliato, Ismaela; Losi, Daniele] Vicuron Pharmaceut, I-21040 Gerenzano, Varese, Italy; [Van Trappen, Stefanie; Mergaert, Joris; Swings, Jean] Univ Ghent, Microbiol Lab, B-9000 Ghent, Belgium; [Marinelli, Flavia] Univ Insubria, DBSM, I-21100 Varese, Italy</t>
  </si>
  <si>
    <t>Merck &amp; Company; Ghent University; University of Insubria</t>
  </si>
  <si>
    <t>Genilloud, O (corresponding author), Fdn Ctr Excelencia MEDINA, Parque Tecnol Ciencias Salud, Granada 18100, Spain.</t>
  </si>
  <si>
    <t>olga.genilloud@medinaandalucia.es</t>
  </si>
  <si>
    <t>vicente, francisca/N-5126-2014; marinelli, flavia/H-2495-2012; Martin Serrano, Jesus M./M-1937-2014; Tormo, Jose R/M-1044-2014; Genilloud, Olga/I-2779-2015</t>
  </si>
  <si>
    <t>vicente, francisca/0000-0003-3198-9205; Van Trappen, Stefanie/0000-0002-7431-4606; marinelli, flavia/0000-0001-9195-6777; Martin Serrano, Jesus M./0000-0001-7487-2790; Tormo, Jose R/0000-0001-6984-2941; Genilloud, Olga/0000-0002-4202-1219</t>
  </si>
  <si>
    <t>10.1016/j.margen.2009.03.005</t>
  </si>
  <si>
    <t>WOS:000273739000006</t>
  </si>
  <si>
    <t>Brunati, M; Rojas, JL; Sponga, F; Ciciliato, I; Losi, D; Göttlich, E; de Hoog, S; Genilloud, O; Marinelli, F</t>
  </si>
  <si>
    <t>Brunati, Mara; Luis Rojas, Jose; Sponga, Federica; Ciciliato, Ismaela; Losi, Daniele; Goettlich, Elke; de Hoog, Sybren; Genilloud, Olga; Marinelli, Flavia</t>
  </si>
  <si>
    <t>Diversity and pharmaceutical screening of fungi from benthic mats of Antarctic lakes</t>
  </si>
  <si>
    <t>Antarctic fungi; Antarctic lakes; Microbial mats; High throughput screening; Antibiotics; Mycotoxins</t>
  </si>
  <si>
    <t>MCMURDO DRY VALLEYS; MICROBIAL MATS; SP-NOV.; GEN.-NOV.; BACTERIA; MICROORGANISMS; FRYXELL; BIOTRANSFORMATION; CYANOBACTERIA; DISCOVERY</t>
  </si>
  <si>
    <t>During the MICROMAT project, the fungal diversity of microbial mats growing in the benthic environment of Antarctic lakes was accessed for the discovery of novel antibiotics and anticancers. In all, 160 filamentous fungi belonging to fifteen different genera and 171 yeasts were isolated from 11 lakes, classified and cultivated in different media and at different temperatures. Filamentous fungi were then screened to discover novel antimicrobial and cytotoxic compounds. A total of 1422 extracts were prepared by solid phase extraction of the culture broths or by biomass solvent extraction. 47 (29%) filamentous fungi showed antimicrobial activity; most of them inhibited the growth of gram-positive Staphyloccus aureus (14%), gram-negative E coli (10%), and of yeasts Candida albicans (11%) and Cryptococcus neoformans (8%). Less activity was detected against representatives of enterobacteria and filamentous fungi. The most productive in terms of bioactivities were cold-tolerant cosmopolitan hyphomycetes such as Penicillium, Aspergillus, Beauveria and Cladosporium. Two bioactive bis-anthraquinones (rugulosin and skyrin) were identified by LC-MS as the main products in a strain of Penicillium chrysogenum isolated from a saline lake in the Vestfold Hills. LC-MS fractionation of extracts from two diverse species of Aspergillus, that exhibited relatively potent antimicrobial activities, evidenced a chemical novelty that was further investigated. To our knowledge, this is the first report of new antibiotics produced by fungi from benthic microbial mats from Antarctic lakes. It can be concluded that these microbial assemblages represent an extremely rich source for the isolation of new strains producing novel bioactive metabolites with the potential to be developed as drugs. (C) 2009 Elsevier B.V. All rights reserved.</t>
  </si>
  <si>
    <t>[Marinelli, Flavia] Univ Insubria, DBSM, I-21100 Varese, Italy; [Brunati, Mara; Sponga, Federica; Ciciliato, Ismaela; Losi, Daniele] Vicuron Pharmaceut, I-21040 Gerenzano Varese, Italy; [Luis Rojas, Jose; Genilloud, Olga] Merck Sharp &amp; Dohme Espana SA, CIBE Merck Res Labs, E-28027 Madrid, Spain; [Goettlich, Elke] Rhein Westfal Inst Wasserforsch, D-45476 Mulheim, Germany; [de Hoog, Sybren] Centraalbur Schimmelcultures, NL-3508 AD Utrecht, Netherlands</t>
  </si>
  <si>
    <t>University of Insubria; Merck &amp; Company</t>
  </si>
  <si>
    <t>Marinelli, F (corresponding author), Univ Insubria, DBSM, JH Dunant 3, I-21100 Varese, Italy.</t>
  </si>
  <si>
    <t>flavia.marinelli@uninsubria.it</t>
  </si>
  <si>
    <t>Genilloud, Olga/I-2779-2015; marinelli, flavia/H-2495-2012</t>
  </si>
  <si>
    <t>Genilloud, Olga/0000-0002-4202-1219; marinelli, flavia/0000-0001-9195-6777</t>
  </si>
  <si>
    <t>10.1016/j.margen.2009.04.002</t>
  </si>
  <si>
    <t>WOS:000273739000007</t>
  </si>
  <si>
    <t>Merlino, A; Vergara, A; Sica, F; Mazzarella, L</t>
  </si>
  <si>
    <t>Merlino, Antonello; Vergara, Alessandro; Sica, Filomena; Mazzarella, Lelio</t>
  </si>
  <si>
    <t>The bis-histidyl complex in hemoproteins: A detailed conformational analysis of database protein structures and the case of Antarctic fish hemoglobins</t>
  </si>
  <si>
    <t>Bis-histidine; Heme; Protein data bank; Structural analyses</t>
  </si>
  <si>
    <t>AXIALLY COORDINATED IMIDAZOLES; CRYSTALLOGRAPHIC CHARACTERIZATION; TETRAMERIC HEMOGLOBIN; CYTOCHROME-C; HEME; NEUROGLOBIN; REVEALS</t>
  </si>
  <si>
    <t>The properties of hemoproteins strictly depend on the type and orientation of axial ligands. Here, the orientations of axially coordinated His in bis-His complexes and the heme geometry in protein data bank have been analyzed. The effect of the bis-histidyl formation on the heme cavity of Antarctic fish hemoglobins has been also evaluated. The results show that protein matrix exerts a major effect on the conformation of axially ligated histidines: the imidazoles in bis-His complexes occupy a preferred relative orientation in globins and in model systems, whereas they adopt a variety of relative orientations in other hemoproteins. The bis-histidyl adducts affect the heme geometry inducing larger distortions from planarity with respect to other ligands. These deviations are larger in bis-His multiheme cytochromes than in globins. In Antarctic fish hemoglobins the bis-histidyl adduct adopts preferentially a distorted coordination and the formation of the bis-His complex induces a slight but significant modification in the shape, area and volume of the heme cavity. (C) 2009 Elsevier B.V. All rights reserved.</t>
  </si>
  <si>
    <t>[Merlino, Antonello; Vergara, Alessandro; Sica, Filomena; Mazzarella, Lelio] Univ Naples Federico II, Dept Chem, Complesso Univ Monte S Angelo, I-80126 Naples, Italy; [Merlino, Antonello; Vergara, Alessandro; Sica, Filomena; Mazzarella, Lelio] CNR, Inst Biostruct &amp; Bioimages, I-80134 Naples, Italy</t>
  </si>
  <si>
    <t>University of Naples Federico II; Consiglio Nazionale delle Ricerche (CNR); Istituto di Biostrutture e Bioimmagini (IBB-CNR)</t>
  </si>
  <si>
    <t>Mazzarella, L (corresponding author), Univ Naples Federico II, Dept Chem, Complesso Univ Monte S Angelo, Via Cintia, I-80126 Naples, Italy.</t>
  </si>
  <si>
    <t>lelio.mazzarella@unina.it</t>
  </si>
  <si>
    <t>Merlino, Antonello/AAI-2114-2020; Vergara, Alessandro/C-4435-2013</t>
  </si>
  <si>
    <t>Vergara, Alessandro/0000-0003-4135-0245; Merlino, Antonello/0000-0002-1045-7720</t>
  </si>
  <si>
    <t>10.1016/j.margen.2009.04.003</t>
  </si>
  <si>
    <t>WOS:000273739000008</t>
  </si>
  <si>
    <t>Pucciarelli, S; La Terza, A; Ballarini, P; Barchetta, S; Yu, T; Marziale, F; Passini, V; Methé, B; Detrich, HW; Miceli, C</t>
  </si>
  <si>
    <t>Pucciarelli, Sandra; La Terza, Antonietta; Ballarini, Patrizia; Barchetta, Sabrina; Yu, Ting; Marziale, Francesca; Passini, Valerio; Methe, Barbara; Detrich, H. William, III; Miceli, Cristina</t>
  </si>
  <si>
    <t>Molecular cold-adaptation of protein function and gene regulation: The case for comparative genomic analyses in marine ciliated protozoa</t>
  </si>
  <si>
    <t>Adaptive evolution; Antarctica; Southern Ocean; Psychrophilic; Tubulin; Heat-shock proteins</t>
  </si>
  <si>
    <t>HEAT-SHOCK RESPONSE; ANTARCTIC PSYCHROPHILIC CILIATE; FISH NOTOTHENIA-CORIICEPS; ALPHA-BETA-TUBULIN; GAMMA-TUBULIN; EUPLOTES-FOCARDII; MICROTUBULE NUCLEATION; LOW-TEMPERATURES; STRESS-RESPONSE; SACCHAROMYCES-CEREVISIAE</t>
  </si>
  <si>
    <t>Euplotes focardii is a marine ciliated protozoan discovered in the Ross Sea near Terra Nova Bay, Antarctica. This organism is strictly psychrophilic, survives and reproduces optimally at 4-5 degrees C, and has a genome rich in A/T base pairs. Like other ciliated protozoans, Euplotes spp. are characterized by nuclear dimorphism: 1) the germline micronucleus contains the entire genome as large chromosomes; and 2) the somatic macronucleus (similar to 50 megabases, or 5% of the micronuclear genome) contains small linear DNA nanochromosomes [1-12 kilobases], each of which constitutes a single genetic unit These characteristics make E.focardii an ideal model for genome-level analysis to understand the evolutionary mechanisms that determine the adaptation of organisms to cold environments. Here we describe two examples that are controlled by phylogenetically appropriate comparison with mesophilic and psychrotolerant Euplotes species: 1) the genes and encoded proteins of the E.focardii tubulin superfamily, including alpha-, beta-, and gamma-tubulins; and 2) the genes of the heat-shock protein (Hsp) 70 family. The tubulins provide particular insight into protein-level structural changes that are likely to facilitate microtubule nucleation and polymerization in an energy poor environment. By contrast, the hsp70 genes of E.focardii and of its psychrotolerant relative E nobilii reveal adaptive alterations in the regulation of gene expression in the cold. The unique characteristics of the E.focardii genome and the results that we present here argue strongly for a concerted effort to characterize the relatively low complexity macronuclear genome of this psychrophilic organism. (C) 2009 Elsevier B.V. All rights reserved.</t>
  </si>
  <si>
    <t>[Pucciarelli, Sandra; La Terza, Antonietta; Ballarini, Patrizia; Barchetta, Sabrina; Yu, Ting; Marziale, Francesca; Passini, Valerio; Miceli, Cristina] Univ Camerino, Dipartimento Biol Mol, I-62032 Camerino, MC, Italy; [Methe, Barbara] J Craig Venter Inst, Rockville, MD 20850 USA; [Detrich, H. William, III] Northeastern Univ, Dept Biol, Boston, MA 02115 USA</t>
  </si>
  <si>
    <t>University of Camerino; J. Craig Venter Institute; Northeastern University</t>
  </si>
  <si>
    <t>Pucciarelli, S (corresponding author), Via Gentile Ill da Varano, I-62032 Camerino, MC, Italy.</t>
  </si>
  <si>
    <t>sandra.pucciarelli@unicam.it</t>
  </si>
  <si>
    <t>Yu, Ting/A-3674-2013</t>
  </si>
  <si>
    <t>La Terza, Antonietta/0000-0002-1244-1503; Miceli, Cristina/0000-0002-7829-8471; Pucciarelli, Sandra/0000-0003-4178-2689</t>
  </si>
  <si>
    <t>10.1016/j.margen.2009.03.008</t>
  </si>
  <si>
    <t>WOS:000273739000009</t>
  </si>
  <si>
    <t>Pisano, E; Ghigliotti, L</t>
  </si>
  <si>
    <t>Pisano, Eva; Ghigliotti, Laura</t>
  </si>
  <si>
    <t>Ribosomal genes in notothenioid fishes: Focus on the chromosomal organisation</t>
  </si>
  <si>
    <t>45S rDNA; 5S rDNA; Antarctic fish; Notothenioidei; Genome; Evolution</t>
  </si>
  <si>
    <t>IN-SITU HYBRIDIZATION; RNA GENE; 5S RDNA; DISSOSTICHUS-ELEGINOIDES; MOLECULAR-ORGANIZATION; ANTARCTIC TOOTHFISH; SEQUENCE VARIATION; REPETITIVE DNAS; TANDEM REPEATS; LOCALIZATION</t>
  </si>
  <si>
    <t>This mini-review makes a survey and a summary of some major issues concerning the chromosomal organisation of ribosomal genes in fish genomes, by using Notothenioidei as the model. The increasing body of information, published during the last two decades on the chromosomal mapping of the two ribosomal genes classes (45S rDNA and 5S rDNA) in notothenioids, makes it possible to recognise the main evolutionary trends across the phylogeny of the group. As one of the major features, the rDNA clusters are organised in a single chromosomal locus in most of the species. This locus is located at different positions along the chromosomes in the basal groups (non-Antarctic Clade), whereas it maintains a strongly conserved location in the cold-adapted species (Antarctic Clade). Important structural changes, leading to the co-localisation of the two ribosomal gene classes, occurred early in the notothenioid phylogeny, perhaps in the common ancestor of the Eleginopidae and Nototheniidae. The cytogenetic evidences indicate that an increased amount of ribosomal genes, organised in two large chromosomal loci, is present in the giant Antarctic fish Dissostichus mawsoni. This gain in rRNA genes is an important genomic change, having possible implications for the fitness of this notothenioid fish that combines large size, pelagic lifestyle and cold-adaptation. (C) 2009 Elsevier B.V. All rights reserved.</t>
  </si>
  <si>
    <t>[Pisano, Eva; Ghigliotti, Laura] Univ Genoa, Dept Biol, DIBIO, I-16132 Genoa, Italy</t>
  </si>
  <si>
    <t>University of Genoa</t>
  </si>
  <si>
    <t>Ghigliotti, L (corresponding author), Univ Genoa, Dept Biol, DIBIO, Viale Benedetto XV 5, I-16132 Genoa, Italy.</t>
  </si>
  <si>
    <t>laura.ghigliotti@unige.it</t>
  </si>
  <si>
    <t>Ghigliotti, Laura/J-3076-2012; Ghigliotti, Laura/AAN-6843-2021</t>
  </si>
  <si>
    <t>Ghigliotti, Laura/0000-0003-2139-1381</t>
  </si>
  <si>
    <t>10.1016/j.margen.2009.03.006</t>
  </si>
  <si>
    <t>WOS:000273739000011</t>
  </si>
  <si>
    <t>Jabour, J</t>
  </si>
  <si>
    <t>Jabour, Julia</t>
  </si>
  <si>
    <t>The Australian continental shelf: Has Australia's high-latitude diplomacy paid off?</t>
  </si>
  <si>
    <t>MARINE POLICY</t>
  </si>
  <si>
    <t>Commission on the Limits of the Continental Shelf; Continental shelf; Australian Antarctic Territory; Heard Island</t>
  </si>
  <si>
    <t>The Commission on the Limits of the Continental Shelf has granted Australia extended continental shelf areas around two of its sub-Antarctic island groups, and these extend into the Antarctic Treaty area. The overlap potentially raises conflict between Australian and Antarctic interests. Australia's submission included and expressly excluded Antarctic data and its high-latitude diplomacy paid off, but its next steps will be crucial to gaining acceptance by other Antarctic Treaty parties. It is likely that any resource exploitation will stop at the fence (60 degrees South) during the life of the Treaty. (c) 2008 Elsevier Ltd. All rights reserved.</t>
  </si>
  <si>
    <t>Jabour, J (corresponding author), Univ Tasmania, Inst Antarctic &amp; So Ocean Studies, Private Bag 77, Hobart, Tas 7001, Australia.</t>
  </si>
  <si>
    <t>julia.jabour@utas.edu.au</t>
  </si>
  <si>
    <t>Jabour, Julia A/J-7882-2014</t>
  </si>
  <si>
    <t>0308-597X</t>
  </si>
  <si>
    <t>MAR POLICY</t>
  </si>
  <si>
    <t>Mar. Pol.</t>
  </si>
  <si>
    <t>10.1016/j.marpol.2008.07.010</t>
  </si>
  <si>
    <t>Environmental Studies; International Relations</t>
  </si>
  <si>
    <t>Environmental Sciences &amp; Ecology; International Relations</t>
  </si>
  <si>
    <t>391PH</t>
  </si>
  <si>
    <t>WOS:000262244700030</t>
  </si>
  <si>
    <t>Barrat, JA; Bohn, M; Gillet, P; Yamaguchi, A</t>
  </si>
  <si>
    <t>Barrat, J. A.; Bohn, M.; Gillet, Ph; Yamaguchi, A.</t>
  </si>
  <si>
    <t>Evidence for K-rich terranes on Vesta from impact spherules</t>
  </si>
  <si>
    <t>DAWN MISSION; SOLAR-SYSTEM; GEOCHEMISTRY; DIOGENITES; METEORITES; MINERALOGY; CHEMISTRY; PETROLOGY; MELTS; GLASS</t>
  </si>
  <si>
    <t>The howardite-eucrite-diogenite (HED) clan is a group of meteorites that probably originate from the asteroid Vesta. Some of them are complex breccias that contain impact glasses whose compositions mirror that of their source regions. Some K-rich impact glasses (up to 2 wt% K(2)O) suggest that in addition to basalts and ultramafic cumulates, K-rich rocks are exposed on Vesta's surface. One K-rich glass (up to 6 wt% K(2)O), with a felsic composition, provides the first evidence of highly differentiated K-rich rocks on a large asteroid. They can be compared to the rare lunar granites and suggest that magmas generated in a large asteroid are more diverse than previously thought.</t>
  </si>
  <si>
    <t>[Barrat, J. A.; Bohn, M.] UBO IUEM, CNRS, UMR Domaines Ocean 6538, F-29280 Plouzane, France; [Gillet, Ph] Univ Lyon, Ecole Normale Super Lyon, CNRS, Lab Sci Terre,UMR 5570, F-69364 Lyon 7, France; [Yamaguchi, A.] Natl Inst Polar Res, Antarctic Meteorite Res Ctr, Itabashi Ku, Tokyo 1738515, Japan</t>
  </si>
  <si>
    <t>Centre National de la Recherche Scientifique (CNRS); CNRS - National Institute for Earth Sciences &amp; Astronomy (INSU); Universite de Bretagne Occidentale; Centre National de la Recherche Scientifique (CNRS); Ecole Normale Superieure de Lyon (ENS de LYON); Research Organization of Information &amp; Systems (ROIS); National Institute of Polar Research (NIPR) - Japan</t>
  </si>
  <si>
    <t>barrat@univ-brest.fr</t>
  </si>
  <si>
    <t>Jean-Alix, BARRAT/F-8035-2012; Barrat, Jean Alix/C-8416-2017</t>
  </si>
  <si>
    <t>Barrat, Jean Alix/0000-0003-3158-3109</t>
  </si>
  <si>
    <t>NASA Cosmochemistry; National de Planetologie l'Institut National des Sciences de l'Univers</t>
  </si>
  <si>
    <t>NASA Cosmochemistry(National Aeronautics &amp; Space Administration (NASA)); National de Planetologie l'Institut National des Sciences de l'Univers</t>
  </si>
  <si>
    <t>Brigitte Zanda (NWA 1664 and NWA 1769). Ahmed Pani (NWA 1664), Philippe Thomas (NWA 1769) the Meteorite Working Group (LAP 04838), D. Brownlee (Kapoeta), the Arizona State University (Kapoeta), and the U.S. National Museum of Natural History (Bununu) are thanked for providing its the samples. The EPMA analyses of the Bununu and Kapoeta glasses were obtained when A. Yamaguchi was a post-doctoral fellow at the Hawai'i Institute of Geophysics and Planetology, University of Hawai'i, where his work was partially Supported by a NASA Cosmochemistry grant for K. Keil (PI). The comments provided by F. Albarede, M. A. Gutscher, E. Scott, R. N. Taylor, and M. Toplis of an early version of the manuscript have significantly improved the text. We Would like to thank C. Goodrich for the editorial handling and J. Boesenberg, A. Ruzicka, and the anonymous reviewers for their comments. This Study was supported by Programme National de Planetologie l'Institut National des Sciences de l'Univers. J. A. B. acknowledges Pascale Barrat for her help.</t>
  </si>
  <si>
    <t>10.1111/j.1945-5100.2009.tb00738.x</t>
  </si>
  <si>
    <t>445EM</t>
  </si>
  <si>
    <t>WOS:000266032600003</t>
  </si>
  <si>
    <t>Weisberg, MK; Smith, C; Benedix, G; Folco, L; Righter, K; Zipfel, J; Yamaguchi, A; Aoudjehane, HC</t>
  </si>
  <si>
    <t>Weisberg, Michael K.; Smith, Caroline; Benedix, Gretchen; Folco, Luigi; Righter, Kevin; Zipfel, Jutta; Yamaguchi, Akira; Aoudjehane, Hasnaa Chennaoui</t>
  </si>
  <si>
    <t>The Meteoritical Bulletin, No. 95</t>
  </si>
  <si>
    <t>The Meteoritical Bulletin No. 95 reports 1093 (282 non-Antarctic and 801 Antarctic) newly approved meteorite names and their recovery histories. macroscopic descriptions, petrography mineral compositions and geochemistry. Meteorites reported include lunar meteorites, eucrites, mesosiderites, angrites, ureilites, an acapulcoite, and H, L, LL, R, CO, CM, CK and CV chondrites. Three new falls, the Bunburra Rockhole (Australia) eucrite and the recent (Nov., 2008) Buzzard Coulee (Canada) H4 chondrite, and Tamdakht (Morocco) H5 chondrite are reported.</t>
  </si>
  <si>
    <t>[Weisberg, Michael K.] Kingsborough Community Coll, Dept Phys Sci, Brooklyn, NY 11235 USA; [Weisberg, Michael K.] CUNY, Grad Sch, Brooklyn, NY 11235 USA; [Weisberg, Michael K.] Amer Museum Nat Hist, Dept Earth &amp; Planetary Sci, New York, NY 10024 USA; [Smith, Caroline; Benedix, Gretchen] Nat Hist Museum, Dept Mineral, London SW7 5BD, England; [Smith, Caroline] Univ Glasgow, Sch Geog &amp; Earth Sci, Glasgow G12 8QQ, Lanark, Scotland; [Folco, Luigi] Univ Siena, Museo Nazl Antartide, I-53100 Siena, Italy; [Righter, Kevin] NASA, Lyndon B Johnson Space Ctr, Houston, TX 77058 USA; [Zipfel, Jutta] Forschungsinst &amp; Nat Museum Senckenberg, Sekt Meteoritenforsch, D-60325 Frankfurt, Germany; [Yamaguchi, Akira] Natl Inst Polar Res, Antarctic Meteorite Res Ctr, Itabashi Ku, Tokyo 1738515, Japan; [Aoudjehane, Hasnaa Chennaoui] Univ Hassan II Casablanca, Fac Sci, Dept Geol, Casablanca, Morocco</t>
  </si>
  <si>
    <t>City University of New York (CUNY) System; City University of New York (CUNY) System; American Museum of Natural History (AMNH); Natural History Museum London; University of Glasgow; University of Siena; National Aeronautics &amp; Space Administration (NASA); NASA Johnson Space Center; Senckenberg Gesellschaft fur Naturforschung (SGN); Research Organization of Information &amp; Systems (ROIS); National Institute of Polar Research (NIPR) - Japan; Hassan II University of Casablanca</t>
  </si>
  <si>
    <t>Weisberg, MK (corresponding author), Kingsborough Community Coll, Dept Phys Sci, 2001 Orienta Blvd, Brooklyn, NY 11235 USA.</t>
  </si>
  <si>
    <t>meteorite@kingsborough.edu</t>
  </si>
  <si>
    <t>Folco, Luigi/AAA-6351-2020; Folco, Luigi/AAB-8586-2021; Chennaoui, Hasnaa/KGL-7333-2024; Smith, Caroline/AAO-3652-2020; Benedix, Gretchen/L-1953-2018</t>
  </si>
  <si>
    <t>Chennaoui, Hasnaa/0000-0001-8792-246X; Smith, Caroline/0000-0001-7005-6470; Benedix, Gretchen/0000-0003-0990-8878; Righter, Kevin/0000-0002-6075-7908; Folco, Luigi/0000-0002-7276-3483</t>
  </si>
  <si>
    <t>10.1111/j.1945-5100.2009.tb00742.x</t>
  </si>
  <si>
    <t>WOS:000266032600007</t>
  </si>
  <si>
    <t>Wilson, NG; Schrödl, M; Halanych, KM</t>
  </si>
  <si>
    <t>Wilson, Nerida G.; Schroedl, M.; Halanych, Kenneth M.</t>
  </si>
  <si>
    <t>Ocean barriers and glaciation: evidence for explosive radiation of mitochondrial lineages in the Antarctic sea slug Doris kerguelenensis (Mollusca, Nudibranchia)</t>
  </si>
  <si>
    <t>Antarctica; cryptic speciation; diversity pump; direct development; long-distance dispersal; phylogeography</t>
  </si>
  <si>
    <t>SEROLID ISOPODS CRUSTACEA; OXIDASE SUBUNIT-I; SOUTHERN-OCEAN; CRYPTIC SPECIATION; BENTHIC COMMUNITY; POPULATION-GROWTH; GENETIC-VARIATION; DITERPENOIC ACID; POLAR FRONT; DNA</t>
  </si>
  <si>
    <t>Strong currents and deep passages of water can be barriers for larval dispersal of continental marine animals, but potential effects on direct developers are under-investigated. We examined the genetic structure of Doris kerguelenensis, a directly developing sea slug that occurs across the Drake Passage, the body of water separating Antarctica from South America. We found deep mitochondrial divergences within populations on both sides of the Drake Passage, and South American animals formed multiple sister-group relationships with Antarctic animals. A generalised molecular clock suggested these trans-Drake pairs diverged during the Pliocene-Pleistocene, after the formation of the Drake Passage. Statistical parsimony methods recovered 29 separate haplotype networks (many sympatric) that likely correlate with allopatric events caused by repeated glacial cycles. Data from 16S were congruent but more conserved than COI, and the estimated ancestral 16S haplotype was widespread. The marked difference in the substitution rates between these two mitochondrial genes results in different estimates of connectivity. Demographic analyses on networks revealed some evidence for selection and expanding populations. Contrasting with the Northern Hemisphere, glaciation in Antarctica appears to have increased rather than reduced genetic diversity. This suggests orbitally forced range dynamics based on Northern Hemisphere phylogeography do not hold for Antarctica. The diverse lineages found in D. kerguelenensis point towards a recent, explosive radiation, likely reflecting multiple refuges during glaciation events, combined with limited subsequent dispersal. Whether recognised as cryptic species or not, genetic diversity in Antarctic marine invertebrates appears higher than expected from morphological analyses, and supports the Antarctic biodiversity pump phenomenon.</t>
  </si>
  <si>
    <t>[Wilson, Nerida G.; Halanych, Kenneth M.] Auburn Univ, Dept Biol Sci, Auburn, AL 36849 USA; [Wilson, Nerida G.] Univ Calif San Diego, Scripps Inst Oceanog, La Jolla, CA 92093 USA; [Schroedl, M.] Zool Staatssammlung Munchen, D-81247 Munich, Germany</t>
  </si>
  <si>
    <t>Auburn University System; Auburn University; University of California System; University of California San Diego; Scripps Institution of Oceanography</t>
  </si>
  <si>
    <t>Wilson, NG (corresponding author), Auburn Univ, Dept Biol Sci, 101 Rouse Life Sci, Auburn, AL 36849 USA.</t>
  </si>
  <si>
    <t>ngwilson@ucsd.edu</t>
  </si>
  <si>
    <t>Wilson, Nerida G./AAC-1456-2019; Wilson, Nerida/G-8433-2011; Halanych, Kenneth/A-9480-2009</t>
  </si>
  <si>
    <t>Wilson, Nerida/0000-0002-0784-0200; Halanych, Kenneth/0000-0002-8658-9674</t>
  </si>
  <si>
    <t>10.1111/j.1365-294X.2008.04071.x</t>
  </si>
  <si>
    <t>409QV</t>
  </si>
  <si>
    <t>WOS:000263521800017</t>
  </si>
  <si>
    <t>Wolff, EW; Fischer, H; Röthlisberger, R</t>
  </si>
  <si>
    <t>Wolff, E. W.; Fischer, H.; Roethlisberger, R.</t>
  </si>
  <si>
    <t>Glacial terminations as southern warmings without northern control</t>
  </si>
  <si>
    <t>PAST 800,000 YEARS; C ICE CORE; THERMOHALINE CIRCULATION; CLIMATE VARIABILITY; ANTARCTICA; HEMISPHERE; CYCLES; PLEISTOCENE; GREENLAND; ATLANTIC</t>
  </si>
  <si>
    <t>The change from a glacial to an interglacial climate is paced by variations in Earth's orbit(1). However, the detailed sequence of events that leads to a glacial termination remains controversial. It is particularly unclear whether the northern(2,3) or southern(4-6) hemisphere leads the termination. Here we present a hypothesis for the beginning and continuation of glacial terminations, which relies on the observation that the initial stages of terminations are indistinguishable from the warming stage of events in Antarctica known as Antarctic Isotopic Maxima(7), which occur frequently during glacial periods. Such warmings in Antarctica generally begin to reverse with the onset of a warm Dansgaard-Oeschger event in the northern hemisphere(7,8). However, in the early stages of a termination, Antarctic warming is not followed by any abrupt warming in the north. We propose that the lack of an Antarctic climate reversal enables southern warming and the associated atmospheric carbon dioxide rise to reach a point at which full deglaciation becomes inevitable. In our view, glacial terminations, in common with other warmings that do not lead to termination, are led from the southern hemisphere, but only specific conditions in the northern hemisphere enable the climate state to complete its shift to interglacial conditions.</t>
  </si>
  <si>
    <t>[Wolff, E. W.; Roethlisberger, R.] British Antarctic Survey, Cambridge CB3 0ET, England; [Fischer, H.] Univ Bern, Inst Phys, CH-3012 Bern, Switzerland; [Fischer, H.] Univ Bern, Oeschger Ctr Climate Change Res, CH-3012 Bern, Switzerland</t>
  </si>
  <si>
    <t>UK Research &amp; Innovation (UKRI); Natural Environment Research Council (NERC); NERC British Antarctic Survey; University of Bern; University of Bern</t>
  </si>
  <si>
    <t>Wolff, EW (corresponding author), British Antarctic Survey, Madingley Rd, Cambridge CB3 0ET, England.</t>
  </si>
  <si>
    <t>ewwo@bas.ac.uk</t>
  </si>
  <si>
    <t>Wolff, Eric W/D-7925-2014; Fischer, Hubertus/A-1211-2014</t>
  </si>
  <si>
    <t>Wolff, Eric W/0000-0002-5914-8531; Fischer, Hubertus/0000-0002-2787-4221</t>
  </si>
  <si>
    <t>European Project for Ice Coring in Antarctica (EPICA); European Science Foundation/European Commission scientific programme; EU; IPEV; PNRA; AWI; Natural Environment Research Council [bas010016] Funding Source: researchfish; NERC [bas010016] Funding Source: UKRI</t>
  </si>
  <si>
    <t>European Project for Ice Coring in Antarctica (EPICA); European Science Foundation/European Commission scientific programme(European Science Foundation (ESF)); EU(European Union (EU)); IPEV; PNRA; AWI; Natural Environment Research Council(UK Research &amp; Innovation (UKRI)Natural Environment Research Council (NERC)); NERC(UK Research &amp; Innovation (UKRI)Natural Environment Research Council (NERC))</t>
  </si>
  <si>
    <t>This work is a contribution to the European Project for Ice Coring in Antarctica (EPICA), a joint European Science Foundation/European Commission scientific programme, funded by the EU and by national contributions from Belgium, Denmark, France, Germany, Italy, the Netherlands, Norway, Sweden, Switzerland and the United Kingdom. The main logistic support was provided by IPEV and PNRA ( at Dome C) and AWI ( at Dronning Maud Land).</t>
  </si>
  <si>
    <t>10.1038/NGEO442</t>
  </si>
  <si>
    <t>420KY</t>
  </si>
  <si>
    <t>WOS:000264289900022</t>
  </si>
  <si>
    <t>Garofalo, F; Amelio, D; Cerra, MC; Tota, B; Sidell, BD; Pellegrino, D</t>
  </si>
  <si>
    <t>Garofalo, Filippo; Amelio, Daniela; Cerra, Maria C.; Tota, Bruno; Sidell, Bruce D.; Pellegrino, Daniela</t>
  </si>
  <si>
    <t>Morphological and physiological study of the cardiac NOS/NO system in the Antarctic (Hb-/Mb-) icefish Chaenocephalus aceratus and in the red-blooded Trematomus bernacchii</t>
  </si>
  <si>
    <t>NITRIC OXIDE-BIOLOGY AND CHEMISTRY</t>
  </si>
  <si>
    <t>Cardiac nitric oxide synthase; Antarctic teleosts; Cardiac performance; Isolated working heart</t>
  </si>
  <si>
    <t>NITRIC-OXIDE SYNTHASE; CHIONODRACO-HAMATUS; MITOCHONDRIAL BIOGENESIS; ENDOCARDIAL ENDOTHELIUM; MECHANICAL PERFORMANCE; CA2+ CURRENT; HEART; NO; EXPRESSION; TELEOSTS</t>
  </si>
  <si>
    <t>The nitric oxide synthase (NOS)/nitric oxide (NO) system integrates cellular biochemical machinery and energetics. In heart microenvironment, dynamic NO behaviour depends upon the presence of superoxide anions, haemoglobin (Hb), and myoglobin (Mb), being hemoproteins are major players disarming NO bioactivity. The Antarctic icefish, which lack Hb and, in some species, also cardiac Mb, represent a unique model for exploring Hb and Mb impact on NOS/NO function. We report in the (Hb(-)/Mb(-)) icefish Chaenocephalus aceratus the presence of cardiac NOSs activity (NADPH-diaphorase) and endothelial NOS (eNOS)/inducible NOS (iNOS) zonal immuno-localization in the myocardium. eNOS is localized on endocardium and, to a lesser extent, in myocardiocytes, while iNOS is localized exclusively in myocardiocytes. Confronting eNOS and iNOS expression in Trematomus bernacchii (Hb(+)/Mb(+)), C. hamatus (Hb(-)/Mb(+)) and C. aceratus (Hb/Mb) is evident a lower expression in the Mb-less icefish. NO signaling was analyzed using isolated working heart preparations. In T bernacchii, L-arginine and exogenous (SIN-1) NO donor dose-dependently decreased stroke volume, indicating decreased inotropism. L-arginine-induced inotropism was NOSs-dependent, being abolished by NOSs-inhibitor NG-monomethyl-L-arginine (L-NMMA). A SIN-1-induced negative inotropism was found in presence of SOD. NOS inhibition by L-N5-N-iminoethyl-L-ornithine (L-NIO) and L-NMMA confirmed the NO-mediated negative inotropic influence on cardiac performance. In contrast, in C. aceratus, L-arginine elicited a positive inotropism. SIN-1 induced a negative inotropism, which disappeared in presence of SOD, indicating peroxynitrite involvement. Cardiac performance was unaffected by L-NIO and L-NIL. NO signaling acted via a cGMP-independent mechanism. This high conservation degree of NOS localization pattern and signaling highlights its importance for cardiac biology. (C) 2008 Elsevier Inc. All rights reserved.</t>
  </si>
  <si>
    <t>[Garofalo, Filippo; Amelio, Daniela; Cerra, Maria C.; Tota, Bruno; Pellegrino, Daniela] Univ Calabria, Dept Cellular Biol, I-87030 Arcavacata Di Rende, CS, Italy; [Amelio, Daniela; Cerra, Maria C.; Pellegrino, Daniela] Univ Calabria, Dept Pharmacobiol, I-87030 Arcavacata Di Rende, CS, Italy; [Sidell, Bruce D.] Univ Maine, Sch Marine Sci, Orono, ME 04469 USA</t>
  </si>
  <si>
    <t>University of Calabria; University of Calabria; University of Maine System; University of Maine Orono</t>
  </si>
  <si>
    <t>Pellegrino, D (corresponding author), Univ Calabria, Dept Cellular Biol, I-87030 Arcavacata Di Rende, CS, Italy.</t>
  </si>
  <si>
    <t>danielapellegrino@unical.it</t>
  </si>
  <si>
    <t>Pellegrino, Daniela/0000-0002-9815-5195; Amelio, Daniela/0000-0002-5543-8531; Cerra, Maria Carmela/0000-0002-2091-928X; Garofalo, Filippo/0000-0002-4211-3850</t>
  </si>
  <si>
    <t>Ministero dell'lstruzione, dell'UniversitA e della Ricerca; US National Science Foundation (NSF) [OPP 04-37887]; Italian National Research Program in Antarctica (PNRA)</t>
  </si>
  <si>
    <t>Ministero dell'lstruzione, dell'UniversitA e della Ricerca(Ministry of Education, Universities and Research (MIUR)); US National Science Foundation (NSF)(National Science Foundation (NSF)); Italian National Research Program in Antarctica (PNRA)</t>
  </si>
  <si>
    <t>We gratefully acknowledge the support personnel of Raytheon Polar Services Corp at both Palmer Station and aboard the ARSV Laurence M. Gould and masters and crew of the L.M. Gould for their logistical support during our field work, This work was Supported by Ministero dell'lstruzione, dell'UniversitA e della Ricerca (e.g. MURST 60%), by US National Science Foundation (NSF) Grants (OPP 04-37887) and by the Italian National Research Program in Antarctica (PNRA).</t>
  </si>
  <si>
    <t>1089-8603</t>
  </si>
  <si>
    <t>1089-8611</t>
  </si>
  <si>
    <t>NITRIC OXIDE-BIOL CH</t>
  </si>
  <si>
    <t>Nitric Oxide-Biol. Chem.</t>
  </si>
  <si>
    <t>10.1016/j.niox.2008.10.006</t>
  </si>
  <si>
    <t>Biochemistry &amp; Molecular Biology; Cell Biology</t>
  </si>
  <si>
    <t>408AP</t>
  </si>
  <si>
    <t>WOS:000263405700001</t>
  </si>
  <si>
    <t>Greene, CH; Block, BA; Welch, D; Jackson, G; Lawson, GL; Rechisky, EL</t>
  </si>
  <si>
    <t>Greene, Charles H.; Block, Barbara A.; Welch, David; Jackson, George; Lawson, Gareth L.; Rechisky, Erin L.</t>
  </si>
  <si>
    <t>Advances in Conservation Oceanography New Tagging and Tracking Technologies and Their Potential for Transforming the Science Underlying Fisheries Management</t>
  </si>
  <si>
    <t>OCEANOGRAPHY</t>
  </si>
  <si>
    <t>ATLANTIC BLUEFIN TUNA; TROUT ONCORHYNCHUS-MYKISS; THUNNUS-THYNNUS; POPULATION-STRUCTURE; THERMAL BIOLOGY; SOCKEYE-SALMON; CHINOOK SALMON; TEMPERATURE; BEHAVIOR; PHYSIOLOGY</t>
  </si>
  <si>
    <t>Overexploitation of living resources and climate change are among the most obvious global-scale impacts of human society on marine ecosystems. In an age of such large-scale anthropogenic impacts, marine scientists, resource managers, and policymakers must rethink their approaches to protecting and managing marine populations and ecosystems. Conservation oceanography is an emerging field of science that incorporates the latest advances in ocean science and technology to provide resource managers and policymakers with the information they need to ensure the sustainability of the marine environment and its living resources. Here, we discuss the historical context of conservation oceanography as it applies to marine fisheries management. We then describe two projects, one focused on Atlantic bluefin tuna and the other on Pacific salmon, that illustrate the potential of new tagging and tracking technologies for transforming the science underlying fisheries management.</t>
  </si>
  <si>
    <t>[Greene, Charles H.] Cornell Univ, Ocean Resources &amp; Ecosyst Program, Ithaca, NY USA; [Block, Barbara A.; Lawson, Gareth L.] Stanford Univ, Hopkins Marine Stn, Dept Biol, Pacific Grove, CA 93950 USA; [Welch, David] Kintama Res Corp, Nanaimo, BC, Canada; [Jackson, George] Univ Tasmania, Inst Antarctic &amp; So Ocean Studies, Hobart, Tas 7001, Australia; [Jackson, George] Vancouver Aquarium, Pacific Ocean Shelf Tracking Project, Vancouver, BC, Canada; [Rechisky, Erin L.] Univ British Columbia, Fisheries Ctr, Vancouver, BC V5Z 1M9, Canada</t>
  </si>
  <si>
    <t>Cornell University; Stanford University; University of Tasmania; University of British Columbia</t>
  </si>
  <si>
    <t>Greene, CH (corresponding author), Cornell Univ, Ocean Resources &amp; Ecosyst Program, Ithaca, NY USA.</t>
  </si>
  <si>
    <t>chg2@cornell.edu</t>
  </si>
  <si>
    <t>Jackson, George D/AAI-7315-2021</t>
  </si>
  <si>
    <t>TAG; Packard; Lenfest; MacArthur; Disney; Marine Ventures; Gordon and Betty Moore Foundation; Sloan Foundation; Bonneville Power Administration; Northwest Power Planning and Conservation Council; US Army Corps of Engineers; Office of Naval Research; US Global Ocean Ecosystems (GLOBEC)</t>
  </si>
  <si>
    <t>TAG; Packard; Lenfest; MacArthur; Disney; Marine Ventures; Gordon and Betty Moore Foundation(Gordon and Betty Moore Foundation); Sloan Foundation(Alfred P. Sloan Foundation); Bonneville Power Administration; Northwest Power Planning and Conservation Council; US Army Corps of Engineers(United States Department of DefenseUnited States Army); Office of Naval Research(Office of Naval Research); US Global Ocean Ecosystems (GLOBEC)</t>
  </si>
  <si>
    <t>The concept of conservation oceanography was inspired by the challenge laid down by Nancy Knowlton in her plenary talk at the 2006 AGU/ASLO/TOS Ocean Sciences Meeting in Honolulu, HL This paper is the product of a collaboration among several of the authors while preparing for a special symposium entitled The Emergence of Conservation Oceanography held at the 2007 AAAS Meeting in San Francisco, CA. The Tag-A-Giant project has been supported by the TAG, Packard, Lenfest, MacArthur, Disney, Marine Ventures. Gordon and Betty Moore, and Monterey Bay Aquarium foundations and NOAA. The POST project has been supported by the Gordon and Betty Moore Foundation, the Sloan Foundation, the Bonneville Power Administration, the Northwest Power Planning and Conservation Council, and the US Army Corps of Engineers. Support for CHG's involvement was provided by the Office of Naval Research and the US Global Ocean Ecosystems (GLOBEC) Program. This paper is a contribution to the Census of Marine Life and GLOBEC contribution 618.</t>
  </si>
  <si>
    <t>OCEANOGRAPHY SOC</t>
  </si>
  <si>
    <t>ROCKVILLE</t>
  </si>
  <si>
    <t>P.O. BOX 1931, ROCKVILLE, MD USA</t>
  </si>
  <si>
    <t>1042-8275</t>
  </si>
  <si>
    <t>10.5670/oceanog.2009.21</t>
  </si>
  <si>
    <t>413EP</t>
  </si>
  <si>
    <t>gold</t>
  </si>
  <si>
    <t>WOS:000263776000024</t>
  </si>
  <si>
    <t>Varpe, O; Jorgensen, C; Tarling, GA; Fiksen, O</t>
  </si>
  <si>
    <t>Varpe, Oystein; Jorgensen, Christian; Tarling, Geraint A.; Fiksen, Oyvind</t>
  </si>
  <si>
    <t>The adaptive value of energy storage and capital breeding in seasonal environments</t>
  </si>
  <si>
    <t>CALANOIDES-ACUTUS COPEPODA; DIEL VERTICAL MIGRATION; LIFE-CYCLE; CALANUS-FINMARCHICUS; POSTBREEDING COSTS; REPRODUCTION; NEOCALANUS; MORTALITY; DYNAMICS; HISTORY</t>
  </si>
  <si>
    <t>Timing of reproduction in a seasonal cycle is a life history trait with important fitness consequences. Capital breeders produce offspring from stored resources and, by decoupling feeding and reproduction, may bend the constraints caused by seasonality in food or predation. Income breeders, on the other hand, produce offspring from concurrent food intake, with the disadvantage of less flexibility, but with high efficiency and no inventory costs of carrying stores. Here, we assess relative profitability of capital and income breeding in herbivorous zooplankton inhabiting seasonal, high-latitude environments. We apply a state-dependent life history model where reproductive values are used to optimise energy allocation and diapause strategies over the year. Three environmental scenarios were modelled: an early, an intermediate, and a late feeding season. We found that capital breeding was most important in the early season. Capital breeding ranged from 7-9% of the eggs produced but, because of the high reproductive value of early eggs, capital breeding ranged from 9-30% when measured in terms of reproductive value. The main benefit of capital breeding was reproduction prior to the feeding season - when the reproductive value of an egg peaked. In addition, capital breeding was also used to increase egg production rates at times of income breeding. For individuals born late in the season the model predicted a two-year cycle instead of the typical annual life cycle. These individuals could then reap the benefits of early reproduction and capital breeding in their second year instead of income breeding late in the first year. We emphasize the importance of evaluating reproductive strategies such as capital and income breeding from a complete life cycle perspective. In particular, knowing the seasonality in offspring fitness is essential to appreciate evolutionary and population-level consequences of capital breeding.</t>
  </si>
  <si>
    <t>[Varpe, Oystein] Univ Ctr Svalbard, NO-9171 Longyearbyen, Norway; [Jorgensen, Christian; Fiksen, Oyvind] Univ Bergen, Dept Biol, NO-5020 Bergen, Norway; [Tarling, Geraint A.] British Antarctic Survey, Nat Environm Res Council, Cambridge CB3 0ET, England</t>
  </si>
  <si>
    <t>University Centre Svalbard (UNIS); University of Bergen; UK Research &amp; Innovation (UKRI); Natural Environment Research Council (NERC); NERC British Antarctic Survey</t>
  </si>
  <si>
    <t>Varpe, O (corresponding author), Univ Ctr Svalbard, PB 156, NO-9171 Longyearbyen, Norway.</t>
  </si>
  <si>
    <t>oystein.varpe@unis.no</t>
  </si>
  <si>
    <t>Jørgensen, Christian/B-4453-2009; Fiksen, Øyvind/M-4402-2019; Fiksen, Øyvind/F-1771-2011; Varpe, Øystein/B-9693-2008</t>
  </si>
  <si>
    <t>Jørgensen, Christian/0000-0001-7087-4625; Fiksen, Øyvind/0000-0002-9687-5842; Varpe, Øystein/0000-0002-5895-6983</t>
  </si>
  <si>
    <t>Research Council of Norway; Natural Environment Research Council [bas010017] Funding Source: researchfish; NERC [bas010017] Funding Source: UKRI</t>
  </si>
  <si>
    <t>Research Council of Norway(Research Council of Norway); Natural Environment Research Council(UK Research &amp; Innovation (UKRI)Natural Environment Research Council (NERC)); NERC(UK Research &amp; Innovation (UKRI)Natural Environment Research Council (NERC))</t>
  </si>
  <si>
    <t>This work was supported by grants from the Research Council of Norway. The contribution of G.T. was carried out as part of the FLEXICON project of the DISCOVERY 2010 programme at British Antarctic Survey. We thank J. M. Gaillard for comments on a previous version of the article.</t>
  </si>
  <si>
    <t>1600-0706</t>
  </si>
  <si>
    <t>10.1111/j.1600-0706.2008.17036.x</t>
  </si>
  <si>
    <t>415WK</t>
  </si>
  <si>
    <t>WOS:000263967000006</t>
  </si>
  <si>
    <t>Takizawa, K; Takahashi, S; Hüner, NPA; Minagawa, J</t>
  </si>
  <si>
    <t>Takizawa, Kenji; Takahashi, Shinichiro; Huener, Norman P. A.; Minagawa, Jun</t>
  </si>
  <si>
    <t>Salinity affects the photoacclimation of Chlamydomonas raudensis Ettl UWO241</t>
  </si>
  <si>
    <t>PHOTOSYNTHESIS RESEARCH</t>
  </si>
  <si>
    <t>Light-harvesting complex; NPQ; Photoacclimation; Psychrophile; State transition</t>
  </si>
  <si>
    <t>PLASTOQUINONE REDOX STATE; CHLOROPHYLL FLUORESCENCE; ANTARCTIC PSYCHROPHILE; IN-VIVO; PHOTOSYNTHETIC APPARATUS; ENERGY-DISTRIBUTION; ABSORBENCY CHANGES; EXCITATION-ENERGY; LIGHT REACTIONS; PHOTOSYSTEM-II</t>
  </si>
  <si>
    <t>Chlamydomonas raudensis Ettl UWO241, a natural variant of C. raudensis, is deficient in state transitions. Its habitat, the deepest layer of Lake Bonney in Antarctica, features low irradiance, low temperature, and high salinity. Although psychrophily and low-light acclimation of this green alga has been described, very little information is available on the effect of salinity. Here, we demonstrate that this psychrophile is halotolerant, not halophilic, and it shows energy redistribution between photosystem I and II based on energy spillover under low-salt conditions. Furthermore, we revealed that C. raudensis exhibits higher non-photochemical quenching in comparison with the mesophile Chlamydomonas reinhardtii, when grown with low-salt, which is due to the lower proton conductivity across the thylakoid membrane. Significance of the C. raudensis UWO241 traits found in the low salinity culture are implicated with their natural habitats, including the high salinity and extremely stable light environments.</t>
  </si>
  <si>
    <t>[Takizawa, Kenji; Takahashi, Shinichiro; Minagawa, Jun] Hokkaido Univ, Inst Low Temp Sci, Sapporo, Hokkaido 0600819, Japan; [Huener, Norman P. A.] Univ Western Ontario, Dept Biol &amp; Biotron, London, ON N6A 5B7, Canada</t>
  </si>
  <si>
    <t>Hokkaido University; Western University (University of Western Ontario)</t>
  </si>
  <si>
    <t>Minagawa, J (corresponding author), Hokkaido Univ, Inst Low Temp Sci, Sapporo, Hokkaido 0600819, Japan.</t>
  </si>
  <si>
    <t>minagawa@lowtem.hokudai.ac.jp</t>
  </si>
  <si>
    <t>Takizawa, Kenji/0000-0002-1060-5738; Minagawa, Jun/0000-0002-3028-3203</t>
  </si>
  <si>
    <t>Ministry of Education, Culture, Sports, Science and Technology [18GS0318]; Natural Sciences and Engineering Research Council of Canada; Grants-in-Aid for Scientific Research [18GS0318] Funding Source: KAKEN</t>
  </si>
  <si>
    <t>Ministry of Education, Culture, Sports, Science and Technology(Ministry of Education, Culture, Sports, Science and Technology, Japan (MEXT)); Natural Sciences and Engineering Research Council of Canada(Natural Sciences and Engineering Research Council of Canada (NSERC)CGIAR); Grants-in-Aid for Scientific Research(Ministry of Education, Culture, Sports, Science and Technology, Japan (MEXT)Japan Society for the Promotion of ScienceGrants-in-Aid for Scientific Research (KAKENHI))</t>
  </si>
  <si>
    <t>This work was supported in part by Grants-inAid for Scientific Research to J. M. from the Ministry of Education, Culture, Sports, Science and Technology ( No. 18GS0318) and to N. P. A. H. from the Natural Sciences and Engineering Research Council of Canada.</t>
  </si>
  <si>
    <t>0166-8595</t>
  </si>
  <si>
    <t>1573-5079</t>
  </si>
  <si>
    <t>PHOTOSYNTH RES</t>
  </si>
  <si>
    <t>Photosynth. Res.</t>
  </si>
  <si>
    <t>10.1007/s11120-008-9397-8</t>
  </si>
  <si>
    <t>411WU</t>
  </si>
  <si>
    <t>WOS:000263685000005</t>
  </si>
  <si>
    <t>Kiyani, KH; Chapman, SC; Watkins, NW</t>
  </si>
  <si>
    <t>Kiyani, K. H.; Chapman, S. C.; Watkins, N. W.</t>
  </si>
  <si>
    <t>Pseudononstationarity in the scaling exponents of finite-interval time series</t>
  </si>
  <si>
    <t>statistical mechanics; stochastic processes; time series</t>
  </si>
  <si>
    <t>SOLAR-WIND; SAMPLE PROPERTIES; SELF-SIMILARITY; BOOTSTRAP; TURBULENCE; DEPENDENCE; PARAMETER; MODEL</t>
  </si>
  <si>
    <t>The accurate estimation of scaling exponents is central in the observational study of scale-invariant phenomena. Natural systems unavoidably provide observations over restricted intervals; consequently, a stationary stochastic process (time series) can yield anomalous time variation in the scaling exponents, suggestive of nonstationarity. The variance in the estimates of scaling exponents computed from an interval of N observations is known for finite variance processes to vary as similar to 1/N as N -&gt;infinity for certain statistical estimators; however, the convergence to this behavior will depend on the details of the process, and may be slow. We study the variation in the scaling of second-order moments of the time-series increments with N for a variety of synthetic and real world time series, and we find that in particular for heavy tailed processes, for realizable N, one is far from this similar to 1/N limiting behavior. We propose a semiempirical estimate for the minimum N needed to make a meaningful estimate of the scaling exponents for model stochastic processes and compare these with some real world time series.</t>
  </si>
  <si>
    <t>[Kiyani, K. H.; Chapman, S. C.] Univ Warwick, Dept Phys, Ctr Fus Space &amp; Astrophys, Coventry CV4 7AL, W Midlands, England; [Watkins, N. W.] British Antarctic Survey, Cambridge CB3 0ET, England</t>
  </si>
  <si>
    <t>University of Warwick; UK Research &amp; Innovation (UKRI); Natural Environment Research Council (NERC); NERC British Antarctic Survey</t>
  </si>
  <si>
    <t>Kiyani, KH (corresponding author), Univ Warwick, Dept Phys, Ctr Fus Space &amp; Astrophys, Gibbet Hill Rd, Coventry CV4 7AL, W Midlands, England.</t>
  </si>
  <si>
    <t>k.kiyani@warwick.ac.uk</t>
  </si>
  <si>
    <t>Chapman, Sandra/C-2216-2008; Watkins, Nicholas Wynn/C-5140-2008; Kiyani, Khurom H/C-2430-2009; Watkins, Nick/GPX-7439-2022</t>
  </si>
  <si>
    <t>Chapman, Sandra/0000-0003-0053-1584; Watkins, Nicholas Wynn/0000-0003-4484-6588; Watkins, Nick/0000-0003-4484-6588</t>
  </si>
  <si>
    <t>UK STFC; EPSRC; ACE Science Center; EPSRC [EP/H02395X/1, EP/D062837/1, EP/H002189/1] Funding Source: UKRI; NERC [bas010021] Funding Source: UKRI; STFC [ST/F00205X/1] Funding Source: UKRI; Engineering and Physical Sciences Research Council [EP/D062837/1, EP/H02395X/1] Funding Source: researchfish; Natural Environment Research Council [bas010021] Funding Source: researchfish; Science and Technology Facilities Council [ST/F00205X/1] Funding Source: researchfish</t>
  </si>
  <si>
    <t>UK STFC(UK Research &amp; Innovation (UKRI)Science &amp; Technology Facilities Council (STFC)); EPSRC(UK Research &amp; Innovation (UKRI)Engineering &amp; Physical Sciences Research Council (EPSRC)); ACE Science Center; EPSRC(UK Research &amp; Innovation (UKRI)Engineering &amp; Physical Sciences Research Council (EPSRC)); NERC(UK Research &amp; Innovation (UKRI)Natural Environment Research Council (NERC)); STFC(UK Research &amp; Innovation (UKRI)Science &amp; Technology Facilities Council (STFC)); Engineering and Physical Sciences Research Council(UK Research &amp; Innovation (UKRI)Engineering &amp; Physical Sciences Research Council (EPSRC)); Natural Environment Research Council(UK Research &amp; Innovation (UKRI)Natural Environment Research Council (NERC)); Science and Technology Facilities Council(UK Research &amp; Innovation (UKRI)Science &amp; Technology Facilities Council (STFC))</t>
  </si>
  <si>
    <t>The authors would like to thank B. Hnat, G. Rowlands, F. M. Poli, T. Dudok De Wit, M. P. Freeman, and V. Keinhorst for helpful discussions and suggestions. We acknowledge the financial support of the UK STFC and EPSRC; the ACE Science Center and K. Oglivie for ACE and WIND data.</t>
  </si>
  <si>
    <t>2470-0045</t>
  </si>
  <si>
    <t>2470-0053</t>
  </si>
  <si>
    <t>10.1103/PhysRevE.79.036109</t>
  </si>
  <si>
    <t>427GI</t>
  </si>
  <si>
    <t>WOS:000264767400017</t>
  </si>
  <si>
    <t>Castellini, MA; Trumble, SJ; Mau, TL; Yochem, PK; Stewart, BS; Koski, MA</t>
  </si>
  <si>
    <t>Castellini, M. A.; Trumble, S. J.; Mau, T. L.; Yochem, P. K.; Stewart, B. S.; Koski, M. A.</t>
  </si>
  <si>
    <t>Body and Blubber Relationships in Antarctic Pack Ice Seals: Implications for Blubber Depth Patterns</t>
  </si>
  <si>
    <t>PHYSIOLOGICAL AND BIOCHEMICAL ZOOLOGY</t>
  </si>
  <si>
    <t>WEDDELL SEALS; LEPTONYCHOTES-WEDDELLII; DIVING BEHAVIOR; LOBODON-CARCINOPHAGUS; HARBOR SEALS; MASS; PINNIPEDS; DIETARY; GROWTH; ISLAND</t>
  </si>
  <si>
    <t>Morphometrics and blubber depths from all four high Antarctic seals (Weddell, Ross, crabeater, and leopard) were obtained during a midsummer research cruise in the Ross Sea as the physiological ecology component of the U. S. Antarctic Pack Ice Seals project. These data are the only in vivo measurements of all four species from the same location and time of year and focused on variances in morphometrics and blubber depth related to species, sex, and age. By controlling for location and season, this cross-species design provided the means to differentiate how blubber mass might be influenced in these groups. We measured both absolute blubber depth and ratio of blubber depth to body core diameter. We found that adult and younger animals showed differences in blubber depth, but male versus female seals did not show differences within any given species. However, when compared across species, the ratio of blubber ring depth to body core diameter suggests that adult Weddell seals differ in their use of blubber compared with the other three species. We propose that this difference in blubber pattern is most likely related to Weddell nutritional requirements during the breeding season having a greater influence on blubber depth than thermal requirements when compared with the other three species.</t>
  </si>
  <si>
    <t>[Castellini, M. A.; Trumble, S. J.; Mau, T. L.] Univ Alaska, Inst Marine Sci, Fairbanks, AK 99775 USA; [Yochem, P. K.; Stewart, B. S.] Hubbs SeaWorld Res Inst, San Diego, CA 92109 USA; [Koski, M. A.] Univ Calif Davis, Sch Vet Med, Davis, CA 95616 USA</t>
  </si>
  <si>
    <t>University of Alaska System; University of Alaska Fairbanks; University of California System; University of California Davis</t>
  </si>
  <si>
    <t>Castellini, MA (corresponding author), Univ Alaska, Inst Marine Sci, Fairbanks, AK 99775 USA.</t>
  </si>
  <si>
    <t>mikec@ims.uaf.edu</t>
  </si>
  <si>
    <t>Trumble, Stephen/0000-0001-6319-9633; Castellini, Michael/0000-0003-0396-1045</t>
  </si>
  <si>
    <t>National Science Foundation (NSF) [OPP-9815176, OPP-9816035, OPP-9816011]; Antarctic Supports Associates</t>
  </si>
  <si>
    <t>National Science Foundation (NSF)(National Science Foundation (NSF)); Antarctic Supports Associates</t>
  </si>
  <si>
    <t>We thank the officers and crew of the RVIB Nathanial B. Palmer and the pilots and staff of Petroleum Helicopters for their support of this work, the National Science Foundation (NSF), and Antarctic Supports Associates. We also thank C. Davis and T. Gelatt for field assistance. This research was supported by the NSF under grants OPP-9815176 (M. A. C.), OPP-9816035 (P.K.Y. and B. S. S.), and OPP-9816011 (B. S. S.). APIS seals were captured under Marine Mammal Protection Act (MMPA) permit 495-1524. McMurdo seals were captured and handled under MMPA permit 1033-1683, and both were approved under University of Alaska Fairbanks and Hubbs-SeaWorld Research</t>
  </si>
  <si>
    <t>1522-2152</t>
  </si>
  <si>
    <t>1537-5293</t>
  </si>
  <si>
    <t>PHYSIOL BIOCHEM ZOOL</t>
  </si>
  <si>
    <t>Physiol. Biochem. Zool.</t>
  </si>
  <si>
    <t>MAR-APR</t>
  </si>
  <si>
    <t>10.1086/591948</t>
  </si>
  <si>
    <t>410DD</t>
  </si>
  <si>
    <t>WOS:000263555700002</t>
  </si>
  <si>
    <t>Mangoni, O; Saggiomo, M; Modigh, M; Catalano, G; Zingone, A; Saggiomo, V</t>
  </si>
  <si>
    <t>Mangoni, Olga; Saggiomo, Maria; Modigh, Monica; Catalano, Giulio; Zingone, Adriana; Saggiomo, Vincenzo</t>
  </si>
  <si>
    <t>The role of platelet ice microalgae in seeding phytoplankton blooms in Terra Nova Bay (Ross Sea, Antarctica): a mesocosm experiment</t>
  </si>
  <si>
    <t>Ross Sea; Terra Nova Bay; Platelet ice; Diatoms; Species composition; Seeding</t>
  </si>
  <si>
    <t>PHOTOSYNTHESIS-IRRADIANCE RELATIONSHIPS; SOUTHERN WEDDELL SEA; LAND-FAST ICE; MCMURDO-SOUND; MICROBIAL COMMUNITIES; FRAGILARIOPSIS-CYLINDRUS; EUPHAUSIA-SUPERBA; ADELIE LAND; ASSEMBLAGES; SUCCESSION</t>
  </si>
  <si>
    <t>The aim of this study was to assess the role of platelet ice microalgal communities in seeding pelagic blooms. Nutrient dynamics, microalgal biomass, photosynthetic parameters, cell densities and species succession were studied in two mesocosm experiments, designed to simulate the transition of microalgal communities from platelet ice habitat to pelagic conditions. The microalgal assemblages were dominated by diatoms, 70% of which were benthic species such as Amphiprora kufferathii, Nitzschia stellata, and Berkeleya adeliensis. Photoacclimation of benthic species was inadequate also at relatively low irradiances. Exceptional growth capacity at different light levels was observed for pelagic species such as Fragilariopsis cylindrus and Chaetoceros spp. which may be important in seeding blooms at ice breakup. Fragilariopsis cylindrus showed high growth rates both at 65 and 10% of incident light and in nutrient replete as well as in nutrient depleted conditions. Five days after inoculation, phytoplankton biomass increased and nutrient concentrations decreased in both light conditions. Nutrient uptake rates were up to 9.10 mu mol L-1 d(-1) of TIN in the high light tank and 6.18 mu mol L-1 d(-1) in the low light tank and nutrient depletion in the high light tank occurred 3 days prior to depletion in the low light tank. At nutrient depletion, biomass concentrations were similar in both tanks, 30 and 34 mu g Chla L-1.</t>
  </si>
  <si>
    <t>[Mangoni, Olga] Univ Naples Federico II, Dipartimento Sci Biol, I-80134 Naples, Italy; [Saggiomo, Maria; Modigh, Monica; Zingone, Adriana; Saggiomo, Vincenzo] Staz Zool Anton Dohrn, I-80121 Naples, Italy; [Catalano, Giulio] CNR, Ist Sci Marine, I-34123 Trieste, Italy</t>
  </si>
  <si>
    <t>University of Naples Federico II; Stazione Zoologica Anton Dohrn di Napoli; Consiglio Nazionale delle Ricerche (CNR); Istituto di Scienze Marine (ISMAR-CNR)</t>
  </si>
  <si>
    <t>Saggiomo, V (corresponding author), Staz Zool Anton Dohrn, Villa Comunale I, I-80121 Naples, Italy.</t>
  </si>
  <si>
    <t>saggiomo@szn.it</t>
  </si>
  <si>
    <t>; Zingone, Adriana/E-4518-2010; CNR, Ismar/P-1247-2014</t>
  </si>
  <si>
    <t>Saggiomo, Maria/0000-0001-5794-0050; Zingone, Adriana/0000-0001-5946-6532; CNR, Ismar/0000-0001-5351-1486</t>
  </si>
  <si>
    <t>Italian National Programme for Antarctic Research (PNRA)</t>
  </si>
  <si>
    <t>This work was carried out as part of the Italian National Programme for Antarctic Research (PNRA), whose support in the laboratory of the Mario Zucchelli Station in Terra Nova Bay is gratefully acknowledged. Thanks are due to Prof. G. R. DiTullio from Hollings Marine Lab, College of Charleston, Charleston, SC, USA for very helpful discussions and constructive criticism during the preparation of the manuscript and to three anonymous reviewers.</t>
  </si>
  <si>
    <t>10.1007/s00300-008-0507-z</t>
  </si>
  <si>
    <t>407UE</t>
  </si>
  <si>
    <t>WOS:000263389000001</t>
  </si>
  <si>
    <t>Mangoni, O; Carrada, GC; Modigh, M; Catalano, G; Saggiomo, V</t>
  </si>
  <si>
    <t>Mangoni, Olga; Carrada, Gian Carlo; Modigh, Monica; Catalano, Giulio; Saggiomo, Vincenzo</t>
  </si>
  <si>
    <t>Photoacclimation in Antarctic bottom ice algae: an experimental approach</t>
  </si>
  <si>
    <t>Ross Sea; Terra Nova Bay; Fast ice; Bottom ice microalgae; Photoacclimation; HPLC pigments; DD-cycle</t>
  </si>
  <si>
    <t>TERRA-NOVA BAY; PHOTOSYNTHESIS-IRRADIANCE RELATIONSHIPS; ANNUAL SEA-ICE; LAND-FAST ICE; MCMURDO-SOUND; ROSS SEA; MICROBIAL COMMUNITIES; XANTHOPHYLL-CYCLE; PRIMARY PRODUCTIVITY; PHYTOPLANKTON BLOOM</t>
  </si>
  <si>
    <t>The aim of the study was to investigate the capacity of microalgae from the extremely low light habitat of bottom ice to acclimate to different light conditions. During austral spring 1997 the bottom layer of land-fast ice in Terra Nova Bay displayed high values of microalgal biomass up to 2,400 mu g Chla L-1 concentrated in a few centimetres ice layer. The algal assemblage was dominated by benthic pennate diatoms. Photoacclimation of the microalgae was addressed in terms of pigment spectra and photosynthetic parameters. Immediate and long term (minutes to days) changes in the photoprotective pigments (DD-cycle) were analysed. Severe photodamage occurred in microalgal assemblages exposed to high light. However, part of the bottom ice algal community showed a notable ability to acclimate to high irradiance levels. Changes in photosynthetic parameters preceded the sudden abrupt changes in pigment synthesis and the rapid increase in biomass and growth rates.</t>
  </si>
  <si>
    <t>[Mangoni, Olga; Carrada, Gian Carlo] Univ Naples Federico II, Dipartimento Sci Biol, I-80134 Naples, Italy; [Modigh, Monica; Saggiomo, Vincenzo] Staz Zool Anton Dohrn, I-80121 Naples, Italy; [Catalano, Giulio] CNR, Ist Sci Marine, Trieste, Italy</t>
  </si>
  <si>
    <t>Mangoni, O (corresponding author), Univ Naples Federico II, Dipartimento Sci Biol, Via Mezzocannone 8, I-80134 Naples, Italy.</t>
  </si>
  <si>
    <t>olga.mangoni@unina.it</t>
  </si>
  <si>
    <t>CNR, Ismar/P-1247-2014</t>
  </si>
  <si>
    <t>CNR, Ismar/0000-0001-5351-1486</t>
  </si>
  <si>
    <t>Italian National Project for Antarctic Research (PNRA); Pack Ice Plankton Experiment (PIPEx)</t>
  </si>
  <si>
    <t>This research was supported by the Italian National Project for Antarctic Research (PNRA) and was part of a larger study on Pack Ice Plankton Experiment (PIPEx). We are grateful to Prof. GR DiTullio from Hollings Marine Lab, College of Charleston, Charleston SC USA for valuable and constructive comments on the manuscript.</t>
  </si>
  <si>
    <t>10.1007/s00300-008-0517-x</t>
  </si>
  <si>
    <t>WOS:000263389000002</t>
  </si>
  <si>
    <t>Pusceddu, A; Dell'Anno, A; Vezzulli, L; Fabiano, M; Saggiomo, V; Cozzi, S; Catalano, G; Guglielmo, L</t>
  </si>
  <si>
    <t>Pusceddu, Antonio; Dell'Anno, Antonio; Vezzulli, Luigi; Fabiano, Mauro; Saggiomo, Vincenzo; Cozzi, Stefano; Catalano, Giulio; Guglielmo, Letterio</t>
  </si>
  <si>
    <t>Microbial loop malfunctioning in the annual sea ice at Terra Nova Bay (Antarctica)</t>
  </si>
  <si>
    <t>Antarctica; Sea ice; Particulate organic matter; Prokaryotes; Sympagic algae</t>
  </si>
  <si>
    <t>PARTICULATE ORGANIC-MATTER; ROSS SEA; BIOCHEMICAL-COMPOSITION; WEDDELL SEA; EXOPOLYMERIC SUBSTANCES; PLATELET ICE; SUMMER 1995; PACK ICE; BACTERIA; WATER</t>
  </si>
  <si>
    <t>We investigated organic carbon quantity and biochemical composition, prokaryotic abundance, biomass and carbon production in the annual and platelet sea ice of Terra Nova Bay (Antarctica), as well as the downward fluxes of organic matter released by melting ice during early spring. Huge amounts of biopolymeric C accumulated in the bottom layer of the ice column concomitantly with the early spring increase in sympagic algal biomass. Such organic material, mostly accounted for by autotrophic biomass, was characterised by a high food quality and was rapidly exported to the sea bottom during sea ice melting. Prokaryote abundance (up to 1.3 x 10(9) cells L-1) and extracellular enzymatic activities (up to 24.3 mu M h(-1) for amino-peptidase activity) were extremely high, indicating high rates of organic C degradation in the bottom sea ice. Despite this, prokaryote C production values were very low (range 5-30 ng C L-1 h(-1)), suggesting that most of the degraded organic C was not channelled into prokaryote biomass. In the platelet ice, we found similar organic C concentrations, prokaryote abundance and biomass values and even higher extracellular enzymatic activities, but values of prokaryote C production (range 800-4,200 ng C L-1 h(-1)) were up to three orders of magnitude higher than in the intact bottom sea ice. Additional field and laboratory experiments revealed that the dissolved organic material derived from algae accumulating in the bottom sea ice significantly reduced prokaryote C production, suggesting the presence of a potential allopathic control of sympagic algae on prokaryote growth.</t>
  </si>
  <si>
    <t>[Pusceddu, Antonio; Dell'Anno, Antonio] Polytech Univ Marche, Dept Marine Sci, I-60131 Ancona, Italy; [Vezzulli, Luigi; Fabiano, Mauro] Univ Genoa, Dept Study Terr &amp; Resources, I-16100 Genoa, Italy; [Saggiomo, Vincenzo] Staz Zool Anton Dohrn, I-80100 Naples, Italy; [Cozzi, Stefano; Catalano, Giulio] CNR, Ist Sci Marine, Sez Trieste, I-34123 Trieste, Italy; [Guglielmo, Letterio] Univ Messina, Dipartimento Biol Anim &amp; Ecol Marina, I-98166 Messina, Italy</t>
  </si>
  <si>
    <t>Marche Polytechnic University; University of Genoa; Stazione Zoologica Anton Dohrn di Napoli; Consiglio Nazionale delle Ricerche (CNR); Istituto di Scienze Marine (ISMAR-CNR); University of Messina</t>
  </si>
  <si>
    <t>Pusceddu, A (corresponding author), Polytech Univ Marche, Dept Marine Sci, Via Brecce Bianche, I-60131 Ancona, Italy.</t>
  </si>
  <si>
    <t>a.pusceddu@univpm.it</t>
  </si>
  <si>
    <t>Cozzi, Stefano/G-1511-2011; Dell'Anno, Antonio AD/G-9468-2012; Vezzulli, Luigi/J-2312-2015; CNR, Ismar/P-1247-2014</t>
  </si>
  <si>
    <t>Cozzi, Stefano/0000-0003-0116-742X; Dell'Anno, Antonio AD/0000-0002-4324-7834; Vezzulli, Luigi/0000-0002-4368-1454; GUGLIELMO, Letterio/0000-0001-7547-8058; CNR, Ismar/0000-0001-5351-1486</t>
  </si>
  <si>
    <t>Italian National Programme for Antarctica (PNRA); University of Messina, Italy</t>
  </si>
  <si>
    <t>This work was carried out under the Italian National Programme for Antarctica (PNRA), in the framework of the PIPEX and PIED projects. We feel indebted to G. Arena and N. Donato (University of Messina, Italy) for their crucial support in field sampling activities as well as to the logistic staff of PNRA at the Mario Zucchelli Station at Terra Nova Bay during the 13th and 15th Italian Antarctic Expeditions. We are grateful to the three anonymous referees who provided useful suggestions for improving an early version of the manuscript.</t>
  </si>
  <si>
    <t>10.1007/s00300-008-0539-4</t>
  </si>
  <si>
    <t>WOS:000263389000003</t>
  </si>
  <si>
    <t>Guglielmo, L; Donato, P; Zagami, G; Granata, A</t>
  </si>
  <si>
    <t>Guglielmo, Letterio; Donato, P.; Zagami, G.; Granata, A.</t>
  </si>
  <si>
    <t>Spatio-temporal distribution and abundance of Euphausia crystallorophias in Terra Nova Bay (Ross Sea, Antarctica) during austral summer</t>
  </si>
  <si>
    <t>Western Ross Sea; Terra Nova Bay; Euphausia crystallorophias; Abundance; Distribution; Growth; Spawning; Polynya</t>
  </si>
  <si>
    <t>SOUTHERN WEDDELL SEA; COMMUNITY STRUCTURE; LIFE-HISTORY; ENDERBY LAND; PRYDZ BAY; ICE-EDGE; PACK-ICE; KRILL; SUPERBA; PENINSULA</t>
  </si>
  <si>
    <t>Average abundance values for Euphausia crystallorophias in the shelf region of Terra Nova Bay were generally high. Mean number of adults and juveniles were 20 and 87 ind/m(2), respectively, while larval concentrations were much higher, reaching a mean of 14,764 ind/m(2). Euphausia crystallorophias were very patchy in their distribution during all stages of their life cycle. The distribution patterns of E. crystallorophias in TNB seem to be strictly correlated both to hydrological features such as the presence of polynyas, pack-ice zone and certain temperatures values. According to our data, E. crystallorophias spawned from early October to early January. For the two age groups (0+ and 1+) an average growth rate of 0.074 and 0.076 mm/day was found, respectively. The mean biomass of larval E. crystallorophias (from Metanauplius to Furcilia I) in January was estimated as 84 mg WW/m(2).</t>
  </si>
  <si>
    <t>[Guglielmo, Letterio; Donato, P.; Zagami, G.; Granata, A.] Univ Messina, Dipartimento Biol Anim &amp; Ecol Marina, I-98166 Messina, Italy</t>
  </si>
  <si>
    <t>University of Messina</t>
  </si>
  <si>
    <t>Guglielmo, L (corresponding author), Univ Messina, Dipartimento Biol Anim &amp; Ecol Marina, Salita Sperone 31, I-98166 Messina, Italy.</t>
  </si>
  <si>
    <t>letterio.guglielmo@unime.it</t>
  </si>
  <si>
    <t>ZAGAMI, Giacomo/0000-0001-5083-8846; GRANATA, Antonia/0000-0001-7016-6418; GUGLIELMO, Letterio/0000-0001-7547-8058</t>
  </si>
  <si>
    <t>National Project for Antarctic Research (PNRA)</t>
  </si>
  <si>
    <t>Logistical and financial support for this paper was given by the Italian National Project for Antarctic Research (PNRA). Many thanks go to officers and crew of the research vessel Polar Queen and to technicians involved in the BIONESS sampling procedures for their excellent cooperation in field work.</t>
  </si>
  <si>
    <t>10.1007/s00300-008-0546-5</t>
  </si>
  <si>
    <t>WOS:000263389000004</t>
  </si>
  <si>
    <t>Granata, A; Zagami, G; Vacchi, M; Guglielmo, L</t>
  </si>
  <si>
    <t>Granata, Antonia; Zagami, Giacomo; Vacchi, Marino; Guglielmo, Letterio</t>
  </si>
  <si>
    <t>Summer and spring trophic niche of larval and juvenile Pleuragramma antarcticum in the Western Ross Sea, Antarctica</t>
  </si>
  <si>
    <t>Pleuragramma antarcticum; Distribution; Diet composition; Copepods; Western Ross Sea</t>
  </si>
  <si>
    <t>TERRA-NOVA BAY; WEDDELL SEA; LIFE-CYCLE; PARALABIDOCERA-ANTARCTICA; ABUNDANCE; ICE; PISCES; NOTOTHENIIDAE; POSTLARVAL; PENINSULA</t>
  </si>
  <si>
    <t>The aim of this paper is to contribute to the knowledge on the feeding habits of larvae and juvenile Pleuragramma antarcticum in the western Ross Sea. In summer, the diet of P. antarcticum postlarvae (8-17 mm) was dominated by calanoid eggs (35.5%), Limacina (32.1%) and tintinnids (17.6%), while the principal food of juveniles consisted mainly of copepods (98.2%), with Oncaea curvata being the most abundant (85.1%) and the most frequently consumed prey. The food composition of P. antarcticum postlarvae (24-29 mm), collected in spring, suggest that they fed actively under the sea ice. Stephos longipes, Harpacticus furcifer and Paralabidocera antarctica sea ice copepods represent, in all their different developmental stages, the most abundant biomass food in Terra Nova Bay in this period. Our results therefore suggest that the diet of younger Pleuragramma specimens shifted in prey composition from the first summer to the following spring. This study draws attention to the key role of the copepod, P. antarctica, in the food web of Terra Nova Bay.</t>
  </si>
  <si>
    <t>[Granata, Antonia; Zagami, Giacomo; Guglielmo, Letterio] Univ Messina, DBAEM, Dipartimento Biol Anim &amp; Ecol Marina, I-98166 Messina, Italy; [Vacchi, Marino] Univ Genoa, ICRAM, Museo Nazl Antartide, I-16132 Genoa, Italy</t>
  </si>
  <si>
    <t>University of Messina; University of Genoa</t>
  </si>
  <si>
    <t>Granata, A (corresponding author), Univ Messina, DBAEM, Dipartimento Biol Anim &amp; Ecol Marina, Salita Sperone 31, I-98166 Messina, Italy.</t>
  </si>
  <si>
    <t>antonia.granata@unime.it</t>
  </si>
  <si>
    <t>GUGLIELMO, Letterio/0000-0001-7547-8058; GRANATA, Antonia/0000-0001-7016-6418; ZAGAMI, Giacomo/0000-0001-5083-8846</t>
  </si>
  <si>
    <t>Italian National Project for Antarctic Research (PNRA)</t>
  </si>
  <si>
    <t>Logistical and financial support for this paper was given by the Italian National Project for Antarctic Research (PNRA).</t>
  </si>
  <si>
    <t>10.1007/s00300-008-0551-8</t>
  </si>
  <si>
    <t>WOS:000263389000005</t>
  </si>
  <si>
    <t>Kiko, R; Werner, I; Wittmann, A</t>
  </si>
  <si>
    <t>Kiko, Rainer; Werner, Iris; Wittmann, Astrid</t>
  </si>
  <si>
    <t>Osmotic and ionic regulation in response to salinity variations and cold resistance in the Arctic under-ice amphipod Apherusa glacialis</t>
  </si>
  <si>
    <t>Sympagic; Osmolality; Ion composition; Supercooling point; ARK XXII/2</t>
  </si>
  <si>
    <t>ANTARCTIC SEA-ICE; GAMMARUS-WILKITZKII; DECAPOD CRUSTACEANS; METABOLIC RESPONSES; SYMPAGIC AMPHIPODS; ONISIMUS-GLACIALIS; GREENLAND SEA; LIFE-HISTORY; POLAR AREAS; PACK ICE</t>
  </si>
  <si>
    <t>Amphipods living at the underside of Arctic sea ice are exposed to varying salinities due to freezing and melting, and have to cope with the resulting osmotic stress. Extracellular osmotic and ionic regulation at different salinities, thermal hysteresis, and supercooling points (SCPs) were studied in the under-ice amphipod Apherusa glacialis. The species is euryhaline, capable to regulate hyperosmotically at salinities S (R) &lt; 30 g/kg, and osmoconforms at salinities S (R) a parts per thousand yen 30 g/kg. Hyperosmotic regulation is an adaptation to thrive in low-salinity meltwater below the ice. Conforming to the ambient salinity during freezing reduces the risk of internal ice formation. Thermal hysteresis was not observed in the haemolymph of A. glacialis. The SCP of the species was -7.8 +/- A 1.9A degrees C. Several ions were specifically downregulated ([Mg(2+)], [SO(4) (2-)]), or upregulated ([K(+)], [Ca(2+)]) in comparison to the medium. Strong downregulation of [Mg(2+)], is probably necessary to avoid an anaesthetic effect at low temperatures.</t>
  </si>
  <si>
    <t>[Kiko, Rainer; Werner, Iris] Inst Polar Ecol, D-24148 Kiel, Germany; [Kiko, Rainer; Wittmann, Astrid] Alfred Wegener Inst Polar &amp; Marine Res, D-27570 Bremerhaven, Germany</t>
  </si>
  <si>
    <t>Kiko, R (corresponding author), Inst Polar Ecol, Wischhofstr 1-3,Gebaude 12, D-24148 Kiel, Germany.</t>
  </si>
  <si>
    <t>rkiko@ipoe.uni-kiel.de</t>
  </si>
  <si>
    <t>Kiko, Rainer/0000-0002-7851-9107; Wittmann, Astrid/0000-0002-4839-5633</t>
  </si>
  <si>
    <t>10.1007/s00300-008-0531-z</t>
  </si>
  <si>
    <t>WOS:000263389000007</t>
  </si>
  <si>
    <t>Peck, LS; Massey, A; Thorne, MAS; Clark, MS</t>
  </si>
  <si>
    <t>Peck, Lloyd S.; Massey, Alison; Thorne, Michael A. S.; Clark, Melody S.</t>
  </si>
  <si>
    <t>Lack of acclimation in Ophionotus victoriae: brittle stars are not fish</t>
  </si>
  <si>
    <t>Ophiuroid; Antarctic; Temperature; Climate change; Acclimation; Vulnerability</t>
  </si>
  <si>
    <t>TEMPERATURE; BIOGEOGRAPHY; PERFORMANCE; METABOLISM; TOLERANCE; CLIMATE; LIMITS; OCEAN</t>
  </si>
  <si>
    <t>Acclimation is possibly the most important criterion deciding an animal's ability to survive change. Species with poor abilities to acclimate to small environmental change are likely to be the most vulnerable in future warming scenarios. Two separate assemblages of Ophionotus victoriae were slowly acclimated from 0A degrees C to either +2 or +3A degrees C and then held at these higher temperatures over a prolonged timescale. None of the animals were able to acclimate; with failure occurring from day 19 at +3A degrees C and day 24 at +2A degrees C, indicating that this species is very sensitive to small long-term seawater temperature increases. These data indicate that O. victoriae has probably the poorest ability to acclimate to elevated temperatures of any species studied to date. Given previous data showing some Antarctic fish can acclimate to +4A degrees C, the predicted effects of increased seawater temperatures on the Antarctic food web and ecology must be assessed at the individual species level and interpreted with care.</t>
  </si>
  <si>
    <t>[Peck, Lloyd S.; Massey, Alison; Thorne, Michael A. S.; Clark, Melody S.] British Antarctic Survey, NERC, Cambridge CB3 0ET, England</t>
  </si>
  <si>
    <t>Clark, MS (corresponding author), British Antarctic Survey, NERC, High Cross,Madingley Rd, Cambridge CB3 0ET, England.</t>
  </si>
  <si>
    <t>Clark, Melody/0000-0002-3442-3824; Thorne, Michael/0000-0001-7759-612X</t>
  </si>
  <si>
    <t>NERC National Facility for Scientific Diving at Oban; Natural Environment Research Council [dml011000, bas010015] Funding Source: researchfish; NERC [bas010015, dml011000] Funding Source: UKRI</t>
  </si>
  <si>
    <t>NERC National Facility for Scientific Diving at Oban(UK Research &amp; Innovation (UKRI)Natural Environment Research Council (NERC)); Natural Environment Research Council(UK Research &amp; Innovation (UKRI)Natural Environment Research Council (NERC)); NERC(UK Research &amp; Innovation (UKRI)Natural Environment Research Council (NERC))</t>
  </si>
  <si>
    <t>This paper was produced within the BAS Q4 BIOREACH/BIOFLAME core programmes. The authors would like to thank all members of the Rothera Dive Team for providing samples. Overall diving support was provided by the NERC National Facility for Scientific Diving at Oban.</t>
  </si>
  <si>
    <t>10.1007/s00300-008-0532-y</t>
  </si>
  <si>
    <t>WOS:000263389000008</t>
  </si>
  <si>
    <t>Buckley, BA; Somero, GN</t>
  </si>
  <si>
    <t>Buckley, Bradley A.; Somero, George N.</t>
  </si>
  <si>
    <t>cDNA microarray analysis reveals the capacity of the cold-adapted Antarctic fish Trematomus bernacchii to alter gene expression in response to heat stress</t>
  </si>
  <si>
    <t>Genomics; Antarctic fish; Heat stress</t>
  </si>
  <si>
    <t>NOTOTHENIOID FISHES; GILLICHTHYS-MIRABILIS; SHOCK RESPONSE; HETEROLOGOUS HYBRIDIZATION; COMMON MECHANISM; PROTEINS; APOPTOSIS; HSP70; DNA; ADAPTATION</t>
  </si>
  <si>
    <t>During their many millions of years of evolution in the extreme and stable cold, Antarctic notothenioid fishes have acquired profoundly cold-adapted physiologies. Gene expression profiling via cDNA microarray was used to determine the extent to which one species of notothenioid, Trematomus bernacchii, has retained the ability to alter gene expression in response to heat stress. While an inability to up-regulate the expression of any size class of heat shock proteins (except for a 1.1-fold induction of the co-chaperone Hsp40) was observed, hundreds of additional genes, associated with a broad range of cellular processes, were responsive to heat. Many of these genes are associated with central aspects of the evolutionarily conserved cellular stress response (CSR), which plays a pivotal role in responding to physical and chemical stresses. The inability of T. bernacchii to mount a heat shock response underscores the potential susceptibility of this species to the effects of global warming.</t>
  </si>
  <si>
    <t>[Buckley, Bradley A.] Portland State Univ, Dept Biol, Portland, OR 97207 USA; [Somero, George N.] Stanford Univ, Hopkins Marine Stn, Pacific Grove, CA 93950 USA</t>
  </si>
  <si>
    <t>Portland State University; Stanford University</t>
  </si>
  <si>
    <t>Buckley, BA (corresponding author), Portland State Univ, Dept Biol, Portland, OR 97207 USA.</t>
  </si>
  <si>
    <t>bbuckley@pdx.edu</t>
  </si>
  <si>
    <t>Somero, George/AAC-3321-2019</t>
  </si>
  <si>
    <t>Somero, George/0000-0003-1431-6455</t>
  </si>
  <si>
    <t>NSF-OPP Fellowship Award [0443754, OPP05-04072]; Directorate For Geosciences; Office of Polar Programs (OPP) [0443754] Funding Source: National Science Foundation</t>
  </si>
  <si>
    <t>NSF-OPP Fellowship Award(National Science Foundation (NSF)); Directorate For Geosciences; Office of Polar Programs (OPP)(National Science Foundation (NSF)NSF - Directorate for Geosciences (GEO))</t>
  </si>
  <si>
    <t>This work was supported by NSF-OPP Fellowship Award 0443754 to BAB and NSF-OPP Award OPP05-04072 to Dr. Donal Manahan for the Antarctic Biology Course. Our appreciation goes to Dr. Gretchen Hofmann and the members of B-134 for Weld assistance.</t>
  </si>
  <si>
    <t>10.1007/s00300-008-0533-x</t>
  </si>
  <si>
    <t>WOS:000263389000009</t>
  </si>
  <si>
    <t>Aldea, C; Zelaya, DG; Troncoso, JS</t>
  </si>
  <si>
    <t>Aldea, Cristian; Zelaya, Diego G.; Troncoso, Jesus S.</t>
  </si>
  <si>
    <t>Two new trochids of the genus Antimargarita (Gastropoda: Vetigastropoda: Trochidae) from the Bellingshausen Sea and South Shetland Islands, Antarctica</t>
  </si>
  <si>
    <t>Taxonomy; Antarctica; Margaritinae; Margaritini; Southern Ocean</t>
  </si>
  <si>
    <t>Two new trochids of the genus Antimargarita, A. powelli and A. bentarti, from the Antarctic waters are described here. A. powelli, from the Bellingshausen Sea, is distinguished by its rounded whorls, numerous spiral cords, a radula with seven lateral teeth at each side of the rachidian, and an epipodium with eight pairs of tentacles. A. bentarti, from the South Shetland Islands, is characterized by having a shell outline gradated by prominent primary spiral cords, a radula with five lateral teeth at each side of the rachidian and an epipodium with six tentacles on the left side. The diagnostic features for Antimargarita are redefined considering both shell and anatomical features and its suprageneric placement is discussed.</t>
  </si>
  <si>
    <t>[Aldea, Cristian] Fdn Ctr Estudios Cuaternario Fuego Patagonia &amp; An, Punta Arenas, Chile; [Zelaya, Diego G.] Museo Plata, Div Zool Invertebrados, RA-1900 La Plata, Buenos Aires, Argentina; [Aldea, Cristian; Troncoso, Jesus S.] Univ Vigo, Fac Ciencias Mar, Dept Ecol &amp; Biol Anim, Vigo 36310, Spain</t>
  </si>
  <si>
    <t>National University of La Plata; Museo La Plata; Universidade de Vigo</t>
  </si>
  <si>
    <t>Aldea, C (corresponding author), Univ Vigo, Fac Ciencias Mar, Dept Ecol &amp; Biol Anim, Campus Lagoas Marcosende, Vigo 36310, Spain.</t>
  </si>
  <si>
    <t>cristian-aldea@uvigo.es</t>
  </si>
  <si>
    <t>Aldea, Cristian/J-5391-2013; Troncoso, Jesus/L-1823-2017</t>
  </si>
  <si>
    <t>Troncoso, Jesus/0000-0002-7305-6879; Aldea, Cristian/0000-0002-4473-6509</t>
  </si>
  <si>
    <t>10.1007/s00300-008-0534-9</t>
  </si>
  <si>
    <t>WOS:000263389000010</t>
  </si>
  <si>
    <t>Cardone, S; Sawatani, P; Rush, P; García, AM; Poggio, L; Schrauf, G</t>
  </si>
  <si>
    <t>Cardone, Susana; Sawatani, Patricia; Rush, Pablo; Maria Garcia, Ana; Poggio, Lidia; Schrauf, Gustavo</t>
  </si>
  <si>
    <t>Karyological studies in Deschampsia antarctica Desv. (Poaceae)</t>
  </si>
  <si>
    <t>Deschampsia antarctica; Karyotype; Chromosomes; Aneusomaty</t>
  </si>
  <si>
    <t>VASCULAR PLANTS; ANEUSOMATY; AVENEAE; NUCLEAR; DIVERSITY</t>
  </si>
  <si>
    <t>Deschampsia antarctica Desv. (Poaceae), known as Antarctic hairgrass, is the only grass species and one of the two vascular plant species native to Antarctica and it is a valuable source for gene discovery associated with freezing-tolerance. In this work the karyotype of D. antarctica collected near Jubany Antarctic Base was reported for the first time. This species presents a chromosome number of 2n = 2x = 26, with karyotypic formula 10m + 6sm + 8st + 2t. The nucleolar organizer region is located in the short arm in one of the submetacentric pairs forming a terminal satellite. Aneusomaty, a phenomenon already reported in the genus, was detected during this study. The cytogenetic information, together with the recent phylogenetic data will be useful for breeding strategies in agronomically valuable crops.</t>
  </si>
  <si>
    <t>[Cardone, Susana; Rush, Pablo; Schrauf, Gustavo] Univ Buenos Aires, Fac Agron, RA-1417 Buenos Aires, DF, Argentina; [Sawatani, Patricia; Maria Garcia, Ana; Poggio, Lidia] Univ Buenos Aires, Fac Ciencias Exactas &amp; Nat, Buenos Aires, DF, Argentina</t>
  </si>
  <si>
    <t>University of Buenos Aires; University of Buenos Aires</t>
  </si>
  <si>
    <t>Poggio, L (corresponding author), Univ Buenos Aires, Fac Ciencias Exactas &amp; Nat, Intendente Guiraldes 2160,Ciudad Univ,C1428EGA, Buenos Aires, DF, Argentina.</t>
  </si>
  <si>
    <t>scardone@agro.uba.ar; rush@agro.uba.ar; anagar@agro.uba.ar; poggiocitoevol@hotmail.com; gschrauf@agro.uba.ar</t>
  </si>
  <si>
    <t>Poggio, Laura/A-5266-2015</t>
  </si>
  <si>
    <t>CONICET [PIP5927]; FONCYT [PICT 14170]; UBA [G097]</t>
  </si>
  <si>
    <t>CONICET(Consejo Nacional de Investigaciones Cientificas y Tecnicas (CONICET)); FONCYT(FONCyT); UBA(University of Buenos Aires)</t>
  </si>
  <si>
    <t>The authors wish to thank Ulrik John and German Spangenberg for the encouragement to obtain the information provided in the present work. Financial support by CONICET (PIP5927), FONCYT (PICT 14170) and UBA (G097). L. P. and A.M.G. belong to CONICET.</t>
  </si>
  <si>
    <t>10.1007/s00300-008-0535-8</t>
  </si>
  <si>
    <t>WOS:000263389000011</t>
  </si>
  <si>
    <t>Cowart, DA; Ulrich, PN; Miller, DC; Marsh, AG</t>
  </si>
  <si>
    <t>Cowart, Dominique A.; Ulrich, Paul N.; Miller, Douglas C.; Marsh, Adam G.</t>
  </si>
  <si>
    <t>Salinity sensitivity of early embryos of the Antarctic sea urchin, Sterechinus neumayeri</t>
  </si>
  <si>
    <t>Development; Sea urchin; Salinity; Embryos; Antarctica</t>
  </si>
  <si>
    <t>PARACENTROTUS-LIVIDUS LMK; FRESH-WATER; LYTECHINUS-VARIEGATUS; ECHINODERMATA; TEMPERATURE; ECHINOIDEA; MORTALITY; CLIMATE; GROWTH; REPRODUCTION</t>
  </si>
  <si>
    <t>Embryos and larvae of the Antarctic sea urchin, Sterechinus neumayeri, have received considerable experimental attention assessing impacts of low temperature on development; however, salinity effects are not well documented because heretofore, the Antarctic coastal marine environment has been remarkably stenohaline. In this study, subtle decreases of 2 and 4 parts per 1,000 in standard salinity were tested to see if the developmental rate of S. neumayeri embryos would be impacted by a potential hyposmotic stress. At 30 psu, significantly fewer embryos (2 individuals out of 198 tested) reached morula stage by 36 h post-fertilization in comparison embryos in control treatments at 34 psu. Antarctic sea urchins are an important component of marine environments due to their grazing activities. Reductions in larval recruitment success due to the influx of freshwater from melting ice shelves resulting from global climate change could have far-reaching impacts on benthic ecosystem structure in Antarctica.</t>
  </si>
  <si>
    <t>[Cowart, Dominique A.; Ulrich, Paul N.; Miller, Douglas C.; Marsh, Adam G.] Univ Delaware, Coll Marine &amp; Earth Studies, Lewes, DE 19958 USA</t>
  </si>
  <si>
    <t>University of Delaware</t>
  </si>
  <si>
    <t>Cowart, DA (corresponding author), Penn State Univ, Dept Biol, University Pk, PA 16802 USA.</t>
  </si>
  <si>
    <t>dac330@psu.edu; amarsh@udel.edu</t>
  </si>
  <si>
    <t>Cowart, Dominique/0000-0002-2581-0355</t>
  </si>
  <si>
    <t>National Science Foundation, Office of Polar Programs [02-38281]; University of Delaware Scholar's Award to DAC</t>
  </si>
  <si>
    <t>National Science Foundation, Office of Polar Programs(National Science Foundation (NSF)); University of Delaware Scholar's Award to DAC</t>
  </si>
  <si>
    <t>We thank R. Robbins for his assistance and guidance with diving operations for collecting sea urchins by SCUBA near McMurdo Station, Antarctica. We also thank the McMurdo staff of Raytheon Polar Services for their help providing logistical support both in the Weld and within the Crary Laboratory. In addition, M. League, D. Martel and J. Dann contributed to the work in the Weld team. This work was supported by a grant from the National Science Foundation, Office of Polar Programs (# 02-38281 to AGM), and a University of Delaware Scholar's Award to DAC.</t>
  </si>
  <si>
    <t>10.1007/s00300-008-0536-7</t>
  </si>
  <si>
    <t>WOS:000263389000012</t>
  </si>
  <si>
    <t>Raymond, B; Meiners, K; Fowler, CW; Pasquer, B; Williams, GD; Nicol, S</t>
  </si>
  <si>
    <t>Raymond, Ben; Meiners, K.; Fowler, C. W.; Pasquer, B.; Williams, G. D.; Nicol, S.</t>
  </si>
  <si>
    <t>Cumulative solar irradiance and potential large-scale sea ice algae distribution off East Antarctica (30A°E-150A°E)</t>
  </si>
  <si>
    <t>Sea ice; Sea ice motion; Photosynthetically active radiation; Sea ice algae; East Antarctica</t>
  </si>
  <si>
    <t>KRILL EUPHAUSIA-SUPERBA; SOUTHERN-OCEAN; PACK-ICE; ROSS SEA; MICROBIAL COMMUNITIES; VARIABILITY; SNOW; ZONE; EDGE; PRODUCTIVITY</t>
  </si>
  <si>
    <t>We present a computational model of the large-scale cumulative light exposure of sea ice in the Southern Ocean off East Antarctica (30A degrees E-150A degrees E). The model uses remotely sensed or modelled sea ice concentration, snow depth over sea ice, and solar irradiance data, and tracks sea ice motion over the season of interest in order to calculate the cumulative exposure of the ice field to photosynthetically active radiation (PAR). Light is the limiting factor to sea ice algal growth over winter and early spring, and so the results have implications for the estimation of algal biomass in East Antarctica. The model results indicate that highly light-exposed ice is restricted to within a few degrees of the coast in the eastern part of the study region, but extends much further north in the 30A degrees E-100A degrees E sector. The relative influences of sea ice motion, solar flux, and snow depth variations on interannual variations in model predictions were evaluated. The model estimates of cumulative PAR were found to correlate with satellite estimates of subsequent open-water chlorophyll-a concentration, consistent with the notion that sea ice algae can provide inocula for phytoplankton blooms.</t>
  </si>
  <si>
    <t>[Raymond, Ben; Nicol, S.] Australian Antarctic Div, Kingston, Tas 7050, Australia; [Raymond, Ben; Meiners, K.; Pasquer, B.; Williams, G. D.; Nicol, S.] Antarct Climate &amp; Ecosyst Cooperat Res Ctr, Hobart, Tas 7001, Australia; [Fowler, C. W.] Univ Colorado, Dept Aerosp Engn Sci, Colorado Ctr Astrodynam Res, Boulder, CO 80309 USA; [Williams, G. D.] Hokkaido Univ, Inst Low Temp Sci, Sapporo, Hokkaido 0600819, Japan</t>
  </si>
  <si>
    <t>Australian Antarctic Division; University of Colorado System; University of Colorado Boulder; Hokkaido University</t>
  </si>
  <si>
    <t>Australian Government Cooperative Research Programme through the Antarctic Climate and Ecosystems Cooperative Research Centre (ACE CRC); Australian Antarctic Division [2943]</t>
  </si>
  <si>
    <t>Australian Government Cooperative Research Programme through the Antarctic Climate and Ecosystems Cooperative Research Centre (ACE CRC)(Australian GovernmentDepartment of Industry, Innovation and ScienceCooperative Research Centres (CRC) Programme); Australian Antarctic Division</t>
  </si>
  <si>
    <t>Thorsten Markus provided the SMMR-SSM/I snow depth data. Comments from Delphine Lannuzel, Jan Lieser, and four anonymous reviewers greatly improved the manuscript. This research was supported by the Australian Government Cooperative Research Programme through the Antarctic Climate and Ecosystems Cooperative Research Centre (ACE CRC), and by the Australian Antarctic Division under AAS Project 2943.</t>
  </si>
  <si>
    <t>10.1007/s00300-008-0538-5</t>
  </si>
  <si>
    <t>WOS:000263389000013</t>
  </si>
  <si>
    <t>Allende, L</t>
  </si>
  <si>
    <t>Allende, Luz</t>
  </si>
  <si>
    <t>Combined effects of nutrients and grazers on bacterioplankton and phytoplankton abundance in an Antarctic lake with even food-chain links</t>
  </si>
  <si>
    <t>Phytoplankton; Bacterioplankton; Top-down; Bottom-up; Antarctica</t>
  </si>
  <si>
    <t>TOP-DOWN; EXPERIMENTAL MANIPULATIONS; PLANKTONIC COMMUNITIES; HETEROTROPHIC BACTERIA; MICROBIAL ASSEMBLAGES; SUMMER PHYTOPLANKTON; TROPHIC STRUCTURE; GRAZING IMPACT; ALGAL BIOMASS; ZOOPLANKTON</t>
  </si>
  <si>
    <t>The goal of this study was to address the top-down and bottom-up controls on different microbial web components (bacterioplankton, picophytoplankton, and &gt; 3 mu m phytoplankton) in an Antarctic lake. Two experiments using a size fractionation approach and nutrient addition were conducted at microcosm scale (2.5 l). The variation in net growth rates (k') of bacterioplankton and phytoplankton size fractions was analyzed after 5 days. The results determined significant differences; whereas bacterioplankton and large phytoplankton showed an increase in their k' when their predators were removed, the picophytoplankton showed a decrease. All the studied plankton components presented the highest k' when nutrients were added. It is suggested that, in this lake, both the top-down and bottom-up regulations account for the regulation of bacterioplankton and large phytoplankton. As for picophytoplankton, the bottom-up control was evident and grazing did not pose a negative impact and rather, had a positive effect probably due to liberation of nutrients.</t>
  </si>
  <si>
    <t>Univ Buenos Aires, Fac Ciencias Exactas &amp; Nat, CONICET, Dept Ecol Genet &amp; Evoluc, Buenos Aires, DF, Argentina</t>
  </si>
  <si>
    <t>University of Buenos Aires; Consejo Nacional de Investigaciones Cientificas y Tecnicas (CONICET)</t>
  </si>
  <si>
    <t>Allende, L (corresponding author), Univ Buenos Aires, Fac Ciencias Exactas &amp; Nat, CONICET, Dept Ecol Genet &amp; Evoluc, Buenos Aires, DF, Argentina.</t>
  </si>
  <si>
    <t>lallende@ege.fcen.uba.ar</t>
  </si>
  <si>
    <t>Instituto Antartico Argentino; University of Buenos Aires; Agencia Nacional de Promocion Cientifica y Tecnologica ANPCYT [BID 802/OC-AR-PICT 04540]</t>
  </si>
  <si>
    <t>Instituto Antartico Argentino; University of Buenos Aires(University of Buenos Aires); Agencia Nacional de Promocion Cientifica y Tecnologica ANPCYT(ANPCyTSpanish Government)</t>
  </si>
  <si>
    <t>This project was supported by the Instituto Antartico Argentino, the University of Buenos Aires and a grant from the Agencia Nacional de Promocion Cientifica y Tecnologica ANPCYT (BID 802/OC-AR-PICT 04540). I am grateful to the members of Esperanza Station (CAV 2002) for the logistic support, and to Dr. H. Pizarro, Dr. E. Ermolin and Mr. L. Cataldo for their cooperation in the field tasks. Thanks are due to Dr. I. Izaguirre for her valuable comments on the manuscript and to Dr. I. O Farrell for the language revision.</t>
  </si>
  <si>
    <t>10.1007/s00300-008-0545-6</t>
  </si>
  <si>
    <t>WOS:000263389000018</t>
  </si>
  <si>
    <t>Yoshida, T; Kawaguchi, S; Meyer, B; Virtue, P; Penschow, J; Nash, G</t>
  </si>
  <si>
    <t>Yoshida, Toshihiro; Kawaguchi, So; Meyer, Bettina; Virtue, Patti; Penschow, Jennifer; Nash, Gerry</t>
  </si>
  <si>
    <t>Structural changes in the digestive glands of larval Antarctic krill (Euphausia superba) during starvation</t>
  </si>
  <si>
    <t>MOLT CYCLE; PENAEUS-SEMISULCATUS; DECAPODA; HEPATOPANCREAS; METABOLISM; BEHAVIOR; GROWTH</t>
  </si>
  <si>
    <t>The effects of starvation on ultrastructure of digestive gland cells were studied in furcilia larvae of Antarctic krill (Euphausia superba: hereafter krill). Under laboratory conditions, larvae were starved for 0, 5, 10, 15, 20 and 25 days, and their R-cells were investigated by transmission electron microscope. R-cells are thought to play a role in the storage and absorption of nutrients. In fed larvae, numerous mitochondria scattered homogenously, and densely packed microvilli were observed on the apical surface of R-cells. After 5 days of starvation, mitochondria were swollen and were found concentrated in the apical region in R-cells. A decrease in cell volume and an increase in thickness of the basal lamina with many irregular infoldings were observed after 10-15 days of starvation. Lipid droplets were rarely found in the R-cells regardless of whether larvae had been fed or starved suggesting an inability to store lipid. Without the ability to store energy in the form of lipid, survival would be dependant on sourcing continuous food until maturation.</t>
  </si>
  <si>
    <t>[Yoshida, Toshihiro; Virtue, Patti] Univ Tasmania, Inst Antarctic &amp; So Ocean Studies, Hobart, Tas 7001, Australia; [Yoshida, Toshihiro; Kawaguchi, So; Penschow, Jennifer; Nash, Gerry] Australian Govt Antarctic Div, Kingston, Tas 7050, Australia; [Meyer, Bettina] Alfred Wegener Inst Polar &amp; Marine Res, Sci Div Biol Oceanog, D-27570 Bremerhaven, Germany; [Yoshida, Toshihiro] ACE CRC, Hobart, Tas, Australia</t>
  </si>
  <si>
    <t>University of Tasmania; Australian Antarctic Division; Helmholtz Association; Alfred Wegener Institute, Helmholtz Centre for Polar &amp; Marine Research; Antarctic Climate &amp; Ecosystems Cooperative Research Centre (ACE CRC)</t>
  </si>
  <si>
    <t>Yoshida, T (corresponding author), Univ Tasmania, Inst Antarctic &amp; So Ocean Studies, Private Bag 77, Hobart, Tas 7001, Australia.</t>
  </si>
  <si>
    <t>toshi.yoshida@aad.gov.au</t>
  </si>
  <si>
    <t>Meyer, Bettina/ABB-5311-2020; Kawaguchi, So/N-1795-2017</t>
  </si>
  <si>
    <t>Meyer, Bettina/0000-0001-6804-9896; Virtue, Patti/0000-0002-9870-1256; Kawaguchi, So/0000-0002-2042-5095</t>
  </si>
  <si>
    <t>the Australian Governments Co-operative Research Centres Programme</t>
  </si>
  <si>
    <t>We thank the officers and crew of RV 'Aurora Australis' for their professional and friendly support during the marine research cruise BROKE-West, and Paul Cramp and Rob King for assistance with krill incubation. We are very grateful to Stephen Nicol for his critical reading of manuscript. We also thank Rob Massom, Margaret Lindsay and Andrew Constable for constructive comments on manuscript. This work is a contribution towards the output of the Antarctic Marine Ecosystems Program of the Antarctic Climate and Ecosystem, Co-operative Research Centre funded by the Australian Governments Co-operative Research Centres Programme. Two anonymous reviewers are gratefully acknowledged for their helpful comments on this manuscript.</t>
  </si>
  <si>
    <t>10.1007/s00300-008-0569-y</t>
  </si>
  <si>
    <t>WOS:000263389000019</t>
  </si>
  <si>
    <t>Reisinger, RR; Mufanadzo, NT; de Bruyn, PJN; Bester, MN</t>
  </si>
  <si>
    <t>Reisinger, Ryan R.; Mufanadzo, N. Thomas; Bruyn, P. J. Nico de; Bester, Marthan N.</t>
  </si>
  <si>
    <t>Leucistic southern elephant seal at Marion Island</t>
  </si>
  <si>
    <t>MIROUNGA-LEONINA</t>
  </si>
  <si>
    <t>We observed a light coloured female southern elephant seal juvenile (Mirounga leonina) twice at Marion Island in August 2008 and confirmed that it was leucistic rather than albinistic. Though there have been a few previous reports of light-coloured southern elephant seals, this is the first confirmed case of leucism in this species. Judged to be 1-year old, perhaps 2-years old at the most, and because we have not observed any leucistic pups at Marion Island during the past 2 years despite an extensive monitoring and tagging program, we think that this animal was born at nearby Prince Edward Island or perhaps further afield at AZles Crozet.</t>
  </si>
  <si>
    <t>[Reisinger, Ryan R.; Mufanadzo, N. Thomas; Bruyn, P. J. Nico de; Bester, Marthan N.] Univ Pretoria, Mammal Res Inst, Dept Zool &amp; Entomol, ZA-0002 Pretoria, South Africa</t>
  </si>
  <si>
    <t>University of Pretoria</t>
  </si>
  <si>
    <t>Bester, MN (corresponding author), Univ Pretoria, Mammal Res Inst, Dept Zool &amp; Entomol, ZA-0002 Pretoria, South Africa.</t>
  </si>
  <si>
    <t>mnbester@zoology.up.ac.za</t>
  </si>
  <si>
    <t>de Bruyn, P. J. Nico/E-4176-2010; Reisinger, Ryan R/D-6151-2014; Bester, Marthán N/E-5387-2010</t>
  </si>
  <si>
    <t>de Bruyn, P. J. Nico/0000-0002-9114-9569; Reisinger, Ryan R/0000-0002-8933-6875;</t>
  </si>
  <si>
    <t>South African National Antarctic Programme; Department of Science and Technology (administered through the National Research Foundation); pinniped monitoring programme at Marion Island</t>
  </si>
  <si>
    <t>South African National Antarctic Programme; Department of Science and Technology (administered through the National Research Foundation)(Department of Science &amp; Technology (India)); pinniped monitoring programme at Marion Island</t>
  </si>
  <si>
    <t>We thank the South African Department of Environmental Affairs and Tourism for providing logistical support within the South African National Antarctic Programme, and the Department of Science and Technology (administered through the National Research Foundation) for funding the pinniped monitoring programme at Marion Island.</t>
  </si>
  <si>
    <t>10.1007/s00300-008-0572-3</t>
  </si>
  <si>
    <t>WOS:000263389000020</t>
  </si>
  <si>
    <t>Hemmings, AD; Stephens, T</t>
  </si>
  <si>
    <t>Hemmings, Alan D.; Stephens, Tim</t>
  </si>
  <si>
    <t>AUSTRALIA'S EXTENDED CONTINENTAL SHELF: WHAT IMPLICATIONS FOR ANTARCTICA?</t>
  </si>
  <si>
    <t>PUBLIC LAW REVIEW</t>
  </si>
  <si>
    <t>[Hemmings, Alan D.] Univ Canterbury, Gateway Antarctica Ctr Antarctic Studies &amp; Res, Christchurch, New Zealand; [Stephens, Tim] Univ Sydney, Fac Law, Sydney, NSW, Australia</t>
  </si>
  <si>
    <t>University of Canterbury; University of Sydney</t>
  </si>
  <si>
    <t>Hemmings, AD (corresponding author), Univ Canterbury, Gateway Antarctica Ctr Antarctic Studies &amp; Res, Christchurch, New Zealand.</t>
  </si>
  <si>
    <t>Stephens, Tim/J-4115-2019</t>
  </si>
  <si>
    <t>Stephens, Tim/0000-0001-9678-2227</t>
  </si>
  <si>
    <t>LAWBOOK CO LTD</t>
  </si>
  <si>
    <t>PYRMONT</t>
  </si>
  <si>
    <t>LEVEL 6, 19 HARRIS ST, PYRMONT, NSW 2009, AUSTRALIA</t>
  </si>
  <si>
    <t>1034-3024</t>
  </si>
  <si>
    <t>PUBLIC LAW REV</t>
  </si>
  <si>
    <t>Public Law Rev.</t>
  </si>
  <si>
    <t>Law</t>
  </si>
  <si>
    <t>Government &amp; Law</t>
  </si>
  <si>
    <t>VB7YV</t>
  </si>
  <si>
    <t>WOS:000417798000002</t>
  </si>
  <si>
    <t>Smith, JA; Hillenbrand, CD; Larter, RD; Graham, AGC; Kuhn, G</t>
  </si>
  <si>
    <t>Smith, James A.; Hillenbrand, Claus-Dieter; Larter, Robert D.; Graham, Alastair G. C.; Kuhn, Gerhard</t>
  </si>
  <si>
    <t>The sediment infill of subglacial meltwater channels on the West Antarctic continental shelf</t>
  </si>
  <si>
    <t>QUATERNARY RESEARCH</t>
  </si>
  <si>
    <t>Subglacial meltwater; Tunnel valleys; Sediment infill; Subglacial lakes; Antarctica</t>
  </si>
  <si>
    <t>LAST GLACIAL MAXIMUM; PINE ISLAND BAY; SUBSEQUENT RETREAT HISTORY; LAURENTIDE-ICE-SHEET; TUNNEL VALLEYS; STRATIGRAPHIC EVIDENCE; GEOMORPHIC FEATURES; NORTHWEST GERMANY; EAST ANTARCTICA; VICTORIA LAND</t>
  </si>
  <si>
    <t>Subglacial meltwater plays a significant yet poorly understood role in the dynamics of the Antarctic ice sheets. Here we present new swath bathymetry from the western Amundsen Sea Embayment, West Antarctica, showing rneltwater channels eroded into acoustic basement. Their morphological characteristics and size are consistent with incision by subglacial meltwater. To understand how and when these channels formed we have investigated the infill of three channels. Diamictons deposited beneath or proximal to an expanded grounded West Antarctic Ice Sheet are present in two of the channels and these are overlain by glaciomarine sediments deposited after deglaciation. The sediment core from the third channel recovered a turbidite sequence also deposited after the last deglaciation. The presence of deformation till at one core site and the absence of typical meltwater deposits (e.g., sorted sands and gravels) in all three cores suggest that channel incision pre-dates overriding by fast flowing grounded ice during the last glacial period. Given the overall scale of the channels and their incision into bedrock, it is likely that the channels formed over multiple glaciations, possibly since the Miocene, and have been reoccupied on several occasions. This also implies that the channels have survived numerous advances and retreats of grounded ice. (c) 2008 University of Washington. All rights reserved.</t>
  </si>
  <si>
    <t>[Smith, James A.; Hillenbrand, Claus-Dieter; Larter, Robert D.; Graham, Alastair G. C.] British Antarctic Survey, Cambridge CB3 0ET, England; [Kuhn, Gerhard] Alfred Wegener Inst Polar &amp; Marine Res, D-27568 Bremerhaven, Germany</t>
  </si>
  <si>
    <t>Smith, JA (corresponding author), British Antarctic Survey, High Cross,Madingley Rd, Cambridge CB3 0ET, England.</t>
  </si>
  <si>
    <t>jaas@bas.ac.uk</t>
  </si>
  <si>
    <t>Smith, James A/N-1836-2013</t>
  </si>
  <si>
    <t>Larter, Robert/0000-0002-8414-7389; Kuhn, Gerhard/0000-0001-6069-7485; Graham, Alastair/0000-0002-2880-2908</t>
  </si>
  <si>
    <t>NERC [bosc01001, bas010018] Funding Source: UKRI; Natural Environment Research Council [bas010018, bosc01001] Funding Source: researchfish</t>
  </si>
  <si>
    <t>0033-5894</t>
  </si>
  <si>
    <t>1096-0287</t>
  </si>
  <si>
    <t>QUATERNARY RES</t>
  </si>
  <si>
    <t>Quat. Res.</t>
  </si>
  <si>
    <t>10.1016/j.yqres.2008.11.005</t>
  </si>
  <si>
    <t>414RS</t>
  </si>
  <si>
    <t>WOS:000263883500011</t>
  </si>
  <si>
    <t>Massaferro, JI; Moreno, PI; Denton, GH; Vandergoes, M; Dieffenbacher-Krall, A</t>
  </si>
  <si>
    <t>Massaferro, J. I.; Moreno, P. I.; Denton, G. H.; Vandergoes, M.; Dieffenbacher-Krall, A.</t>
  </si>
  <si>
    <t>Chironomid and pollen evidence for climate fluctuations during the Last Glacial Termination in NW Patagonia</t>
  </si>
  <si>
    <t>CHILEAN LAKE DISTRICT; NEW-ZEALAND; SOUTHERN ALPS; ENVIRONMENTAL-CHANGE; ABRUPT VEGETATION; LATE PLEISTOCENE; LATE QUATERNARY; YOUNGER DRYAS; ISLA GRANDE; LLANQUIHUE</t>
  </si>
  <si>
    <t>We present chironomid and pollen records from the Huelmo site (similar to 41 degrees 30'S), NW Patagonia, to examine in detail the timing and structure of climate changes during the Last Glacial Termination in the southern mid-latitudes. The chironomid record has the highest temporal and taxonomic resolution for this critical interval, and constitutes the first account of midge faunas at the culmination of the Last Glacial Maximum (LGM) for the region. The chironomid record suggests cold and wet conditions during the LGM, followed by deglacial warming between 17.6 and 16.8 cal kyr BR Relatively warm conditions prevailed between similar to 15-14 Cal kyr BR followed by a reversal in trend with cooling pulses at similar to 14 and 13.5 Cal kyr BP, and warming at the beginning of the Holocene. Cool-temperate conditions prevailed during the Huelmo Mascardi Cold Reversal (HMCR) which, according to chironomid data, exhibits a wet phase (13.5-12.8 cal kyr BP) followed by a conspicuous drier phase (12.8-11.5 cal kyr BP). The chironomid and pollen records from the Huelmo site indicate step-wise deglacial warming beginning at 17.6 cal kyr BP, in agreement with other paleoclimate records from NW Patagonia and isotopic signals from Antarctic ice cores. Peak warmth during the Last Glacial Termination was achieved by similar to 14.5 Cal kyr BP, followed by a cooling trend that commenced during the Antarctic Cold Reversal, which later intensified and persisted during the HMCR (13.5-11.5 cal kyr BP). We observe a shift toward drier conditions at similar to 12.8 cal kyr BP superimposed upon the HMCR, coeval with intense fire activity and vegetation disturbance during Younger Dryas time. (C) 2008 Elsevier Ltd. All rights reserved.</t>
  </si>
  <si>
    <t>[Massaferro, J. I.] Consejo Nacl Invest Cient &amp; Tecn, INIBIOMA, Lab Biodiversidad, RA-8400 San Carlos De Bariloche, Rio Negro, Argentina; [Moreno, P. I.] Univ Chile, Dept Ecol Sci, Santiago 3425, Chile; [Moreno, P. I.] Univ Chile, Inst Ecol &amp; Biodivers, Santiago 3425, Chile; [Denton, G. H.; Dieffenbacher-Krall, A.] Univ Maine, Dept Earth Sci, Orono, ME 04469 USA; [Denton, G. H.; Dieffenbacher-Krall, A.] Univ Maine, Climate Change Inst, Orono, ME 04469 USA; [Vandergoes, M.] GNS, Lower Hutt, New Zealand</t>
  </si>
  <si>
    <t>Consejo Nacional de Investigaciones Cientificas y Tecnicas (CONICET); Universidad de Chile; Universidad de Chile; University of Maine System; University of Maine Orono; University of Maine System; University of Maine Orono; GNS Science - New Zealand</t>
  </si>
  <si>
    <t>Massaferro, JI (corresponding author), Consejo Nacl Invest Cient &amp; Tecn, INIBIOMA, Lab Biodiversidad, San Martin 24, RA-8400 San Carlos De Bariloche, Rio Negro, Argentina.</t>
  </si>
  <si>
    <t>julimassaferro@crub.uncoma.edu.ar</t>
  </si>
  <si>
    <t>Moreno, Patricio/D-2317-2012</t>
  </si>
  <si>
    <t>Moreno, Patricio/0000-0002-1333-6238</t>
  </si>
  <si>
    <t>COMER Science and Education Foundation [CP3]; Institute of Ecology and Biodiversity [P05-002, PFB-23]; Fondecyt [1070991]</t>
  </si>
  <si>
    <t>COMER Science and Education Foundation; Institute of Ecology and Biodiversity; Fondecyt(Comision Nacional de Investigacion Cientifica y Tecnologica (CONICYT)CONICYT FONDECYT)</t>
  </si>
  <si>
    <t>We thank L Hernandez and L Gonzalorena for laboratory assistance, and R. Villa-Martinez, and A. Maldonado for help during field work. P.I.M. specially thanks J. Munoz, R. Flores, and E. Rogel from Servicio Nacional de Geologia y Mineria for logistic support during field work, and M. Pasten for allowing access to the digital X ray facilities of Clinica Bellolio. JM acknowledges the COMER Science and Education Foundation (grant #CP3). P.I.M. acknowledges support from the Institute of Ecology and Biodiversity P05-002, contract PFB-23 and Fondecyt # 1070991 and IM thanks Steve Brooks for his help in the identification of chironomid head capsules.</t>
  </si>
  <si>
    <t>10.1016/j.quascirev.2008.11.004</t>
  </si>
  <si>
    <t>421KW</t>
  </si>
  <si>
    <t>WOS:000264358800010</t>
  </si>
  <si>
    <t>Frolov, AV; Asmus, VV; Zemlyanov, IV; Zil'bershtein, OI; Krovotyntsev, VA; Martyshchenko, VA; Mironov, EA</t>
  </si>
  <si>
    <t>Frolov, A. V.; Asmus, V. V.; Zemlyanov, I. V.; Zil'bershtein, O. I.; Krovotyntsev, V. A.; Martyshchenko, V. A.; Mironov, E. A.</t>
  </si>
  <si>
    <t>Complex studies of hydrometeorological and ice conditions on the northwestern shelf of the Caspian Sea based on satellite and expedition observational data and model calculations</t>
  </si>
  <si>
    <t>In accordance with the contract of the LUKOIL Oil Company, a cooperation of the Roshydromet organizations (Planeta Research Center for Space Hydrometeorology, a main contractor, Hydrometeorological Research Center of the Russian Federation, Arctic and Antarctic Research Institute, and State Oceanographic Institute) carried out in 2008 complex studies of the hydrometeorological and ice conditions for the Filanovskii oil- and gas-field facility construction on the northwestern shelf of the Caspian Sea. Three expeditions were organized and conducted within that project: a helicopter ice research expedition (specialists from the Arctic and Antarctic Research Institute carried out a huge volume of measurements of physicomechanic properties of level, rafted and hummocked ice, and morphometric characteristics of ice piling, hummocks, and stamukhas); specialists from the State Oceanographic Institute organized a ship expedition on studying sea ground exaration formed due to impacts of ice formations (hummocks and stamukhas) using hydro-radar and echo-sounder surveys as well as a complex hydrometeorological and hydrochemical expedition with five autonomous buoy stations mounted in two months. From the moment of ice formation to the end of the expedition activity, an operational space monitoring of the northwestern Caspian Sea was carried out at the Planeta Research Center for Space Hydrometeorology. Based on the NOAA, TERRA, and AQUA satellite data, corrected and geographically fixed satellite images of the area of activity were issued with a periodicity of 6 times per day; index maps on the ice situation (twice a week) and ice situation forecasts (lead-time of 1-7 days). Besides, long-term series of satellite data on the northwestern Caspian Sea are collected and processed: their results are used for estimating seasonal and interannual variability of the drift ice and fast ice. Specialists of the Hydrometeorological Research Center of the Russian Federation completed the work on processing and analysis of library materials, research/technical reports, handbooks, expedition observational data, and on hydrodynamic and probability modeling of long-term series of hydrological, meteorological, and partly ice data. In particular, basic characteristics of the hydrological regime (sea level, currents, and waving) are calculated for the place of the oil platform location and along the pipeline routing. Tentative local specifications on the hydrometeorological regime in the Filanovskii field are worked out based on the results of the work performed.</t>
  </si>
  <si>
    <t>[Frolov, A. V.; Martyshchenko, V. A.] Roshydromet, Moscow 123242, Russia; [Asmus, V. V.; Krovotyntsev, V. A.] Planeta Res Ctr Space Hydrometeorol, Moscow 123242, Russia; [Zemlyanov, I. V.] Zubov State Oceanog Inst, Moscow 119034, Russia; [Zil'bershtein, O. I.] Hydrometeorol Res Ctr Russian Federat, Moscow 123242, Russia; [Mironov, E. A.] Arctic &amp; Antarctic Res Inst, St Petersburg 199397, Russia</t>
  </si>
  <si>
    <t>Zubov State Oceanographic Institute; Arctic &amp; Antarctic Research Institute</t>
  </si>
  <si>
    <t>Frolov, AV (corresponding author), Roshydromet, Novovagan Kovskii 12, Moscow 123242, Russia.</t>
  </si>
  <si>
    <t>Asmus, Vasiliy/AAA-1418-2019</t>
  </si>
  <si>
    <t>LUKOIL Oil Company</t>
  </si>
  <si>
    <t>Based on the results of the activity carried out, tentative local specifications were developed concerning the hydrometeorological regime in the Filanovskii field that were transferred to the LUKOIL Oil Company to be used in designing.</t>
  </si>
  <si>
    <t>10.3103/S1068373909030029</t>
  </si>
  <si>
    <t>450IU</t>
  </si>
  <si>
    <t>WOS:000266395000002</t>
  </si>
  <si>
    <t>Reshetnikov, AI; Zinchenko, AV; Yagovkina, SV; Karol, IL; Lagun, VE; Paramonova, NN</t>
  </si>
  <si>
    <t>Reshetnikov, A. I.; Zinchenko, A. V.; Yagovkina, S. V.; Karol, I. L.; Lagun, V. E.; Paramonova, N. N.</t>
  </si>
  <si>
    <t>Studying methane emission in the north of Western Siberia</t>
  </si>
  <si>
    <t>Methane emitted into the atmosphere from sources located in the Urengoi natural gas field is estimated from direct methane concentration measurements in the atmospheric boundary layer and modeling. The results of direct profile measurements in the summer-fall season of 2003 are generalized versus the data from the previous field studies and background monitoring of greenhouse gases in the northern polar region. The use of models for calculating the intensity of emission from sources located in the field area together with a set of methane concentration measurements at three altitudes allowed the authors to develop a method of verification of emission from a specific source, a deposit. The method estimates the emission both from part of the field area and from the whole field with an irregular distribution of the intensity of sources across the deposit area.</t>
  </si>
  <si>
    <t>[Reshetnikov, A. I.; Zinchenko, A. V.; Yagovkina, S. V.; Karol, I. L.; Paramonova, N. N.] Voeikov Main Geophys Observ, St Petersburg 194021, Russia; [Lagun, V. E.] Arctic &amp; Antarctic Res Inst, St Petersburg 199397, Russia</t>
  </si>
  <si>
    <t>Reshetnikov, AI (corresponding author), Voeikov Main Geophys Observ, Ul Karbysheva 7, St Petersburg 194021, Russia.</t>
  </si>
  <si>
    <t>Paramonova, Nina/ABE-1791-2020</t>
  </si>
  <si>
    <t>Russian Foundation for Basic Research [05-05-64760]</t>
  </si>
  <si>
    <t>The work was supported by the Russian Foundation for Basic Research ( grant 05-05-64760).</t>
  </si>
  <si>
    <t>10.3103/S1068373909030054</t>
  </si>
  <si>
    <t>WOS:000266395000005</t>
  </si>
  <si>
    <t>Zvyagintsev, AM; Ivanova, NS; Kruchenitskii, GM; Kuznetsova, IN; Lezina, EA; Romanyuk, YO</t>
  </si>
  <si>
    <t>Zvyagintsev, A. M.; Ivanova, N. S.; Kruchenitskii, G. M.; Kuznetsova, I. N.; Lezina, E. A.; Romanyuk, Ya. O.</t>
  </si>
  <si>
    <t>Ozone content over the Russian Federation in 2008</t>
  </si>
  <si>
    <t>Areview is compiled based on the results of the system of monitoring total ozone (TO) over the CIS and Baltic countries that is operated in real time at the Central Aerological Observatory (CAO). The TO monitoring system uses the data from the national M-124 filter ozonometer network operated under the methodological guidance of the Main Geophysical Observatory. The performance of the system as a whole is operationally verified against the OMI satellite (US NASA) observations. The main TO observational data are summarized for each month of the fourth quarter of 2008, for a quarter, and a year as a whole. Data on the Spring Antarctic Ozone Anomaly in 2008 are presented. Results of regular surface ozone observations in the Moscow region and in Kiev are also considered.</t>
  </si>
  <si>
    <t>[Zvyagintsev, A. M.; Ivanova, N. S.; Kruchenitskii, G. M.] Cent Aerol Observ, Dolgoprudnyi 141700, Moscow Oblast, Russia; [Kuznetsova, I. N.] Hydrometeorol Res Ctr Russian Federat, Moscow 123242, Russia; [Lezina, E. A.] Mosecomonitoring State Nat Protect Org, Moscow 121019, Russia; [Romanyuk, Ya. O.] Natl Acad Sci Ukraine, Main Astron Observ, UA-03680 Kiev, Ukraine</t>
  </si>
  <si>
    <t>National Academy of Sciences Ukraine; Main Astronomical Observatory of NASU</t>
  </si>
  <si>
    <t>Zvyagintsev, AM (corresponding author), Cent Aerol Observ, Pervomaiskaya Ul 3, Dolgoprudnyi 141700, Moscow Oblast, Russia.</t>
  </si>
  <si>
    <t>Romanyuk, Yaroslav O/A-9668-2019</t>
  </si>
  <si>
    <t>Russian Foundation for Basic Research [06-05-64427, 08-05-90449, 08-05-13545-ofi-ts]</t>
  </si>
  <si>
    <t>The work was partly supported by the Russian Foundation for Basic Research ( project nos. 06-05-64427, 08-05-90449, 08-05-13545-ofi-ts).</t>
  </si>
  <si>
    <t>10.3103/S1068373909030078</t>
  </si>
  <si>
    <t>WOS:000266395000007</t>
  </si>
  <si>
    <t>Brigham-Grette, J; Melles, M</t>
  </si>
  <si>
    <t>Brigham-Grette, Julie; Melles, Martin</t>
  </si>
  <si>
    <t>Complex Drilling Logistics for Lake El'gygytgyn, NE Russia</t>
  </si>
  <si>
    <t>SCIENTIFIC DRILLING</t>
  </si>
  <si>
    <t>CRATER LAKE; CORE PG1351; CHUKOTKA; RECORD; AGE</t>
  </si>
  <si>
    <t>[Brigham-Grette, Julie] Univ Massachusetts, Dept Geosci, Amherst, MA 01003 USA; [Melles, Martin] Univ Cologne, Inst Geol &amp; Mineral, D-50674 Cologne, Germany</t>
  </si>
  <si>
    <t>University of Massachusetts System; University of Massachusetts Amherst; University of Cologne</t>
  </si>
  <si>
    <t>Brigham-Grette, J (corresponding author), Univ Massachusetts, Dept Geosci, Amherst, MA 01003 USA.</t>
  </si>
  <si>
    <t>juliebg@geo.umass.edu; mmelles@uni-koeln.de</t>
  </si>
  <si>
    <t>Melles, Martin/J-4070-2012</t>
  </si>
  <si>
    <t>Melles, Martin/0000-0003-0977-9463</t>
  </si>
  <si>
    <t>ICDP; U.S. National Science Foundation Division of Earth Science and Office of Polar Programs (NSF/EAR/OPP); Federal Ministry for Education and Research (Germany); Alfred Wegener Institute; Russian Academy of Sciences Far Eastern Branch; Arctic and Antarctic Research Institute (AARI); Northeastern Interdisciplinary Scientific Research Institute (Russian Academy of Sciences); Far East Geological Institute (FEGI, Vladivostok); GeoForschungsZentrum</t>
  </si>
  <si>
    <t>ICDP; U.S. National Science Foundation Division of Earth Science and Office of Polar Programs (NSF/EAR/OPP); Federal Ministry for Education and Research (Germany)(Federal Ministry of Education &amp; Research (BMBF)); Alfred Wegener Institute; Russian Academy of Sciences Far Eastern Branch(Russian Academy of Sciences); Arctic and Antarctic Research Institute (AARI); Northeastern Interdisciplinary Scientific Research Institute (Russian Academy of Sciences)(Russian Academy of Sciences); Far East Geological Institute (FEGI, Vladivostok); GeoForschungsZentrum</t>
  </si>
  <si>
    <t>The Lake El'gygytgyn Drilling Project is an international effort funded by ICDP, the U.S. National Science Foundation Division of Earth Science and Office of Polar Programs (NSF/EAR/OPP), the Federal Ministry for Education and Research (Germany), the Alfred Wegener Institute, GeoForschungsZentrum, the Russian Academy of Sciences Far Eastern Branch, the Arctic and Antarctic Research Institute (AARI), the Northeastern Interdisciplinary Scientific Research Institute (Russian Academy of Sciences), and the Far East Geological Institute (FEGI, Vladivostok).</t>
  </si>
  <si>
    <t>COPERNICUS GESELLSCHAFT MBH</t>
  </si>
  <si>
    <t>GOTTINGEN</t>
  </si>
  <si>
    <t>BAHNHOFSALLEE 1E, GOTTINGEN, 37081, GERMANY</t>
  </si>
  <si>
    <t>1816-8957</t>
  </si>
  <si>
    <t>1816-3459</t>
  </si>
  <si>
    <t>SCI DRILL</t>
  </si>
  <si>
    <t>Sci. Drill.</t>
  </si>
  <si>
    <t>10.5194/sd-7-38-2009</t>
  </si>
  <si>
    <t>V53ET</t>
  </si>
  <si>
    <t>WOS:000210341400006</t>
  </si>
  <si>
    <t>Speece, MA; Levy, RH; Harwood, DM; Pekar, SF; Powell, RD</t>
  </si>
  <si>
    <t>Speece, Marvin A.; Levy, Richard H.; Harwood, David M.; Pekar, Stephen F.; Powell, Ross D.</t>
  </si>
  <si>
    <t>New Seismic Methods to Support Sea-ice Platform Drilling</t>
  </si>
  <si>
    <t>[Speece, Marvin A.] Montana Tech Univ, Geophys Engn Dept, 1300 West Pk St, Butte, MT 59701 USA; [Levy, Richard H.; Harwood, David M.] Univ Nebraska, ANDRILL Sci Management Off, Lincoln, NE 68588 USA; [Levy, Richard H.; Harwood, David M.] Univ Nebraska, Dept Geosci, Lincoln, NE 68588 USA; [Pekar, Stephen F.] CUNY, Queens Coll, Sch Earth &amp; Environm Sci, Flushing, NY 11367 USA; [Powell, Ross D.] Northern Illinois Univ, Dept Geol &amp; Environm Geosci, De Kalb, IL 60115 USA</t>
  </si>
  <si>
    <t>University of Montana System; Montana Technological University; University of Montana; University of Nebraska System; University of Nebraska Lincoln; University of Nebraska System; University of Nebraska Lincoln; City University of New York (CUNY) System; Queens College NY (CUNY); Northern Illinois University</t>
  </si>
  <si>
    <t>Speece, MA (corresponding author), Montana Tech Univ, Geophys Engn Dept, 1300 West Pk St, Butte, MT 59701 USA.</t>
  </si>
  <si>
    <t>mspeece@mtech.edu</t>
  </si>
  <si>
    <t>Levy, Richard H/E-2477-2011</t>
  </si>
  <si>
    <t>Levy, Richard/0000-0002-8783-0167</t>
  </si>
  <si>
    <t>multinational collaboration comprising four national Antarctic programs; U.S. National Science Foundation; New Zealand Foundation for Research; Italian Antarctic Research Program; German Science Foundation; Alfred Wegener Institute; U.S. National Science Foundation [OPP-0342484, ANT-0732875]</t>
  </si>
  <si>
    <t>multinational collaboration comprising four national Antarctic programs; U.S. National Science Foundation(National Science Foundation (NSF)); New Zealand Foundation for Research(New Zealand Foundation for Research, Science and Technology); Italian Antarctic Research Program; German Science Foundation(German Research Foundation (DFG)); Alfred Wegener Institute; U.S. National Science Foundation(National Science Foundation (NSF))</t>
  </si>
  <si>
    <t>Prior ANDRILL drilling and site survey activities were supported by a multinational collaboration comprising four national Antarctic programs, the U.S. National Science Foundation, the New Zealand Foundation for Research, the Italian Antarctic Research Program, the German Science Foundation, and the Alfred Wegener Institute. The U.S. National Science Foundation supports the over-sea-ice seismic surveys though grants OPP-0342484 and ANT-0732875.</t>
  </si>
  <si>
    <t>10.2204/iodp.sd.7.06.2009</t>
  </si>
  <si>
    <t>WOS:000210341400007</t>
  </si>
  <si>
    <t>Leane, E</t>
  </si>
  <si>
    <t>Leane, Elizabeth</t>
  </si>
  <si>
    <t>Placing Women in the Antarctic Literary Landscape</t>
  </si>
  <si>
    <t>SIGNS</t>
  </si>
  <si>
    <t>Univ Tasmania, Sch English Journalism &amp; European Languages, Hobart, Tas 7001, Australia</t>
  </si>
  <si>
    <t>Leane, E (corresponding author), Univ Tasmania, Sch English Journalism &amp; European Languages, Hobart, Tas 7001, Australia.</t>
  </si>
  <si>
    <t>Leane, Elizabeth M/J-7138-2014</t>
  </si>
  <si>
    <t>Leane, Elizabeth/0000-0002-7954-6529</t>
  </si>
  <si>
    <t>0097-9740</t>
  </si>
  <si>
    <t>Signs</t>
  </si>
  <si>
    <t>10.1086/593347</t>
  </si>
  <si>
    <t>Women's Studies</t>
  </si>
  <si>
    <t>Social Science Citation Index (SSCI); Arts &amp; Humanities Citation Index (A&amp;HCI)</t>
  </si>
  <si>
    <t>417MA</t>
  </si>
  <si>
    <t>WOS:000264078900005</t>
  </si>
  <si>
    <t>Collis, C</t>
  </si>
  <si>
    <t>Collis, Christy</t>
  </si>
  <si>
    <t>The Australian Antarctic Territory: A Man's World?</t>
  </si>
  <si>
    <t>Queensland Univ Technol, Dept Media &amp; Commun, Brisbane, Qld 4001, Australia</t>
  </si>
  <si>
    <t>Queensland University of Technology (QUT)</t>
  </si>
  <si>
    <t>Collis, C (corresponding author), Queensland Univ Technol, Dept Media &amp; Commun, Brisbane, Qld 4001, Australia.</t>
  </si>
  <si>
    <t>Collis, Christy/0000-0003-2951-8412</t>
  </si>
  <si>
    <t>10.1086/593379</t>
  </si>
  <si>
    <t>WOS:000264078900006</t>
  </si>
  <si>
    <t>Moorman, MC; Eggleston, DB; Anderson, CB; Mansilla, A; Szejner, P</t>
  </si>
  <si>
    <t>Moorman, Michelle C.; Eggleston, David B.; Anderson, Christopher B.; Mansilla, Andres; Szejner, Paul</t>
  </si>
  <si>
    <t>Implications of Beaver Castor canadensis and Trout Introductions on Native Fish in the Cape Horn Biosphere Reserve, Chile</t>
  </si>
  <si>
    <t>TRANSACTIONS OF THE AMERICAN FISHERIES SOCIETY</t>
  </si>
  <si>
    <t>TIERRA-DEL-FUEGO; INVASIONAL MELTDOWN; SALMO-TRUTTA; NEW-ZEALAND; STREAM; ECOSYSTEMS; IMPACTS; CONSERVATION; DIVERSITY; PATTERNS</t>
  </si>
  <si>
    <t>Invasive species threaten global biodiversity, but multiple invasions make predicting the impacts difficult because of potential synergistic effects. We examined the impact of introduced beaver Castor canadensis, brook trout Salvelinus fontinalis, and rainbow trout Oncorhynchus mykiss on native stream fishes in the Cape Horn Biosphere Reserve, Chile. The combined effects of introduced species on the structure of the native freshwater fish community were quantified by electrofishing 28 stream reaches within four riparian habitat types (forest, grassland, shrubland, and beaver-affected habitat) in 23 watersheds and by measuring related habitat variables (water velocity, substrate type, depth. and the percentage of pools). Three native stream fish species (puye Galaxias maculatus [also known as inanga], Aplochiton taeniatus, and A. zebra) were found along with brook trout and rainbow trout., but puye was the only native species that was common and widespread. The reaches affected by beaver impoundments had significantly higher puye densities than all other reaches in this study. These results are comparable to those reported for other streams in southern Chile. The presence of trout reduced the abundance of puye, but only in beaver-affected areas: all three natural riparian habitat types had uniformly low puye abundance and were unaffected by the presence or absence of trout. The data suggest that one invasive species, the beaver, enhanced puye habitat and thereby increased the abundance of that species, which, in turn, helped moderate the negative impacts of invasive trout.</t>
  </si>
  <si>
    <t>[Moorman, Michelle C.; Eggleston, David B.] N Carolina State Univ, Dept Marine Earth &amp; Atmospher Sci, Raleigh, NC 27695 USA; [Moorman, Michelle C.; Anderson, Christopher B.; Mansilla, Andres; Szejner, Paul] Univ Magallanes, Omora Ethnobot Pk &amp; Dept Nat Sci &amp; Resources, Puerto Williams, Chile; [Eggleston, David B.] N Carolina State Univ, Ctr Marine Sci &amp; Technol, Morehead City, NC 28557 USA; [Anderson, Christopher B.] Inst Ecol &amp; Biodivers, Santiago, Chile; [Szejner, Paul] Univ Austral Chile, Dept Forestry Sci, Valdivia, Chile</t>
  </si>
  <si>
    <t>North Carolina State University; Universidad de Magallanes; North Carolina State University; Universidad Austral de Chile</t>
  </si>
  <si>
    <t>Moorman, MC (corresponding author), N Carolina State Univ, Dept Marine Earth &amp; Atmospher Sci, Box 8208, Raleigh, NC 27695 USA.</t>
  </si>
  <si>
    <t>mccienek@ncsu.edu</t>
  </si>
  <si>
    <t>Anderson, Christopher/V-4882-2019; Szejner, Paul/AAE-9219-2020</t>
  </si>
  <si>
    <t>Anderson, Christopher/0000-0001-8120-5689; Szejner, Paul/0000-0002-7780-1215; Mansilla, Andres/0000-0003-3505-7018; Eggleston, David/0000-0001-7840-2665</t>
  </si>
  <si>
    <t>The Wildlife Conservation Society; The Omora Sub-Antarctic Research Alliance; University of Magallanes; U.S. Geological Survey; North Carolina State University; Institute of Ecology and Biodiversity [ICM P05-002]</t>
  </si>
  <si>
    <t>The Wildlife Conservation Society; The Omora Sub-Antarctic Research Alliance; University of Magallanes; U.S. Geological Survey(United States Geological Survey); North Carolina State University; Institute of Ecology and Biodiversity</t>
  </si>
  <si>
    <t>Many thanks to J. G. Gonzalez, R. Castro, V. Soler, R. Maragano, X. Arango, and D. Cea for assistance in the field. Earlier versions of this manuscript were greatly improved by the comments of Wayne Starnes, Tom Cuffney, and Robert McDowall. The Wildlife Conservation Society partially funded this study via the Research Fellowship Program with a grant awarded to M.C.M. The Omora Sub-Antarctic Research Alliance, the University of Magallanes, the U.S. Geological Survey, and North Carolina State University supplied logistical support and equipment. Fish sampling was authorized by the Subsecretaria de Pesca via permit 4368 to A.M. and M.C.M. C.B.A. acknowledges a postdoctoral fellowship from the Institute of Ecology and Biodiversity (ICM P05-002). This publication is part of the long-term ecological research conducted at the Omora Ethnobotanical Park, coordinator of the Cape Horn Biosphere Reserve Initiative.</t>
  </si>
  <si>
    <t>0002-8487</t>
  </si>
  <si>
    <t>1548-8659</t>
  </si>
  <si>
    <t>T AM FISH SOC</t>
  </si>
  <si>
    <t>Trans. Am. Fish. Soc.</t>
  </si>
  <si>
    <t>10.1577/T08-081.1</t>
  </si>
  <si>
    <t>477EI</t>
  </si>
  <si>
    <t>WOS:000268501000007</t>
  </si>
  <si>
    <t>Bhattarai, HD; Paudel, B; Lee, HK; Oh, H; Yim, JH</t>
  </si>
  <si>
    <t>Bhattarai, Hari Datta; Paudel, Babita; Lee, Hong Kum; Oh, Hyuncheol; Yim, Joung Han</t>
  </si>
  <si>
    <t>In vitro Antioxidant Capacities of Two Benzonaphthoxanthenones: Ohioensins F and G, Isolated from the Antarctic Moss Polytrichastrum alpinum</t>
  </si>
  <si>
    <t>ZEITSCHRIFT FUR NATURFORSCHUNG SECTION C-A JOURNAL OF BIOSCIENCES</t>
  </si>
  <si>
    <t>ABTS; DPPH; Polytrichastrum alpinum; Nitric Oxide</t>
  </si>
  <si>
    <t>DISEASE</t>
  </si>
  <si>
    <t>Antioxidant agents against reactive oxygen species call be used for several cosmetic and medicinal applications. This study's objective was to evaluate the antioxidant activities of Polytrichastrum alpinum (Hedw.) G. L. Sm. (Polytrichaceae), an Antarctic moss species collected from King George Island (Antarctica). The identification of the moss species was performed on the basis of morphological characteristics and molecular sequencing of the 18S rRNA gene. Two benzonaphthoxanthenones: ohioensins F and G, were isolated from the extract after several chromatographic procedures. The various in vitro antioxidant capacities of a methanolic extract of P. alpinum and the isolated Compounds were evaluated by analyzing the scavenging capacities of free radicals of 2,2-azino-bis(3-ethylbenzthiazoline-6-sulfonic acid) (ABTS) and 2,2-diphenyl-1-picrylhydrazyl (DPPH), the total phenol assay with Folin-Ciocalteu reagent, the ferric ion (Fe3+) reducing power and the nitric oxide (NO) scavenging activity and compared to those of commercial standards for each assay. The experimental data showed that even the crude extract of R alpinum exhibited potent antioxidant activity. The antioxidant activity was increased two- to seven-fold for the purified compounds. The antioxidant activities of both purified compounds were found to be more or less the same in all experiments. However, the obtained data showed that the Fe3+ reducing power of the purified Compounds and Crude methanolic extract was almost the same suggesting the presence of other stronger reducing agents in the methanolic extract which could not be isolated in the present experiment. Therefore, further work on the isolation of these stronger antioxidant agents from this moss specimen of the extreme environment is warranted. Developments of laboratory mass Culture techniques are anticipated to achieve bulk production of the active constituents for commercial application.</t>
  </si>
  <si>
    <t>[Bhattarai, Hari Datta; Paudel, Babita; Lee, Hong Kum; Yim, Joung Han] KOPRI, Polar BioCtr, Inchon 406840, South Korea; [Oh, Hyuncheol] Silla Univ, Coll Med &amp; Life Sci, Pusan 617736, South Korea</t>
  </si>
  <si>
    <t>Korea Polar Research Institute (KOPRI); Silla University</t>
  </si>
  <si>
    <t>Yim, JH (corresponding author), KOPRI, Polar BioCtr, Songdo Dong 7-50, Inchon 406840, South Korea.</t>
  </si>
  <si>
    <t>jhyim@kopri.re.kr</t>
  </si>
  <si>
    <t>Korea Polar Research Institute, KOPRI [PE08050]</t>
  </si>
  <si>
    <t>Korea Polar Research Institute, KOPRI</t>
  </si>
  <si>
    <t>This work was supported by a grant to the Korea Polar Research Institute, KOPRI, under project PE08050.</t>
  </si>
  <si>
    <t>WALTER DE GRUYTER GMBH</t>
  </si>
  <si>
    <t>BERLIN</t>
  </si>
  <si>
    <t>GENTHINER STRASSE 13, D-10785 BERLIN, GERMANY</t>
  </si>
  <si>
    <t>0939-5075</t>
  </si>
  <si>
    <t>1865-7125</t>
  </si>
  <si>
    <t>Z NATURFORSCH C</t>
  </si>
  <si>
    <t>Z.Naturforsch.(C)</t>
  </si>
  <si>
    <t>Biochemistry &amp; Molecular Biology; Pharmacology &amp; Pharmacy</t>
  </si>
  <si>
    <t>454ZP</t>
  </si>
  <si>
    <t>WOS:000266724300008</t>
  </si>
  <si>
    <t>Hunegnaw, A; Siegismund, F; Hipkin, R; Mork, KA</t>
  </si>
  <si>
    <t>Hunegnaw, A.; Siegismund, F.; Hipkin, R.; Mork, K. A.</t>
  </si>
  <si>
    <t>Absolute flow field estimation for the Nordic seas from combined gravimetric, altimetric, and in situ data</t>
  </si>
  <si>
    <t>OCEANIC GENERAL-CIRCULATION; MEAN DYNAMIC TOPOGRAPHY; NORTHERN NORTH-ATLANTIC; LAGRANGIAN DRIFTERS; SURFACE CIRCULATION; SATELLITE ALTIMETRY; MARINE GRAVITY; BARENTS SEA; WATER; INFLOW</t>
  </si>
  <si>
    <t>In the Nordic seas, we combine a computation of absolute surface current flow derived from geodetic data with in situ historical hydrographic data to estimate the absolute volume, heat, and salt transports as a function of depth. Our mean dynamic topography (MDT) is calculated from marine, airborne and satellite gravimetry, combined with satellite altimetry, using a new algorithm called the iterative combination method (ICM). Residual noise in the gravimetric geoid is the limit on MDT resolution and is suppressed using a Gaussian filter with a width at half-peak amplitude of 59 km. Detailed and coherent flow paths for surface geostrophic currents are clearly identified. ICM MDT was used as fixed boundary condition to transform historical hydrography into absolute estimates of volume, heat, and salt transport, replacing the assumption of an isobaric surface at a predetermined depth. For the inflow of Atlantic Water (potential temperature Theta &gt; 6 degrees C) through the Faroe-Shetland Channel into the Nordic seas, we obtain time-averaged fluxes between 1993 and 1996 of 3.5 Sv (volume), 121 TW (heat), and 124 x 10(6) kg s(-1) (salt), very close to reported observations from acoustic Doppler current profiler moorings and conductivity-temperature-depth data. For the Svinoy section, we obtain a northward transport of Atlantic Water (S &gt; 35.0, T &gt; 5.0 degrees C) of 3.9 Sv in the eastern branch of the Norwegian Atlantic Current comparable with reported measurements of 4.2 Sv. Similarly good agreement is found for the Hornbanki and Iceland-Faroe Ridge sections and for monitoring Atlantic Water outflow across the Barents Sea Opening to the Arctic shelf.</t>
  </si>
  <si>
    <t>[Hunegnaw, A.; Hipkin, R.] Univ Edinburgh, Sch Geosci, Edinburgh EH9 3JW, Midlothian, Scotland; [Siegismund, F.] Nansen Environm &amp; Remote Sensing Ctr, Bergen, Norway; [Mork, K. A.] Bjerknes Ctr Climate Res, N-5007 Bergen, Norway; [Mork, K. A.] Inst Marine Res, N-5024 Bergen, Norway</t>
  </si>
  <si>
    <t>University of Edinburgh; Nansen Environmental &amp; Remote Sensing Center (NERSC); Bjerknes Centre for Climate Research; Institute of Marine Research - Norway</t>
  </si>
  <si>
    <t>Hunegnaw, A (corresponding author), Univ Edinburgh, Sch Geosci, W Mains Rd, Edinburgh EH9 3JW, Midlothian, Scotland.</t>
  </si>
  <si>
    <t>addisu.hunegnaw@ed.ac.uk</t>
  </si>
  <si>
    <t>EU GOCINA [EVG1-CT-2002-00077]</t>
  </si>
  <si>
    <t>EU GOCINA(European Union (EU))</t>
  </si>
  <si>
    <t>The project has been funded in part by the EU GOCINA project EVG1-CT-2002-00077 grant. The authors also wish to thank all the partners in the GOCINA project. The NISE database was provided by the Marine Research Institute, Iceland; Institute of Marine Research, Norway; the Faroese Fisheries Laboratory; and the Arctic and Antarctic Research Institute, Russia, through the NISE project.</t>
  </si>
  <si>
    <t>FEB 27</t>
  </si>
  <si>
    <t>C02022</t>
  </si>
  <si>
    <t>10.1029/2008JC004797</t>
  </si>
  <si>
    <t>412PH</t>
  </si>
  <si>
    <t>WOS:000263736200001</t>
  </si>
  <si>
    <t>Kump, LR</t>
  </si>
  <si>
    <t>Kump, Lee R.</t>
  </si>
  <si>
    <t>Tipping Pointedly Colder</t>
  </si>
  <si>
    <t>ANTARCTIC GLACIATION; OLIGOCENE; TRANSITION; FEEDBACKS; CALCITE; OCEAN</t>
  </si>
  <si>
    <t>[Kump, Lee R.] Penn State Univ, Dept Geosci, University Pk, PA 16802 USA; [Kump, Lee R.]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</si>
  <si>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</si>
  <si>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Kump, LR (corresponding author), Penn State Univ, Dept Geosci, University Pk, PA 16802 USA.</t>
  </si>
  <si>
    <t>lkump@psu.edu</t>
  </si>
  <si>
    <t>Kump, Lee R/H-8287-2012</t>
  </si>
  <si>
    <t>10.1126/science.1170613</t>
  </si>
  <si>
    <t>411XT</t>
  </si>
  <si>
    <t>WOS:000263687600024</t>
  </si>
  <si>
    <t>Liu, ZH; Pagani, M; Zinniker, D; DeConto, R; Huber, M; Brinkhuis, H; Shah, SR; Leckie, RM; Pearson, A</t>
  </si>
  <si>
    <t>Liu, Zhonghui; Pagani, Mark; Zinniker, David; DeConto, Robert; Huber, Matthew; Brinkhuis, Henk; Shah, Sunita R.; Leckie, R. Mark; Pearson, Ann</t>
  </si>
  <si>
    <t>Global Cooling During the Eocene-Oligocene Climate Transition</t>
  </si>
  <si>
    <t>ANTARCTIC GLACIATION; SEA TEMPERATURES; ICE; OCEAN; GREENLAND; LIPIDS; HEMISPHERE; EVOLUTION; BOUNDARY; PACIFIC</t>
  </si>
  <si>
    <t>About 34 million years ago, Earth's climate shifted from a relatively ice-free world to one with glacial conditions on Antarctica characterized by substantial ice sheets. How Earth's temperature changed during this climate transition remains poorly understood, and evidence for Northern Hemisphere polar ice is controversial. Here, we report proxy records of sea surface temperatures from multiple ocean localities and show that the high-latitude temperature decrease was substantial and heterogeneous. High-latitude (45 degrees to 70 degrees in both hemispheres) temperatures before the climate transition were similar to 20 degrees C and cooled an average of similar to 5 degrees C. Our results, combined with ocean and ice-sheet model simulations and benthic oxygen isotope records, indicate that Northern Hemisphere glaciation was not required to accommodate the magnitude of continental ice growth during this time.</t>
  </si>
  <si>
    <t>[Liu, Zhonghui; Pagani, Mark; Zinniker, David] Yale Univ, Dept Geol &amp; Geophys, New Haven, CT 06520 USA; [Liu, Zhonghui] Univ Hong Kong, Dept Earth Sci, Hong Kong, Hong Kong, Peoples R China; [DeConto, Robert; Leckie, R. Mark] Univ Massachusetts, Dept Geosci, Amherst, MA 01003 USA; [Huber, Matthew] Purdue Univ, Dept Earth &amp; Atmospher Sci, W Lafayette, IN 47907 USA; [Brinkhuis, Henk] Univ Utrecht, Palaeobot &amp; Palynol Lab, NL-3584 CD Utrecht, Netherlands; [Shah, Sunita R.; Pearson, Ann] Harvard Univ, Dept Earth &amp; Planetary Sci, Cambridge, MA 02138 USA</t>
  </si>
  <si>
    <t>Yale University; University of Hong Kong; University of Massachusetts System; University of Massachusetts Amherst; Purdue University System; Purdue University; Utrecht University; Harvard University</t>
  </si>
  <si>
    <t>Liu, ZH (corresponding author), Yale Univ, Dept Geol &amp; Geophys, POB 6666, New Haven, CT 06520 USA.</t>
  </si>
  <si>
    <t>zhliu@hku.hk; mark.pagani@yale.edu</t>
  </si>
  <si>
    <t>Pagani, Mark/B-3233-2008; Huber, Matthew/A-7677-2008; Shah Walter, Sunita/D-4981-2013; Pearson, Ann/A-6723-2009; Liu, Zhonghui/D-3163-2009; Walter, Sunita Shah/J-9023-2019; Brinkhuis, Henk/B-4223-2009; Brinkhuis, Henk/IUO-8165-2023</t>
  </si>
  <si>
    <t>Huber, Matthew/0000-0002-2771-9977; Shah Walter, Sunita/0000-0003-2206-9052; Liu, Zhonghui/0000-0002-2168-8305; Brinkhuis, Henk/0000-0003-0253-6610; Leckie, R. Mark/0000-0002-7311-2180; Pearson, Ann/0000-0003-2785-8405</t>
  </si>
  <si>
    <t>Yale University [postdoctoral fellowship]; NSF [Major Research Instrumentation]; GNS Science</t>
  </si>
  <si>
    <t>Yale University; NSF(National Science Foundation (NSF)); GNS Science</t>
  </si>
  <si>
    <t>The authors thank S. Schouten and E. Hopmans for their assistance in establishing an interlaboratory calibration, J. Eldrett for advice on the site 913 age model, M. Woodruff of the University of Massachussetts Stable Isotope Facility for analyses of site 511 material, and Integrated Ocean Drilling Program for providing samples. The reviews of P. Wilson and one anonymous referee greatly improved the manuscript. This work was supported by a postdoctoral fellowship provided by Yale University and a Major Research Instrumentation grant from NSF. Computing was performed on Rosen Center for Advanced Computing resources within Information Technology at Purdue. M.H.'s contribution is partially supported by the New Zealand's Global Change Through Time Programme at GNS Science.</t>
  </si>
  <si>
    <t>10.1126/science.1166368</t>
  </si>
  <si>
    <t>WOS:000263687600031</t>
  </si>
  <si>
    <t>Barker, S; Diz, P; Vautravers, MJ; Pike, J; Knorr, G; Hall, IR; Broecker, WS</t>
  </si>
  <si>
    <t>Barker, Stephen; Diz, Paula; Vautravers, Maryline J.; Pike, Jennifer; Knorr, Gregor; Hall, Ian R.; Broecker, Wallace S.</t>
  </si>
  <si>
    <t>Interhemispheric Atlantic seesaw response during the last deglaciation</t>
  </si>
  <si>
    <t>SEA-SURFACE TEMPERATURE; PLANKTONIC-FORAMINIFERA; AGE CALIBRATION; BIPOLAR SEESAW; SOUTH ATLANTIC; OCEAN; CIRCULATION; GREENLAND; EVENTS; RESUMPTION</t>
  </si>
  <si>
    <t>The asynchronous relationship between millennial-scale temperature changes over Greenland and Antarctica during the last glacial period has led to the notion of a bipolar seesaw which acts to redistribute heat depending on the state of meridional overturning circulation within the Atlantic Ocean. Here we present new records from the South Atlantic that show rapid changes during the last deglaciation that were instantaneous (within dating uncertainty) and of opposite sign to those observed in the North Atlantic. Our results demonstrate a direct link between the abrupt changes associated with variations in the Atlantic meridional overturning circulation and the more gradual adjustments characteristic of the Southern Ocean. These results emphasize the importance of the Southern Ocean for the development and transmission of millennial-scale climate variability and highlight its role in deglacial climate change and the associated rise in atmospheric carbon dioxide.</t>
  </si>
  <si>
    <t>[Barker, Stephen; Diz, Paula; Pike, Jennifer; Knorr, Gregor; Hall, Ian R.] Cardiff Univ, Sch Earth &amp; Ocean Sci, Cardiff CF10 3YE, S Glam, Wales; [Vautravers, Maryline J.] British Antarctic Survey, Cambridge CB3 0ET, England; [Broecker, Wallace S.] Columbia Univ, Lamont Doherty Earth Observ, Palisades, NY 10964 USA</t>
  </si>
  <si>
    <t>Cardiff University; UK Research &amp; Innovation (UKRI); Natural Environment Research Council (NERC); NERC British Antarctic Survey; Columbia University</t>
  </si>
  <si>
    <t>Barker, S (corresponding author), Cardiff Univ, Sch Earth &amp; Ocean Sci, Cardiff CF10 3YE, S Glam, Wales.</t>
  </si>
  <si>
    <t>barkers3@cf.ac.uk</t>
  </si>
  <si>
    <t>Stephen, Barker/C-2770-2009; Pike, Jennifer/D-2589-2009; Hall, Ian/C-2755-2009; Diz, Paula/N-3113-2015</t>
  </si>
  <si>
    <t>Pike, Jennifer/0000-0001-9415-6003; Barker, Stephen/0000-0001-7870-6431; Mleneck-Vautravers, Maryline/0000-0003-2534-219X; Knorr, Gregor/0000-0002-8317-5046; Hall, Ian/0000-0001-6960-1419; Diz, Paula/0000-0002-7136-0690</t>
  </si>
  <si>
    <t>US National Science Foundation [OCE00-02380]; Office of Naval Research [N00014-02-1-0073]; National Science Foundation [OCE-0435703]; NERC [bas010019] Funding Source: UKRI; Natural Environment Research Council [bas010019] Funding Source: researchfish</t>
  </si>
  <si>
    <t>US National Science Foundation(National Science Foundation (NSF)); Office of Naval Research(Office of Naval Research); National Science Foundation(National Science Foundation (NSF)); NERC(UK Research &amp; Innovation (UKRI)Natural Environment Research Council (NERC)); Natural Environment Research Council(UK Research &amp; Innovation (UKRI)Natural Environment Research Council (NERC))</t>
  </si>
  <si>
    <t>We thank J. Riker and C. Lear for analytical advice and assistance and H. Medley for help with sediment processing. Sample material used in this project was provided by the Lamont-Doherty Earth Observatory Deep-Sea Sample Repository. We thank R. Lotti and G. Lozefski for help with sampling. Support for the collection and curating facilities of the core collection is provided by the US National Science Foundation through grant OCE00-02380 and the Office of Naval Research through grant N00014-02-1-0073. The work was supported by a National Science Foundation grant (OCE-0435703) to W. S. B. and S. B.</t>
  </si>
  <si>
    <t>FEB 26</t>
  </si>
  <si>
    <t>U50</t>
  </si>
  <si>
    <t>10.1038/nature07770</t>
  </si>
  <si>
    <t>411VI</t>
  </si>
  <si>
    <t>WOS:000263680100033</t>
  </si>
  <si>
    <t>DiCaprio, L; Gurnis, M; Müller, RD</t>
  </si>
  <si>
    <t>DiCaprio, Lydia; Gurnis, Michael; Mueller, R. Dietmar</t>
  </si>
  <si>
    <t>Long-wavelength tilting of the Australian continent since the Late Cretaceous</t>
  </si>
  <si>
    <t>Australia; Cenozoic; topography; subduction; dynamic topography; global sea level; Australian Antarctic Discordance; paleo-shoreline</t>
  </si>
  <si>
    <t>DYNAMIC TOPOGRAPHY; MANTLE HETEROGENEITY; VERTICAL MOTIONS; INDIAN-OCEAN; SEA; EVOLUTION; SUBSIDENCE; MARGIN; PLATE; HISTORY</t>
  </si>
  <si>
    <t>Global sea level and the pattern of marine inundation on the Australian continent are inconsistent. We quantify this inconsistency and show that it is partly due to a long wavelength, anomalous, downward tilting of the continent to the northeast by 300 m since the Eocene. This downward tilting occurred as Australia approached the subduction systems in South East Asia and is recorded by the progressive inundation of the northern margin of Australia. From the Oligocene to the Pliocene, the long wavelength trend of anomalous topography shows that the southern margin of Australia is characterized by relative subsidence. We quantify the anomalous topography of the Australian continent by computing the displacement needed to reconcile the interpreted pattern of marine incursion with a predicted topography in the presence of global sea level variations. On the southern margin, long wavelength subsidence was augmented by at least 250 m of shorter wavelength anomalous subsidence, consistent with the passage of the southern continental margin over a north-south elongated, 500 km wide, topographic anomaly approximately fixed with respect to the mantle. The present day reconstructed position of this depth anomaly is aligned with the Australian Antarctic Discordance and is consistent with the predicted passage of the Australian continent over a previously subducted slab. Both the long-wavelength continental tilting and smaller-scale paleo-topographic anomaly on the southern Australian margin may have been caused by subduction-generated dynamic topography. These new constraints on continental vertical motion are consistent with the hypothesis that mantle convection induced topography is of the same order of magnitude as global sea level change. (c) 2008 Elsevier B.V. All rights reserved.</t>
  </si>
  <si>
    <t>[DiCaprio, Lydia; Gurnis, Michael] CALTECH, Seismol Lab, Pasadena, CA 91125 USA; [DiCaprio, Lydia; Mueller, R. Dietmar] Univ Sydney, Sch Geosci, Sydney, NSW 2006, Australia</t>
  </si>
  <si>
    <t>California Institute of Technology; University of Sydney</t>
  </si>
  <si>
    <t>DiCaprio, L (corresponding author), CALTECH, Seismol Lab, Pasadena, CA 91125 USA.</t>
  </si>
  <si>
    <t>lydia@gps.caltech.edu</t>
  </si>
  <si>
    <t>Müller, Dietmar/L-1200-2019</t>
  </si>
  <si>
    <t>Müller, Dietmar/0000-0002-3334-5764</t>
  </si>
  <si>
    <t>Australian Research Council Australian Postgraduate Award; University of Sydney</t>
  </si>
  <si>
    <t>Australian Research Council Australian Postgraduate Award(Australian Research CouncilAustralian Government); University of Sydney(University of Sydney)</t>
  </si>
  <si>
    <t>All figures except Figs. 2, 3 and 8 were generated using GMT (Wessel and Smith, 1991). We would like to thank Christian Heine who provided the basin outlines and the help and advice of Christopher DiCaprio. Lydia DiCaprio was funded by the Australian Research Council Australian Postgraduate Award administered by the University of Sydney. This work represents contribution 8997 of the Division of Geological and Planetary Sciences, California Institute of Technology, and contribution 97 of the Tectonics Observatory. We thank M. Sandiford and an anonymous reviewer for their reviews that significantly improved this manuscript.</t>
  </si>
  <si>
    <t>FEB 25</t>
  </si>
  <si>
    <t>10.1016/j.epsl.2008.11.030</t>
  </si>
  <si>
    <t>417AN</t>
  </si>
  <si>
    <t>WOS:000264046900004</t>
  </si>
  <si>
    <t>von Frese, RRB; Potts, LV; Wells, SB; Leftwich, TE; Kim, HR; Kim, JW; Golynsky, AV; Hernandez, O; Gaya-Piqué, LR</t>
  </si>
  <si>
    <t>von Frese, Ralph R. B.; Potts, Laramie V.; Wells, Stuart B.; Leftwich, Timothy E.; Kim, Hyung Rae; Kim, Jeong Woo; Golynsky, Alexander V.; Hernandez, Orlando; Gaya-Pique, Luis R.</t>
  </si>
  <si>
    <t>GRACE gravity evidence for an impact basin in Wilkes Land, Antarctica</t>
  </si>
  <si>
    <t>GEOCHEMISTRY GEOPHYSICS GEOSYSTEMS</t>
  </si>
  <si>
    <t>megaimpact; GRACE; Antarctica</t>
  </si>
  <si>
    <t>PERMIAN-TRIASSIC BOUNDARY; CORRELATED FREE-AIR; DOUBLE MASS EXTINCTION; CRUSTAL THICKNESS; CRATER; ANOMALIES; MODEL; MARS; OFFSHORE; TERRAINS</t>
  </si>
  <si>
    <t>New details on the east Antarctic gravity field from the Gravity Recovery and Climate Experiment (GRACE) mission reveal a prominent positive free-air gravity anomaly over a roughly 500-km diameter subglacial basin centered on (70 degrees S, 120 degrees E) in north central Wilkes Land. This regional inverse correlation between topography and gravity is quantitatively consistent with thinned crust from a giant meteorite impact underlain by an isostatically disturbed mantle plug. The inferred impact crater is nearly three times the size of the Chicxulub crater and presumably formed before the Cretaceous formation of the east Antarctic coast that cuts the projected ring faults. It extensively thinned and disrupted the Wilkes Land crust where the Kerguelen hot spot and Gondwana rifting developed but left the adjacent Australian block relatively undisturbed. The micrometeorite and fossil evidence suggests that the impact may have occurred at the beginning of the greatest extinction of life on Earth at similar to 260 Ma when the Siberian Traps were effectively antipodal to it. Antipodal volcanism is common to large impact craters of the Moon and Mars and may also account for the antipodal relationships of essentially half of the Earth's large igneous provinces and hot spots. Thus, the impact may have triggered the Great Dying'' at the end of the Permian and contributed to the development of the hot spot that produced the Siberian Traps and now may underlie Iceland. The glacial ice up to a few kilometers thick that has covered the crater for the past 30-40 Ma poses formidable difficulties to sampling the subglacial geology. Thus, the most expedient and viable test of the prospective crater is to survey it for relevant airborne gravity and magnetic anomalies.</t>
  </si>
  <si>
    <t>[von Frese, Ralph R. B.; Kim, Jeong Woo; Hernandez, Orlando; Gaya-Pique, Luis R.] Ohio State Univ, Byrd Polar Res Ctr, Sch Earth Sci, Columbus, OH 43210 USA; [von Frese, Ralph R. B.; Potts, Laramie V.] Ohio State Univ, Lab Space Geodesy &amp; Remote Sensing Res, Columbus, OH 43210 USA; [Potts, Laramie V.] New Jersey Inst Technol, Dept Engn Technol, Newark, NJ 07102 USA; [Kim, Hyung Rae] Kongju Natl Univ, Dept Geoenvironm Sci, Kong Ju 314701, Chungnam Do, South Korea; [Kim, Hyung Rae] Univ Maryland Baltimore Cty, Goddard Earth Sci &amp; Technol Ctr, Baltimore, MD 21228 USA; [Kim, Jeong Woo] Univ Calgary, Dept Geomat Engn, Calgary, AB T2N 1N4, Canada; [Golynsky, Alexander V.] VNIIOkeangeol, Dept Antarctic Geol, St Petersburg 190121, Russia; [Hernandez, Orlando] Univ Nacl Colombia, Dept Geosci, Bogota, Colombia; [Gaya-Pique, Luis R.] CNRS, IPGS, Equipe Geomagnetisme, F-75005 Paris, France</t>
  </si>
  <si>
    <t>University System of Ohio; Ohio State University; University System of Ohio; Ohio State University; New Jersey Institute of Technology; Kongju National University; University System of Maryland; University of Maryland Baltimore County; National Aeronautics &amp; Space Administration (NASA); NASA Goddard Space Flight Center; University of Calgary; Universidad Nacional de Colombia; Centre National de la Recherche Scientifique (CNRS); Universite Paris Cite</t>
  </si>
  <si>
    <t>von Frese, RRB (corresponding author), Ohio State Univ, Byrd Polar Res Ctr, Sch Earth Sci, Columbus, OH 43210 USA.</t>
  </si>
  <si>
    <t>vonfrese@geology.ohio-state.edu</t>
  </si>
  <si>
    <t>Kim, Hyung Rae/0000-0002-6576-9457; Golynsky, Alexander/0000-0003-2546-4082</t>
  </si>
  <si>
    <t>U.S. National Science Foundation(NSF) [OPP 0338005]; Ohio Supercomputer Center at Ohio State University; Goddard Earth Sciences and Technology Center Research Fellowship</t>
  </si>
  <si>
    <t>U.S. National Science Foundation(NSF)(National Science Foundation (NSF)); Ohio Supercomputer Center at Ohio State University(Ohio State University); Goddard Earth Sciences and Technology Center Research Fellowship</t>
  </si>
  <si>
    <t>The Office of Polar Programs of the U.S. National Science Foundation under research grant NSF-OPP 0338005, the Ohio Supercomputer Center at Ohio State University, and the Goddard Earth Sciences and Technology Center Research Fellowship awarded to HRK supported elements of this research. We thank two anonymous reviewers for their constructive comments.</t>
  </si>
  <si>
    <t>1525-2027</t>
  </si>
  <si>
    <t>GEOCHEM GEOPHY GEOSY</t>
  </si>
  <si>
    <t>Geochem. Geophys. Geosyst.</t>
  </si>
  <si>
    <t>Q02014</t>
  </si>
  <si>
    <t>10.1029/2008GC002149</t>
  </si>
  <si>
    <t>412MQ</t>
  </si>
  <si>
    <t>WOS:000263729300001</t>
  </si>
  <si>
    <t>Boakes, PD; Milan, SE; Abel, GA; Freeman, MP; Chisham, G; Hubert, B</t>
  </si>
  <si>
    <t>Boakes, P. D.; Milan, S. E.; Abel, G. A.; Freeman, M. P.; Chisham, G.; Hubert, B.</t>
  </si>
  <si>
    <t>A statistical study of the open magnetic flux content of the magnetosphere at the time of substorm onset</t>
  </si>
  <si>
    <t>FIELD; PROBABILITY; DEPENDENCE; FUV</t>
  </si>
  <si>
    <t>In this paper we determine the probability of substorm onset as a function of open magnetic flux in the magnetosphere by comparing the occurrence distribution of open flux observed at all times with that observed at the time of substorm onset. The open magnetic flux is measured in 12735 auroral images of the ionospheric polar cap from the IMAGE WIC detector. The probability of substorm onset is found to be negligible for fluxes below similar to 0.3 GWb, increases almost linearly until similar to 0.9 GWb, and is undefined above this. We also demonstrate that those substorms which show a clear particle injection signature at geosynchronous orbit, as measured by the LANL spacecraft, occur, on average, with higher values of open flux than those showing no activity. We discuss these results in the context of various hypotheses for substorm onset. Citation: Boakes, P. D., S. E. Milan, G. A. Abel, M. P. Freeman, G. Chisham, and B. Hubert ( 2009), A statistical study of the open magnetic flux content of the magnetosphere at the time of substorm onset, Geophys. Res. Lett., 36, L04105, doi: 10.1029/2008GL037059.</t>
  </si>
  <si>
    <t>[Boakes, P. D.; Milan, S. E.] Univ Leicester, Dept Phys &amp; Astron, Leicester LE1 7RH, Leics, England; [Boakes, P. D.; Abel, G. A.; Freeman, M. P.; Chisham, G.] British Antarctic Survey, Cambridge CB3 0ET, England; [Hubert, B.] Univ Liege, Lab Planetary &amp; Atmospher Phys, B-4000 Liege, Belgium</t>
  </si>
  <si>
    <t>University of Leicester; UK Research &amp; Innovation (UKRI); Natural Environment Research Council (NERC); NERC British Antarctic Survey; University of Liege</t>
  </si>
  <si>
    <t>Boakes, PD (corresponding author), Univ Leicester, Dept Phys &amp; Astron, Leicester LE1 7RH, Leics, England.</t>
  </si>
  <si>
    <t>p.boakes@ion.le.ac.uk</t>
  </si>
  <si>
    <t>Abel, Gary/ABE-1765-2021; Freeman, Mervyn/E-5687-2019</t>
  </si>
  <si>
    <t>Abel, Gary/0000-0003-2231-5161; Freeman, Mervyn/0000-0002-8653-8279; Milan, Steve/0000-0001-5050-9604</t>
  </si>
  <si>
    <t>PPARC/STFC CASE [PPA/S/C/2006/04488]; Belgian National Fund for Scientific Research (FNRS); U.S. Department of Energy; Natural Environment Research Council [bas010021] Funding Source: researchfish; Science and Technology Facilities Council [PP/E000983/1] Funding Source: researchfish; NERC [bas010021] Funding Source: UKRI; STFC [PP/E000983/1] Funding Source: UKRI</t>
  </si>
  <si>
    <t>PPARC/STFC CASE(UK Research &amp; Innovation (UKRI)Science &amp; Technology Facilities Council (STFC)); Belgian National Fund for Scientific Research (FNRS)(Fonds de la Recherche Scientifique - FNRS); U.S. Department of Energy(United States Department of Energy (DOE)); 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</si>
  <si>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P. D. B. was supported by a PPARC/STFC CASE award, grant PPA/S/C/2006/04488. The authors would like to thank the many dedicated scientists who have made the IMAGE mission a success. B. Hubert is supported by the Belgian National Fund for Scientific Research (FNRS). We acknowledge the U.S. Department of Energy for the use of the Los Alamos geosynchronous energetic particle data. We thank H. Frey for making available the IMAGE substorm event list.</t>
  </si>
  <si>
    <t>L04105</t>
  </si>
  <si>
    <t>10.1029/2008GL037059</t>
  </si>
  <si>
    <t>412MY</t>
  </si>
  <si>
    <t>WOS:000263730100007</t>
  </si>
  <si>
    <t>Burn, LJ; Rosman, KJR; Candelone, JP; Vallelonga, P; Burton, GR; Smith, AM; Morgan, VI; Barbante, C; Hong, S; Boutron, CF</t>
  </si>
  <si>
    <t>Burn, Laurie J.; Rosman, Kevin J. R.; Candelone, Jean-Pierre; Vallelonga, Paul; Burton, Graeme R.; Smith, Andrew M.; Morgan, Vin I.; Barbante, Carlo; Hong, Sungmin; Boutron, Claude F.</t>
  </si>
  <si>
    <t>An ultra-clean technique for accurately analysing Pb isotopes and heavy metals at high spatial resolution in ice cores with sub-pg g-1 Pb concentrations</t>
  </si>
  <si>
    <t>Ice cores; Antarctica; Mass spectrometry; Lead isotopes; Barium; Indium</t>
  </si>
  <si>
    <t>IONIZATION MASS-SPECTROMETRY; GRAM CONCENTRATIONS; ANTARCTIC SNOW; SOURCE SIGNATURES; ATMOSPHERIC LEAD; POLAR SNOW; LAW DOME; GREENLAND; HEMISPHERE; PICOGRAM</t>
  </si>
  <si>
    <t>Measurements of Pb isotope ratios in ice containing sub-pg g(-1) concentrations are easily compromised by contamination, particularly where limited sample is available. Improved techniques are essential if Antarctic ice cores are to be analysed with sufficient spatial resolution to reveal seasonal variations due to climate. This was achieved here by using stainless steel chisels and saws and strict protocols in an ultra-clean cold room to decontaminate and section ice cores. Artificial ice cores, prepared from high purity water were used to develop and refine the procedures and quantify blanks. Ba and In, two other important elements present at pg g-1 and fg g(-1) concentrations in Polar ice, were also measured. The final blank amounted to 0.2 +/- 0.2 pg of Pb with Pb-206/Pb-207 and Pb-208/Pb-207 ratios of 1.16 +/- 0.12 and 2.35 +/- 0.16, respectively, 1.5 +/- 0.4 pg of Ba and 0.6 +/- 2.0 fg of In, most of which probably originates from abrasion of the steel saws by the ice. The procedure was demonstrated on a Holocene Antarctic ice core section and was shown to contribute blanks of only similar to 5%, similar to 14% and similar to 0.8% to monthly resolved samples with respective Pb, Ba and In concentrations of 0.12 pg g(-1), 0.3 pg g(-1) and 2.3 fg g(-1). Uncertainties in the Pb isotopic ratio measurements were degraded by only similar to 0.2%. (C) 2009 Elsevier B.V. All rights reserved.</t>
  </si>
  <si>
    <t>[Burn, Laurie J.; Rosman, Kevin J. R.; Candelone, Jean-Pierre; Vallelonga, Paul; Burton, Graeme R.] Curtin Univ Technol, Dept Imaging &amp; Appl Phys, Perth, WA 6845, Australia; [Smith, Andrew M.] Australian Nucl Sci &amp; Technol Org, Menai, NSW 2234, Australia; [Morgan, Vin I.] Australian Antarctic Div &amp; Antarctic Climate &amp; Ec, Hobart, Tas 7001, Australia; [Vallelonga, Paul; Barbante, Carlo] IDPA CNR, I-30123 Venice, Italy; [Hong, Sungmin] Korea Polar Res Inst, Inchon 406840, South Korea; [Boutron, Claude F.] CNRS, Lab Glaciol &amp; Geophys Environm, F-38402 St Martin Dheres, France</t>
  </si>
  <si>
    <t>Curtin University; Australian Nuclear Science &amp; Technology Organisation; Australian Antarctic Division; Consiglio Nazionale delle Ricerche (CNR); Istituto per la Dinamica dei Processi Ambientali (IDPA-CNR); Korea Institute of Ocean Science &amp; Technology (KIOST); Korea Polar Research Institute (KOPRI); Centre National de la Recherche Scientifique (CNRS)</t>
  </si>
  <si>
    <t>Rosman, KJR (corresponding author), Curtin Univ Technol, Dept Imaging &amp; Appl Phys, GPO Box U1987, Perth, WA 6845, Australia.</t>
  </si>
  <si>
    <t>K.Rosman@curtin.edu.au</t>
  </si>
  <si>
    <t>, Andrew/HLX-8550-2023; Barbante, Carlo/B-3195-2011; Vallelonga, Paul/I-9650-2016</t>
  </si>
  <si>
    <t>Barbante, Carlo/0000-0003-4177-2288; Vallelonga, Paul/0000-0003-1055-7235; Smith, Andrew/0000-0002-9193-2617</t>
  </si>
  <si>
    <t>Australian Research Council [DP0345625]; Antarctic Science Advisory Council [2786]; Australian Research Council [DP0345625] Funding Source: Australian Research Council</t>
  </si>
  <si>
    <t>Australian Research Council(Australian Research Council); Antarctic Science Advisory Council; Australian Research Council(Australian Research Council)</t>
  </si>
  <si>
    <t>We would like to thank Steve Walton who constructed the ice lathe, Andreas Biondo who provided technical support during the project, Giulio Cozzi for his assistance with the ICP-MS measurements, and Vincent Wathen for assisting with the graphic design schematic of the lathe. Robert Loss and John de Laeter in particular and students of Curtin's Isotope Science Research Laboratories provided helpful discussion on various aspects of the work. This research was supported by Australian Research Council grant DP0345625 and Antarctic Science Advisory Council grant #2786.</t>
  </si>
  <si>
    <t>FEB 23</t>
  </si>
  <si>
    <t>10.1016/j.aca.2008.11.067</t>
  </si>
  <si>
    <t>407US</t>
  </si>
  <si>
    <t>WOS:000263390400014</t>
  </si>
  <si>
    <t>Tindall, JC; Valdes, PJ; Sime, LC</t>
  </si>
  <si>
    <t>Tindall, J. C.; Valdes, P. J.; Sime, L. C.</t>
  </si>
  <si>
    <t>Stable water isotopes in HadCM3: Isotopic signature of El Nino Southern Oscillation and the tropical amount effect</t>
  </si>
  <si>
    <t>GENERAL-CIRCULATION MODEL; CENTER COUPLED MODEL; ANDEAN ICE CORES; CLIMATE-CHANGE; ATMOSPHERIC CIRCULATION; SIMULATION; PRECIPITATION; VARIABILITY; O-18; ENSO</t>
  </si>
  <si>
    <t>Stable water isotopes have been added to the full hydrological cycle of the Hadley Centre Climate model (HadCM3) coupled atmosphere-ocean GCM. Simulations of delta O-18 in precipitation and at the ocean surface compare well with observations for the present-day climate. The model has been used to investigate the isotopic anomalies associated with ENSO; it is found that the anomalous delta O-18 in precipitation is correlated with the anomalous precipitation amount in accordance with the amount effect.'' The El Nino delta O-18 anomaly at the ocean surface is largest in coastal regions because of the mixing of ocean water and the more depleted runoff from the land surface. Coral delta O-18 anomalies were estimated, using an established empirical relationship, and generally reflect ocean surface delta O-18 anomalies in coastal regions and sea surface temperatures away from the coast. The spatial relationship between tropical precipitation and delta O-18 was investigated for the El Nino anomaly simulated by HadCM3. Weighting the El Nino precipitation anomaly by the precipitation amount at each grid box gave a large increase in the spatial correlation between tropical precipitation and delta O-18. This improvement was most apparent over land points and between 10 and 20 degrees of latitude.</t>
  </si>
  <si>
    <t>[Tindall, J. C.; Valdes, P. J.] Univ Bristol, Bristol Res Initiat Dynam Global Environm, Sch Geog Sci, Bristol BS8 1SS, Avon, England; [Sime, L. C.] British Antarctic Survey, Cambridge CB3 0ET, England</t>
  </si>
  <si>
    <t>University of Bristol; UK Research &amp; Innovation (UKRI); Natural Environment Research Council (NERC); NERC British Antarctic Survey</t>
  </si>
  <si>
    <t>Tindall, JC (corresponding author), Univ Bristol, Bristol Res Initiat Dynam Global Environm, Sch Geog Sci, Bristol BS8 1SS, Avon, England.</t>
  </si>
  <si>
    <t>julia.tindall@bristol.ac.uk</t>
  </si>
  <si>
    <t>Valdes, Paul/T-2004-2019; Sime, Louise/AAX-7730-2021; Valdes, Paul J/C-4129-2013; Sime, Louise/F-8058-2012</t>
  </si>
  <si>
    <t>Valdes, Paul/0000-0002-1902-3283; Sime, Louise/0000-0002-9093-7926; Sime, Louise/0000-0002-9093-7926</t>
  </si>
  <si>
    <t>NERC; NERC [bas010016] Funding Source: UKRI; Natural Environment Research Council [bas010016, NER/T/S/2002/00460]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</si>
  <si>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</si>
  <si>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NERC, under the RAPID thematic program. We would like to thank two anonymous reviewers for providing useful and insightful comments on a previous version of this manuscript.</t>
  </si>
  <si>
    <t>FEB 21</t>
  </si>
  <si>
    <t>D04111</t>
  </si>
  <si>
    <t>10.1029/2008JD010825</t>
  </si>
  <si>
    <t>410XV</t>
  </si>
  <si>
    <t>WOS:000263612500006</t>
  </si>
  <si>
    <t>Hinderks, JR; Ade, P; Bock, J; Bowden, M; Brown, ML; Cahill, G; Carlstrom, JE; Castro, PG; Church, S; Culverhouse, T; Friedman, R; Ganga, K; Gear, WK; Gupta, S; Harris, J; Haynes, V; Keating, G; Kovac, J; Kirby, E; Lange, AE; Leitch, E; Mallie, OE; Melhuish, S; Memari, Y; Murphy, A; Orlando, A; Schwarz, R; Sullivan, CO; Piccirillo, L; Pryke, C; Rajguru, N; Rusholme, B; Taylor, AN; Thompson, KL; Tucker, C; Turner, AH; Wu, EYS; Zemcov, M</t>
  </si>
  <si>
    <t>Hinderks, J. R.; Ade, P.; Bock, J.; Bowden, M.; Brown, M. L.; Cahill, G.; Carlstrom, J. E.; Castro, P. G.; Church, S.; Culverhouse, T.; Friedman, R.; Ganga, K.; Gear, W. K.; Gupta, S.; Harris, J.; Haynes, V.; Keating, G.; Kovac, J.; Kirby, E.; Lange, A. E.; Leitch, E.; Mallie, O. E.; Melhuish, S.; Memari, Y.; Murphy, A.; Orlando, A.; Schwarz, R.; Sullivan, C. O'; Piccirillo, L.; Pryke, C.; Rajguru, N.; Rusholme, B.; Taylor, A. N.; Thompson, K. L.; Tucker, C.; Turner, A. H.; Wu, E. Y. S.; Zemcov, M.</t>
  </si>
  <si>
    <t>QUaD: A HIGH-RESOLUTION COSMIC MICROWAVE BACKGROUND POLARIMETER</t>
  </si>
  <si>
    <t>ASTROPHYSICAL JOURNAL</t>
  </si>
  <si>
    <t>cosmic microwave background; instrumentation: polarimeters</t>
  </si>
  <si>
    <t>ANGULAR SCALE INTERFEROMETER; POLARIZATION POWER SPECTRA; PROBE WMAP OBSERVATIONS; OPTICAL DESIGN; 2003 FLIGHT; SOUTH-POLE; RECEIVER; BRIGHTNESS; ANISOTROPY; BOLOMETER</t>
  </si>
  <si>
    <t>We describe the QUaD experiment, a millimeter-wavelength polarimeter designed to observe the cosmic microwave background (CMB) from a site at the South Pole. The experiment comprises a 2.64 m Cassegrain telescope equipped with a cryogenically cooled receiver containing an array of 62 polarization-sensitive bolometers. The focal plane contains pixels at two different frequency bands, 100 GHz and 150 GHz, with angular resolutions of 5' and 3'.5, respectively. The high angular resolution allows observation of CMB temperature and polarization anisotropies over a wide range of scales. The instrument commenced operation in early 2005 and collected science data during three successive Austral winter seasons of observation.</t>
  </si>
  <si>
    <t>[Hinderks, J. R.; Bowden, M.; Church, S.; Kirby, E.; Rusholme, B.; Thompson, K. L.; Wu, E. Y. S.] Stanford Univ, Dept Phys, Stanford, CA 94305 USA; [Ade, P.; Gear, W. K.; Gupta, S.; Harris, J.; Haynes, V.; Melhuish, S.; Orlando, A.; Piccirillo, L.; Tucker, C.; Turner, A. H.] Cardiff Univ, Sch Phys &amp; Astron, Cardiff CF24 3AA, S Glam, Wales; [Bock, J.; Kovac, J.; Leitch, E.; Rusholme, B.; Zemcov, M.] CALTECH, Jet Prop Lab, Pasadena, CA 91109 USA; [Bock, J.; Lange, A. E.; Leitch, E.; Orlando, A.; Zemcov, M.] CALTECH, Pasadena, CA 91125 USA; [Brown, M. L.; Castro, P. G.; Memari, Y.; Taylor, A. N.] Univ Edinburgh, Royal Observ, Inst Astron, Edinburgh EH9 3HJ, Midlothian, Scotland; [Cahill, G.; Sullivan, C. O'] Natl Univ Ireland, Maynooth, Kildare, Ireland; [Carlstrom, J. E.; Culverhouse, T.; Friedman, R.; Murphy, A.; Schwarz, R.; Pryke, C.] Univ Chicago, Dept Astron &amp; Astrophys, Kavli Inst Cosmol Phys, Chicago, IL 60637 USA; [Ganga, K.] CNRS, Lab APC, F-75205 Paris 13, France; [Keating, G.] Univ Calif San Diego, Ctr Astrophys &amp; Space Sci, La Jolla, CA 92093 USA; [Hinderks, J. R.; Bowden, M.; Church, S.; Kirby, E.; Rusholme, B.; Thompson, K. L.; Wu, E. Y. S.] Stanford Univ, Kavli Inst Particle Astrophys &amp; Cosmol, Stanford, CA 94305 USA</t>
  </si>
  <si>
    <t>Stanford University; Cardiff University; National Aeronautics &amp; Space Administration (NASA); NASA Jet Propulsion Laboratory (JPL); California Institute of Technology; California Institute of Technology; University of Edinburgh; Maynooth University; University of Chicago; Universite PSL; Observatoire de Paris; CEA; Centre National de la Recherche Scientifique (CNRS); Universite Paris Cite; University of California System; University of California San Diego; Stanford University</t>
  </si>
  <si>
    <t>Hinderks, JR (corresponding author), NASA, Goddard Space Flight Ctr, 8800 Greenbelt Rd, Greenbelt, MD 20771 USA.</t>
  </si>
  <si>
    <t>Orlando, Angiola/AAI-3379-2021; Taylor, Aimee/AAD-9424-2020; Orlando, Angiola/AAH-6918-2020; Melhuish, Simon/B-1299-2016; Orlando, Angiola/T-3869-2017</t>
  </si>
  <si>
    <t>Orlando, Angiola/0000-0001-9464-3100; Kovac, John/0009-0003-5432-7180; Melhuish, Simon/0000-0001-8725-4991; Rusholme, Benjamin/0000-0001-7648-4142; Brown, Michael/0000-0002-0370-8077; Tucker, Carole/0000-0002-1851-3918; Orlando, Angiola/0000-0001-8004-5054; Ade, Peter/0000-0002-5127-0401; Gear, Walter/0000-0001-6789-6196</t>
  </si>
  <si>
    <t>National Science Foundation in the USA [AST-0096778, ANT-0338138, ANT-0338335, ANT-0338238, NSF PHY-0114422]; UK Science and technology Facilities Council (STFC); NSF Graduate Research Fellowship; Stanford Graduate Fellowship; NASA Postdoctoral Fellowship; PPARC fellowships; Fundacao para a Ciencia e a Tecnologia; Stanford Terman Fellowship; John B. and Nelly L. Kilory Foundation Fellowship; Kavli Inst for Cosmological Physics; NDSEG fellowship; NASA Postdoctoral Program at the Goddard Space Flight Center; Jet Propulsion Laboratory; STFC [ST/G002711/1, ST/G001979/1, PP/D001048/1, PP/D509552/1] Funding Source: UKRI; Science and Technology Facilities Council [ST/G001979/1, PP/D509552/1] Funding Source: researchfish; Directorate For Geosciences; Office of Polar Programs (OPP) [0739413] Funding Source: National Science Foundation</t>
  </si>
  <si>
    <t>National Science Foundation in the USA(National Science Foundation (NSF)); UK Science and technology Facilities Council (STFC)(UK Research &amp; Innovation (UKRI)Science &amp; Technology Facilities Council (STFC)); NSF Graduate Research Fellowship(National Science Foundation (NSF)); Stanford Graduate Fellowship(Stanford University); NASA Postdoctoral Fellowship; PPARC fellowships; Fundacao para a Ciencia e a Tecnologia(Fundacao para a Ciencia e a Tecnologia (FCT)); Stanford Terman Fellowship; John B. and Nelly L. Kilory Foundation Fellowship; Kavli Inst for Cosmological Physics; NDSEG fellowship; NASA Postdoctoral Program at the Goddard Space Flight Center; Jet Propulsion Laboratory; STFC(UK Research &amp; Innovation (UKRI)Science &amp; Technology Facilities Council (STFC)); Science and Technology Facilities Council(UK Research &amp; Innovation (UKRI)Science &amp; Technology Facilities Council (STFC)); Directorate For Geosciences; Office of Polar Programs (OPP)(National Science Foundation (NSF)NSF - Directorate for Geosciences (GEO))</t>
  </si>
  <si>
    <t>We acknowledge the staff of the Amundsen-Scott South Pole Station and all involved in the United States Antarctic Program for their superb support during the construction and operation of experiment. Special thanks go to our bave winter-over scientist Robert Schwarz who has spent three consecutive winter seasons with the QUaD. We also acknowledge the tremendous efforts of the Stanford University Physics Department machine shop in the construction of the focal plane assembly. J.R.H. thanks David Chuss for useful comments on this draft and Simon Radford for providing the 350 m tipper data. QUaD is funded by the National Science Foundation in the USA, through grants AST-0096778,ANT-0338138,ANT-0338335, and ANT-0338238, by the UK Science and technology Facilities Council (STFC) and its predecessor the Particle Physics and Astronomy Research Council (PPARC), and by the Science Foundation Ireland.; J.R.H. acknowledges the support of an NSF Graduate Research Fellowship, a Stanford Graduate Fellowship, and a NASA Postdoctoral Fellowship. M.L.B. and A.O. acknowledge the award of PPARC fellowships. P.G.C. is funded by the Fundacao para a Ciencia e a Tecnologia. S.E.C. acknowledge support from a Stanford Terman Fellowship. J.M.K. acknowledges support from a John B. and Nelly L. Kilory Foundation Fellowship. C.P. and J.E.C. acknowledge partial support from the Kavli Inst for Cosmological Physics through the grant NSF PHY-0114422. E.Y.W. acknowledges receipt of an NDSEG fellowship. M.Z. acknowledges the support of a NASA Postdoctoral Fellowship. This research was supported in part by appointments to the NASA Postdoctoral Program at the Goddard Space Flight Center (J.R.H.) and the Jet Propulsion Laboratory (M.Z.), administered by Oak Ridge Associated Universities through a contract with NASA.</t>
  </si>
  <si>
    <t>IOP PUBLISHING LTD</t>
  </si>
  <si>
    <t>BRISTOL</t>
  </si>
  <si>
    <t>TEMPLE CIRCUS, TEMPLE WAY, BRISTOL BS1 6BE, ENGLAND</t>
  </si>
  <si>
    <t>0004-637X</t>
  </si>
  <si>
    <t>1538-4357</t>
  </si>
  <si>
    <t>ASTROPHYS J</t>
  </si>
  <si>
    <t>Astrophys. J.</t>
  </si>
  <si>
    <t>FEB 20</t>
  </si>
  <si>
    <t>10.1088/0004-637X/692/2/1221</t>
  </si>
  <si>
    <t>411TW</t>
  </si>
  <si>
    <t>Green Accepted, Green Published, Bronze, Green Submitted</t>
  </si>
  <si>
    <t>WOS:000263674700019</t>
  </si>
  <si>
    <t>Pryke, C; Ade, P; Bock, J; Bowden, M; Brown, ML; Cahill, G; Castro, PG; Church, S; Culverhouse, T; Friedman, R; Ganga, K; Gear, WK; Gupta, S; Hinderks, J; Kovac, J; Lange, AE; Leitch, E; Melhuish, SJ; Memari, Y; Murphy, JA; Orlando, A; Schwarz, R; Sullivan, CO; Piccirillo, L; Rajguru, N; Rusholme, B; Taylor, AN; Thompson, KL; Turner, AH; Wu, EYS; Zemcov, M</t>
  </si>
  <si>
    <t>Pryke, C.; Ade, P.; Bock, J.; Bowden, M.; Brown, M. L.; Cahill, G.; Castro, P. G.; Church, S.; Culverhouse, T.; Friedman, R.; Ganga, K.; Gear, W. K.; Gupta, S.; Hinderks, J.; Kovac, J.; Lange, A. E.; Leitch, E.; Melhuish, S. J.; Memari, Y.; Murphy, J. A.; Orlando, A.; Schwarz, R.; Sullivan, C. O'; Piccirillo, L.; Rajguru, N.; Rusholme, B.; Taylor, A. N.; Thompson, K. L.; Turner, A. H.; Wu, E. Y. S.; Zemcov, M.</t>
  </si>
  <si>
    <t>QUaD Collaboration</t>
  </si>
  <si>
    <t>SECOND AND THIRD SEASON QUaD COSMIC MICROWAVE BACKGROUND TEMPERATURE AND POLARIZATION POWER SPECTRA</t>
  </si>
  <si>
    <t>cosmic microwave background; cosmology: observations; polarization</t>
  </si>
  <si>
    <t>PROBE WMAP OBSERVATIONS; ANGULAR SCALE INTERFEROMETER; 2003 FLIGHT; CMB TEMPERATURE; ANISOTROPY; BOOMERANG; RADIATION; DESIGN; IMAGER; CAPMAP</t>
  </si>
  <si>
    <t>We report results from the second and third seasons of observation with the QUaD experiment. Angular power spectra of the cosmic microwave background are derived for both temperature and polarization at both 100 GHz and 150 GHz, and as cross-frequency spectra. All spectra are subjected to an extensive set of jackknife tests to probe for possible systematic contamination. For the implemented data cuts and processing technique such contamination is undetectable. We analyze the difference map formed between the 100 and 150 GHz bands and find no evidence of foreground contamination in polarization. The spectra are then combined to form a single set of results which are shown to be consistent with the prevailing LCDM model. The sensitivity of the polarization results is considerably better than that of any previous experiment for the first time multiple acoustic peaks are detected in the E-mode power spectrum at high significance.</t>
  </si>
  <si>
    <t>[Pryke, C.; Culverhouse, T.; Friedman, R.; Schwarz, R.] Univ Chicago, Dept Astron &amp; Astrophys, Enrico Fermi Inst, Kavli Inst Cosmol Phys, Chicago, IL 60637 USA; [Ade, P.; Bowden, M.; Gear, W. K.; Gupta, S.; Melhuish, S. J.; Orlando, A.; Piccirillo, L.; Rajguru, N.; Turner, A. H.; Zemcov, M.] Cardiff Univ, Sch Phys &amp; Astron, Cardiff CF24 3AA, S Glam, Wales; [Bock, J.; Leitch, E.; Zemcov, M.] CALTECH, Jet Prop Lab, Pasadena, CA 91109 USA; [Bock, J.; Kovac, J.; Lange, A. E.; Leitch, E.; Orlando, A.; Zemcov, M.] CALTECH, Pasadena, CA 91125 USA; [Bowden, M.; Church, S.; Hinderks, J.; Rusholme, B.; Thompson, K. L.; Wu, E. Y. S.] Stanford Univ, Kavli Inst Particle Astrophys &amp; Cosmol, Stanford, CA 94305 USA; [Bowden, M.; Church, S.; Hinderks, J.; Rusholme, B.; Thompson, K. L.; Wu, E. Y. S.] Stanford Univ, Dept Phys, Stanford, CA 94305 USA; [Brown, M. L.; Castro, P. G.; Memari, Y.; Taylor, A. N.] Univ Edinburgh, Royal Observ, Inst Astron, Edinburgh EH9 3HJ, Midlothian, Scotland; [Cahill, G.; Murphy, J. A.; Sullivan, C. O'] Natl Univ Ireland Maynooth, Dept Expt Phys, Maynooth, Kildare, Ireland; [Ganga, K.] CNRS, Lab APC, F-75205 Paris 13, France</t>
  </si>
  <si>
    <t>University of Chicago; Cardiff University; National Aeronautics &amp; Space Administration (NASA); NASA Jet Propulsion Laboratory (JPL); California Institute of Technology; California Institute of Technology; Stanford University; Stanford University; University of Edinburgh; Maynooth University; Universite PSL; Observatoire de Paris; CEA; Centre National de la Recherche Scientifique (CNRS); Universite Paris Cite</t>
  </si>
  <si>
    <t>Pryke, C (corresponding author), Univ Chicago, Dept Astron &amp; Astrophys, Enrico Fermi Inst, Kavli Inst Cosmol Phys, 5640 S Ellis Ave, Chicago, IL 60637 USA.</t>
  </si>
  <si>
    <t>Orlando, Angiola/0000-0001-9464-3100; Gear, Walter/0000-0001-6789-6196; Ade, Peter/0000-0002-5127-0401; Melhuish, Simon/0000-0001-8725-4991; Kovac, John/0009-0003-5432-7180; Brown, Michael/0000-0002-0370-8077; Orlando, Angiola/0000-0001-8004-5054; Rusholme, Benjamin/0000-0001-7648-4142; Pryke, Clement/0000-0003-3983-6668; Memari, Yasin/0000-0002-1747-542X</t>
  </si>
  <si>
    <t>National Science Foundation in the USA [AST-0096778, ANT-0338138, ANT0338335, ANT-0338238]; Particle Physics and Astronomy Research Council in the UK; Science Foundation Ireland; NSF [PHY-0114422]; John B. and Nelly L. Kilroy Foundation Fellowship; Science and Technology Facilities Council [PP/D509552/1, ST/G001979/1] Funding Source: researchfish; STFC [ST/G002711/1, PP/D509552/1, PP/D001048/1, ST/G001979/1] Funding Source: UKRI; Directorate For Geosciences; Office of Polar Programs (OPP) [0739413] Funding Source: National Science Foundation</t>
  </si>
  <si>
    <t>National Science Foundation in the USA(National Science Foundation (NSF)); Particle Physics and Astronomy Research Council in the UK; Science Foundation Ireland(Science Foundation Ireland); NSF(National Science Foundation (NSF)); John B. and Nelly L. Kilroy Foundation Fellowship; Science and Technology Facilities Council(UK Research &amp; Innovation (UKRI)Science &amp; Technology Facilities Council (STFC)); STFC(UK Research &amp; Innovation (UKRI)Science &amp; Technology Facilities Council (STFC)); Directorate For Geosciences; Office of Polar Programs (OPP)(National Science Foundation (NSF)NSF - Directorate for Geosciences (GEO))</t>
  </si>
  <si>
    <t>QUaD is funded by the National Science Foundation in the USA, through grants AST-0096778, ANT-0338138, ANT0338335, and ANT-0338238, by the Particle Physics and Astronomy Research Council in the UK, and by the Science Foundation Ireland. We would like to thank the staff of the Amundsen-Scott South Pole Station and all involved in the United States Antarctic Program for the superb support operation which makes the science presented here possible. Special thanks go to our intrepid winter over scientist Robert Schwarz who spent three consecutive winter seasons tending the QUaD experiment. The BOOMERanG Collaboration kindly allowed the use of their CMB maps for our calibration purposes. M. L. B. acknowledges the award of a PPARC fellowship. S. E. C. acknowledges support from a Stanford Terman Fellowship. J. R. H. acknowledges the support of an NSF Graduate Research Fellowship and a Stanford Graduate Fellowship. C. P. and J. E. C. acknowledge partial support from the Kavli Institute for Cosmological Physics through the grant NSF PHY-0114422. E. Y. W. acknowledges receipt of an NDSEG fellowship. J. M. K acknowledges support from a John B. and Nelly L. Kilroy Foundation Fellowship.</t>
  </si>
  <si>
    <t>10.1088/0004-637X/692/2/1247</t>
  </si>
  <si>
    <t>Green Published, Bronze, Green Submitted, Green Accepted</t>
  </si>
  <si>
    <t>WOS:000263674700020</t>
  </si>
  <si>
    <t>Lin, CH; Liu, JY; Cheng, CZ; Chen, CH; Liu, CH; Wang, W; Burns, AG; Lei, J</t>
  </si>
  <si>
    <t>Lin, C. H.; Liu, J. Y.; Cheng, C. Z.; Chen, C. H.; Liu, C. H.; Wang, W.; Burns, A. G.; Lei, J.</t>
  </si>
  <si>
    <t>Three-dimensional ionospheric electron density structure of the Weddell Sea Anomaly</t>
  </si>
  <si>
    <t>This paper provides the first three-dimensional description of the ionospheric density structure of the Weddell Sea Anomaly (WSA). The WSA is characterized by a nighttime ionospheric density greater than that in daytime in the Weddell Sea region around the Antarctic Peninsula during the southern hemisphere summer. It was first observed by ground-based ionosondes located in the Antarctica back in the 1950s and was further investigated by two-dimensional maps over the oceans using TEC measurements collected by the TOPEX/Poseidon recently. Although these TEC maps have provided two-dimensional views for tracking the time-evolution and spatial coverage of the WSA, the vertical distribution of this peculiar feature is still unavailable. With the vertical ionospheric density profiles observed by the FORMOSAT-3/COSMIC, three-dimensional density structure of the WSA is presented here for the first time. Meanwhile, a similar WSA signature is observed in the northern and eastern hemisphere during June solstice by both the GPS-TEC and the FORMOSAT-3/COSMIC electron density observations. From the observed altitudinal structure of the WSA during 1800-2400 LT and the similar feature occurred in the opposite hemisphere suggest that the southward offset of the magnetic equator with respect to the geographic equator plays a major role for the WSA formation.</t>
  </si>
  <si>
    <t>[Lin, C. H.; Cheng, C. Z.] Natl Cheng Kung Univ, Plasma &amp; Space Sci Ctr, Tainan 701, Taiwan; [Lin, C. H.; Cheng, C. Z.] Natl Cheng Kung Univ, Inst Space Astrophys &amp; Plasma Sci, Tainan 701, Taiwan; [Liu, J. Y.; Chen, C. H.] Natl Cent Univ, Inst Space Sci, Chungli 320, Taiwan; [Liu, C. H.] Acad Sinica, Taipei 115, Taiwan; [Wang, W.; Burns, A. G.] Natl Ctr Atmospher Res, High Altitude Observ, Boulder, CO 80301 USA; [Lei, J.] Univ Colorado, Dept Aerosp Engn Sci, Boulder, CO 80309 USA</t>
  </si>
  <si>
    <t>National Cheng Kung University; National Cheng Kung University; National Central University; Academia Sinica - Taiwan; National Center Atmospheric Research (NCAR) - USA; University of Colorado System; University of Colorado Boulder</t>
  </si>
  <si>
    <t>Lin, CH (corresponding author), Natl Cheng Kung Univ, Plasma &amp; Space Sci Ctr, Tainan 701, Taiwan.</t>
  </si>
  <si>
    <t>clin@pssc.ncku.edu.tw</t>
  </si>
  <si>
    <t>Cheng, Chio Z/K-1005-2014; Lei, Jiuhou/A-3015-2012; 魏, 孝慈/D-1493-2012; Lei, Jiuhou/AAG-3221-2019; Liu, Jann-Yenq/Q-1668-2015; Burns, Alan G/L-1547-2013; Wang, Wenbin/G-2596-2013</t>
  </si>
  <si>
    <t>Cheng, Chio Z/0000-0001-6618-7806; Lei, Jiuhou/0000-0002-4374-5083; Lei, Jiuhou/0000-0002-4374-5083; Wang, Wenbin/0000-0002-6287-4542; Lin, Charles C. H./0000-0001-8955-8753</t>
  </si>
  <si>
    <t>Taiwan National Science Council [NSC 97-2111-M-006 -003]; NSPO [96-NSPO(B)-SP-FA07-03(A), 97-NSPO(B)-SPFA0703(E)]</t>
  </si>
  <si>
    <t>Taiwan National Science Council(Ministry of Science and Technology, Taiwan); NSPO</t>
  </si>
  <si>
    <t>This work is partially supported by the Taiwan National Science Council under NSC NSC 97-2111-M-006 -003 and by NSPO under 96-NSPO(B)-SP-FA07-03(A) and 97-NSPO(B)-SPFA0703(E). CHL thanks Arthur D. Richmond of the NCAR/ HAO for his useful suggestions.</t>
  </si>
  <si>
    <t>A02312</t>
  </si>
  <si>
    <t>10.1029/2008JA013455</t>
  </si>
  <si>
    <t>410YT</t>
  </si>
  <si>
    <t>WOS:000263614900002</t>
  </si>
  <si>
    <t>Lukianova, R; Alekseev, G; Mursula, K</t>
  </si>
  <si>
    <t>Lukianova, R.; Alekseev, G.; Mursula, K.</t>
  </si>
  <si>
    <t>Effects of station relocation in the aa index</t>
  </si>
  <si>
    <t>GEOMAGNETIC-ACTIVITY; MAGNETIC-FIELD; INCREASE</t>
  </si>
  <si>
    <t>Earlier studies have shown that the long-term measure of geomagnetic activity, the aa index, is inhomogeneous and depicts an excessively large (about 12 nT) centennial increase. This has preliminarily been suggested to be due to possible station intercalibration problems in 1957 when the northern aa station was changed from Abinger to Hartland. In the present paper we show that the 3-hourly aa index time series is not uniform but includes systematic jump-like changes in the distribution of the various aa values with each change of stations in 1920, 1926, 1957, and 1980. We estimate how large a change to the aa index was caused by each particular aa value. We find that the changes to the aa index due to different ranges of activity are smooth and fairly similar for all jumps. In 1957 the largest aa values had, at the expense of more moderate aa values, a relatively larger contribution to the jump than in other station changes because the relative station coefficient was somewhat larger in 1957, leading to larger spreading and a higher average level of aa values. However, while this difference could cause a slight overestimate of the aa values, we find that the total changes in the aa index over jumps are in agreement, in both sign and magnitude, with the solar cycle variation. So it is unlikely that the excessive increase of the aa index would be due to erroneously estimated station coefficients.</t>
  </si>
  <si>
    <t>[Lukianova, R.; Alekseev, G.] Arctic &amp; Antarctic Res Inst, St Petersburg 199397, Russia; [Mursula, K.] Univ Oulu, Dept Phys Sci, FIN-90014 Oulu, Finland</t>
  </si>
  <si>
    <t>Arctic &amp; Antarctic Research Institute; University of Oulu</t>
  </si>
  <si>
    <t>Lukianova, R (corresponding author), Arctic &amp; Antarctic Res Inst, 38 Bering St, St Petersburg 199397, Russia.</t>
  </si>
  <si>
    <t>renata@aari.nw.ru</t>
  </si>
  <si>
    <t>Lukianova, Renata/K-3293-2012; Mursula, Kalevi/L-8952-2014</t>
  </si>
  <si>
    <t>Lukianova, Renata/0000-0003-2343-9174; Mursula, Kalevi/0000-0003-4892-5056</t>
  </si>
  <si>
    <t>RFBR [07-05-13558]; Academy of Finland [127188]; Academy of Finland (AKA) [127188] Funding Source: Academy of Finland (AKA)</t>
  </si>
  <si>
    <t>RFBR(Russian Foundation for Basic Research (RFBR)); Academy of Finland(Research Council of Finland); Academy of Finland (AKA)(Research Council of Finland)</t>
  </si>
  <si>
    <t>This work at AARI was supported in part by the RFBR (grant 07-05-13558). R. L. is grateful for the support of the Academy of Finland during her visit to Oulu in the frame of project 127188. The authors are indebted to reviewers for comments on an early version of the paper.</t>
  </si>
  <si>
    <t>A02105</t>
  </si>
  <si>
    <t>10.1029/2008JA013824</t>
  </si>
  <si>
    <t>WOS:000263614900005</t>
  </si>
  <si>
    <t>Taguchi, S; Hosokawa, K; Nakao, A; Collier, MR; Moore, TE; Sato, N; Yukimatu, AS</t>
  </si>
  <si>
    <t>Taguchi, S.; Hosokawa, K.; Nakao, A.; Collier, M. R.; Moore, T. E.; Sato, N.; Yukimatu, A. S.</t>
  </si>
  <si>
    <t>HF radar polar patch and its relation with the cusp during BY-dominated IMF: Simultaneous observations at two altitudes</t>
  </si>
  <si>
    <t>INTERPLANETARY MAGNETIC-FIELD; NEAR-EARTH MAGNETOSPHERE; CAP F-REGION; SOLAR-WIND; MAGNETOPAUSE RECONNECTION; DAYSIDE MAGNETOPAUSE; IONOSPHERIC CONVECTION; PARTICLE-PRECIPITATION; ION PRECIPITATION; DE-2 OBSERVATIONS</t>
  </si>
  <si>
    <t>Recent studies have shown that the motion of the cusp can be deduced from the energetic neutral atom signals detected in the magnetosphere by the Low Energy Neutral Atom (LENA) imager on the IMAGE spacecraft. We use this approach to understand the characteristics of the formation of a polar patch seen in the dayside ionosphere. During a period of the 28 March 2001 LENA cusp signal event, the SuperDARN radars at Syowa East, Syowa South, and Kerguelen Island identified large-scale features of a polar patch. A region of high backscatter power observed by the radars separates into two parts around 77 degrees, and its high-latitude part moves in the poleward and duskward direction. The separation latitude is about 5 degrees higher than the equatorward boundary of the cusp, which is deduced from the LENA cusp signal. We interpret these observations, including features obtained with other SuperDARN radars in the northern hemisphere, as being due to the IMF B-Y-controlled zonal jet flow that occurred during a period of increase in vertical bar B-Y/B-Z vertical bar, without requiring the change in B-Y polarity that has been often invoked in previous studies. The sharp equatorward boundary of the radar signatures of the polar patch would be an interface between the preexisting flow generally in the antisunward direction and the enhanced zonal flow. The flow enhancement appears to be a fundamental process that forms the large-scale polar patch at latitudes several degrees higher than the cusp.</t>
  </si>
  <si>
    <t>[Taguchi, S.; Hosokawa, K.; Nakao, A.] Univ Electrocommun, Dept Informat &amp; Commun Engn, Tokyo 1828585, Japan; [Collier, M. R.; Moore, T. E.] NASA, Goddard Space Flight Ctr, Greenbelt, MD 20771 USA; [Sato, N.; Yukimatu, A. S.] Natl Inst Polar Res, Tokyo 1738515, Japan</t>
  </si>
  <si>
    <t>University of Electro-Communications - Japan; National Aeronautics &amp; Space Administration (NASA); NASA Goddard Space Flight Center; Research Organization of Information &amp; Systems (ROIS); National Institute of Polar Research (NIPR) - Japan</t>
  </si>
  <si>
    <t>Taguchi, S (corresponding author), Univ Electrocommun, Dept Informat &amp; Commun Engn, Tokyo 1828585, Japan.</t>
  </si>
  <si>
    <t>taguchi@ice.uec.ac.jp</t>
  </si>
  <si>
    <t>Moore, Thomas Earle/D-4675-2012; Collier, Michael R/I-4864-2013</t>
  </si>
  <si>
    <t>Japan Society for the Promotion of Science [18540443]; IMAGE Project [UPN 370-28-20]; Science and Technology Facilities Council [PP/E007929/1] Funding Source: researchfish; STFC [PP/E007929/1] Funding Source: UKRI; Grants-in-Aid for Scientific Research [18540443] Funding Source: KAKEN</t>
  </si>
  <si>
    <t>Japan Society for the Promotion of Science(Ministry of Education, Culture, Sports, Science and Technology, Japan (MEXT)Japan Society for the Promotion of Science); IMAGE Project; Science and Technology Facilities Council(UK Research &amp; Innovation (UKRI)Science &amp; Technology Facilities Council (STFC)); STFC(UK Research &amp; Innovation (UKRI)Science &amp; Technology Facilities Council (STFC)); Grants-in-Aid for Scientific Research(Ministry of Education, Culture, Sports, Science and Technology, Japan (MEXT)Japan Society for the Promotion of ScienceGrants-in-Aid for Scientific Research (KAKENHI))</t>
  </si>
  <si>
    <t>This research was supported by Grant-in-Aid for Scientific Research (C) 18540443 under Japan Society for the Promotion of Science and by the IMAGE Project under UPN 370-28-20 at Goddard Space Flight Center. The authors would like to acknowledge valuable discussion with Yozo Murata and Shin Suzuki. The authors are indebted to the PIs of the various SuperDARN radars, without whose efforts this study would not have been possible. The 41th Japanese Antarctic Research Expedition (JARE) has carried out the HF radar operation at Syowa station. CUTLASS (Hankasalmi and Pykkvybaer radar pair) is supported by an award from STFC. The authors also thank C. T. Russell (PI of Polar magnetic field data), D. McComas (PI of ACE plasma data), N. Ness (PI of ACE magnetic field data), J. H. King, and N. Papatashvilli (OMNI data) for providing data through the NASA CDAWeb.</t>
  </si>
  <si>
    <t>A02311</t>
  </si>
  <si>
    <t>10.1029/2008JA013624</t>
  </si>
  <si>
    <t>WOS:000263614900003</t>
  </si>
  <si>
    <t>O'Loughlin, PM; Manjón-Cabeza, ME; Ruiz, FM</t>
  </si>
  <si>
    <t>Mark O'Loughlin, P.; Eugenia Manjon-Cabeza, M.; Moya Ruiz, Francina</t>
  </si>
  <si>
    <t>Antarctic holothuroids from the Bellingshausen Sea, with descriptions of new species (Echinodermata: Holothuroidea)</t>
  </si>
  <si>
    <t>Bentart; Dendrochirotida; Myriotrochidae; new genus; new species; synonymies; generic referrals</t>
  </si>
  <si>
    <t>Three new species of holothuroids from the Antarctic Peninsula and Bellingshausen Sea are described, with O'Loughin &amp; Manjon-Cabeza as authors: dendrochirotids Cucumaria dudexa sp. nov., Psolicrux iuvenilesi sp. nov.; myriotrochid Myriotrochus hesperides sp. nov. Parathyonidium incertum Heding is discussed. Two synonymies for Antarctic holothuroids are formalised: Caespitugo citriformis Gutt is a junior synonym of Thyone scotiae Vaney; Caespitugo diversipes Gutt is a junior synonym of Cucumaria psolidiformis Vaney. Cucumaria armata Vaney is removed from inclusion in the Cucumaria georgiana (Lampert) group, and is a junior synonym of Cucumaria psolidiformis Vaney. A synonymy of Cucumaria aspera Vaney with Psolidium ( Cucumaria) coatsi Vaney is rejected; Cucumaria aspera Vaney is referred to the Cucumaria georgiana ( Lampert) group. Cucumaria conspicua Vaney is removed from synonymy with Psolidium ( Cucumaria) coatsi Vaney, and is a junior synonym of Cucumaria psolidiformis Vaney. Thyone scotiae Vaney is referred to Crucella Gutt. Caespitugo Gutt is a junior synonym of Crucella Gutt. A new genus Cucamba O'Loughlin is erected; Cucumaria psolidiformis Vaney is referred to Cucamba O'Loughlin. A synonymy of Staurocucumis grandis ( Vaney) with Staurocucumis turqueti ( Vaney) is confirmed. The referral of Pseudocolochirus mollis Ludwig &amp; Heding to Psolidiella Mortensen is confirmed. Lists of contemporary synonymies for Antarctic holothuroid species and generic referrals for Antarctic dendrochirotid species are provided. A table of holothuroid species collected from the Antarctic Peninsula and Bellingshausen Sea by the Spanish BENTART-2003 and BENTART-2006 cruises is provided.</t>
  </si>
  <si>
    <t>[Mark O'Loughlin, P.] Museum Victoria, Dept Marine Sci, Melbourne, Vic 3001, Australia; [Eugenia Manjon-Cabeza, M.] Univ Malaga, Fac Sci, Dept Anim Biol, E-29071 Malaga, Spain; [Moya Ruiz, Francina] Oceanog Ctr Malaga, Spanish Oceanog Inst, Malaga 29640, Spain</t>
  </si>
  <si>
    <t>Museum Victoria; Universidad de Malaga</t>
  </si>
  <si>
    <t>O'Loughlin, PM (corresponding author), Museum Victoria, Dept Marine Sci, GPO Box 666, Melbourne, Vic 3001, Australia.</t>
  </si>
  <si>
    <t>pmo@bigpond.net.au; mecloute@uma.es; francina.moya@ma.ieo.es</t>
  </si>
  <si>
    <t>Manjón-Cabeza, M. Eugenia/L-1761-2014</t>
  </si>
  <si>
    <t>Manjón-Cabeza, M. Eugenia/0000-0002-4014-6763</t>
  </si>
  <si>
    <t>Spanish Government [BENTART-2003, REN2001-1074/ANT, BENTART-2006]; Antarctic Programme [GLC2004-01856/ANT, CGL2004-04684/ANT, CGL2004-21066-E]</t>
  </si>
  <si>
    <t>Spanish Government(Spanish Government); Antarctic Programme</t>
  </si>
  <si>
    <t>We are grateful for the contribution of the following to this work: Principal BENTART Researcher, Ana Ramos, and team who collected the holothuroid specimens; University of Malaga students Blanca Gallego Tevar, Carolina Yuste Florido and Juan Miguel Perez Ramos who assisted significantly with the systematic determination of the specimens; Chris Rowley (NMV) for photography of ossicles; Ben Boonen for format of figures and table. We acknowledge with appreciation the funding by the Spanish Government of BENTART-2003 through Antarctic Programme REN2001-1074/ANT, and BENTART-2006 through Antarctic Programme GLC2004-01856/ANT; the funding of collection maintenance through Antarctic Programme CGL2004-04684/ANT; the funding of microscopic studies and photographs through Antarctic Programme CGL2004-21066-E; the funding of international collaboration by the Malaga University Projects ( A. 5. Mod. B). We are most appreciative of the insightful and very helpful comments offered by an anonymous reviewer.</t>
  </si>
  <si>
    <t>412IM</t>
  </si>
  <si>
    <t>WOS:000263718500001</t>
  </si>
  <si>
    <t>Dhargalkar, VK; Verlecar, XN</t>
  </si>
  <si>
    <t>Dhargalkar, V. K.; Verlecar, X. N.</t>
  </si>
  <si>
    <t>Southern Ocean seaweeds: A resource for exploration in food and drugs</t>
  </si>
  <si>
    <t>AQUACULTURE</t>
  </si>
  <si>
    <t>Seaweed; Southern Ocean; Antarctic; Exploration; Medicinal; Bio-activity</t>
  </si>
  <si>
    <t>KING-GEORGE-ISLAND; BENTHIC MARINE-ALGAE; ANTARCTIC CERAMIACEAE RHODOPHYCEAE; FATTY-ACID-COMPOSITION; BAY ROSS SEA; DURVILLAEA-ANTARCTICA; TEMPERATURE REQUIREMENTS; PHYLLOPHORA ANTARCTICA; SEASONAL-VARIATION; VESTFOLD HILLS</t>
  </si>
  <si>
    <t>Benthic macroalga or seaweed, a wonder plant in the sea, has been attracting the human mind since centuries. Countries of south and South East Asia have Put in extensive use of this plant for various purposes such as food, feed, fodder. etc. Development of seaweed in these countries was favored by their ready availability and prodimities to centers of human population that were particularly concentrated in coastal areas. In the beginning, those seaweed species that could be used for food were the first to be utilized and later the other species were found to yield industrial, medicinal. pharmaceutical and cosmetic products. A number of constraints will be required to be adapted if world's seaweed industry is to be developed and stabilized. This is mainly because of uncertainty in supply of raw material and Sudden burst in demand that occur in cycles. The seaweed resources have undergone successive periods of over exploitation and neglect. Alternatively. new areas shall have to be explored which could supply rich and high quality seaweeds. The Southern Ocean has immense potential for atrtracting urgent attention for development and exploitation of seaweed resources. A number of investigations are underway to assess the uses of Antarctic seaweeds. Recently, all active ingredient from Antarctic seaweed has been identified, which blocks the effects of metalloproteinase, all enzyme that accelerates the skin aging process. A skin care products derived from polar seaweeds has been a latest craze in France and are dedicated to men between 25 and 50 years of age. Antarctic red algae have recently been identified for their chemodiversity, containing compounds possessing antibacterial and other inhibitive properties to marine animals.The important fact remains that before we go for actual harvesting it is necessary that we have full details of their ecophysiology and annual cycle of occurrence at particular region and devise a legal framework after extensive debate with experts, for sustainable use of this valuable resource. (C) 2008 Elsevier B.V. All rights reserved.</t>
  </si>
  <si>
    <t>[Dhargalkar, V. K.; Verlecar, X. N.] Natl Inst Oceanog, Panaji 403004, Goa, India</t>
  </si>
  <si>
    <t>Council of Scientific &amp; Industrial Research (CSIR) - India; CSIR - National Institute of Oceanography (NIO)</t>
  </si>
  <si>
    <t>Verlecar, XN (corresponding author), Natl Inst Oceanog, Panaji 403004, Goa, India.</t>
  </si>
  <si>
    <t>vinod.nio@rediffmail.com; verlecar@gmail.com</t>
  </si>
  <si>
    <t>0044-8486</t>
  </si>
  <si>
    <t>1873-5622</t>
  </si>
  <si>
    <t>Aquaculture</t>
  </si>
  <si>
    <t>FEB 18</t>
  </si>
  <si>
    <t>10.1016/j.aquaculture.2008.11.013</t>
  </si>
  <si>
    <t>407TZ</t>
  </si>
  <si>
    <t>WOS:000263388500001</t>
  </si>
  <si>
    <t>Chiuri, R; Maiorano, G; Rizzello, A; del Mercato, LL; Cingolani, R; Rinaldi, R; Maffia, M; Pompa, PP</t>
  </si>
  <si>
    <t>Chiuri, R.; Maiorano, G.; Rizzello, A.; del Mercato, L. L.; Cingolani, R.; Rinaldi, R.; Maffia, M.; Pompa, P. P.</t>
  </si>
  <si>
    <t>Exploring Local Flexibility/Rigidity in Psychrophilic and Mesophilic Carbonic Anhydrases</t>
  </si>
  <si>
    <t>BIOPHYSICAL JOURNAL</t>
  </si>
  <si>
    <t>ICEFISH CHIONODRACO-HAMATUS; COLD-ADAPTATION; HYDROPHOBIC CORE; MOLECULAR-BASIS; UNFOLDED STATE; METAL-BINDING; ENZYMES; STABILITY; PROBE; FLUORESCENCE</t>
  </si>
  <si>
    <t>Molecular flexibility and rigidity are required to determine the function and specificity of protein molecules. Some psychrophilic enzymes demonstrate a higher catalytic efficiency at low temperatures, compared to the efficiency demonstrated by their meso/thermophilic homologous. The emerging picture suggests that such enzymes have an improved flexibility of the structural catalytic components, whereas other protein regions far from functional sites may be even more rigid than those of their mesophilic counterparts. To gain a deeper insight in the analysis of the activity-flexibility/rigidity relationship in protein structure, psychrophilic carbonic anhydrase of the Antarctic teleost Chionodraco hamatus has been compared with carbonic anhydrase 11 of Bos taurus through fluorescence studies, three-dimensional modeling, and activity analyses. Data demonstrated that the cold-adapted enzyme exhibits an increased catalytic efficiency at low and moderate temperatures and, more interestingly, a local flexibility in the region that controls the correct folding of the catalytic architecture, as well as a rigidity in the hydrophobic; core. The opposite result was observed in the mesophilic counterpart. These results suggest a clear relationship between the activity and the presence of flexible and rigid protein substructures that may be useful in rational molecular and drug design of a class of enzymes playing a key role in pathologic processes.</t>
  </si>
  <si>
    <t>[Chiuri, R.; Maiorano, G.; del Mercato, L. L.; Cingolani, R.; Rinaldi, R.; Pompa, P. P.] CNR INFM, IIT Res Unit, Natl Nanotechnol Lab, Lecce, Italy; [Rizzello, A.; Maffia, M.] Univ Salento, Dept Biol &amp; Environm Sci &amp; Technol, Lab Gen Physiol, Lecce, Italy</t>
  </si>
  <si>
    <t>Consiglio Nazionale delle Ricerche (CNR); Istituto Nazionale per la Fisica della Materia (INFM-CNR); Istituto Italiano di Tecnologia - IIT; University of Salento</t>
  </si>
  <si>
    <t>Pompa, PP (corresponding author), CNR INFM, IIT Res Unit, Natl Nanotechnol Lab, Lecce, Italy.</t>
  </si>
  <si>
    <t>piero.pompa@unile.it</t>
  </si>
  <si>
    <t>del Mercato, Loretta L./M-8620-2015; RINALDI, ROSARIA/N-3560-2015; del Mercato, Loretta/H-4317-2012; del Mercato, Loretta L./ABH-7865-2020; Cingolani, Roberto/B-9191-2011; MAFFIA, MICHELE/AAC-2943-2020; maiorano, gabriele/J-7808-2015</t>
  </si>
  <si>
    <t>del Mercato, Loretta L./0000-0001-9733-7088; RINALDI, ROSARIA/0000-0003-2798-9341; maiorano, gabriele/0000-0003-2205-2293</t>
  </si>
  <si>
    <t>CELL PRESS</t>
  </si>
  <si>
    <t>50 HAMPSHIRE ST, FLOOR 5, CAMBRIDGE, MA 02139 USA</t>
  </si>
  <si>
    <t>0006-3495</t>
  </si>
  <si>
    <t>1542-0086</t>
  </si>
  <si>
    <t>BIOPHYS J</t>
  </si>
  <si>
    <t>Biophys. J.</t>
  </si>
  <si>
    <t>10.1016/j.bpj.2008.11.017</t>
  </si>
  <si>
    <t>Biophysics</t>
  </si>
  <si>
    <t>450CE</t>
  </si>
  <si>
    <t>Green Published, hybrid</t>
  </si>
  <si>
    <t>WOS:000266377800033</t>
  </si>
  <si>
    <t>Endres, AL; Murray, T; Booth, AD; West, LJ</t>
  </si>
  <si>
    <t>Endres, Anthony L.; Murray, Tavi; Booth, Adam D.; West, L. Jared</t>
  </si>
  <si>
    <t>A new framework for estimating englacial water content and pore geometry using combined radar and seismic wave velocities</t>
  </si>
  <si>
    <t>TEMPERATE GLACIER; PROPAGATION; SURFACE; ICE</t>
  </si>
  <si>
    <t>Ice mechanical properties, and hence the response of glaciers to climate change, depend strongly on the presence of liquid water at ice-grain boundaries. The propagation velocities of radar and seismic waves are also highly sensitive to this water. Mixing laws, typically the Looyenga and Riznichenko formulae, have traditionally been used to quantify liquid water content within glaciers from such velocity data; however, it has become apparent that these mixing laws are geometrically inconsistent. We present an inclusion-based effective medium approximation in which we model water inclusions within solid ice. Two types of inclusions are used: spherical inclusions to represent water in the grain junction nodes, and high-aspect ratio spheroidal inclusions to represent water in the grain boundary veins. We apply this model to radar and seismic data from a polythermal glacier in Svalbard to quantify both inclusion geometry and the unfrozen water content within the warm ice. Citation: Endres, A. L., T. Murray, A. D. Booth, and L. J. West (2009), A new framework for estimating englacial water content and pore geometry using combined radar and seismic wave velocities, Geophys. Res. Lett., 36, L04501, doi: 10.1029/2008GL036876.</t>
  </si>
  <si>
    <t>[Endres, Anthony L.] Univ Waterloo, Dept Earth &amp; Environm Sci, Waterloo, ON N2L 3GL, Canada; [Murray, Tavi; Booth, Adam D.] Swansea Univ, Glaciol Grp, Dept Geog, Sch Environm &amp; Soc, Swansea SA2 8PP, W Glam, Wales; [West, L. Jared] Univ Leeds, Sch Earth &amp; Environm, Leeds LS2 9JT, W Yorkshire, England</t>
  </si>
  <si>
    <t>University of Waterloo; Swansea University; University of Leeds</t>
  </si>
  <si>
    <t>Endres, AL (corresponding author), Univ Waterloo, Dept Earth &amp; Environm Sci, Waterloo, ON N2L 3GL, Canada.</t>
  </si>
  <si>
    <t>t.murray@swansea.ac.uk</t>
  </si>
  <si>
    <t>Booth, Adam/0000-0002-8166-9608; West, Landis Jared/0000-0002-3441-0433; Murray, Tavi/0000-0001-6714-6512</t>
  </si>
  <si>
    <t>NERC [NER/A/S/2002/01000, GST/02/2192]</t>
  </si>
  <si>
    <t>NERC(UK Research &amp; Innovation (UKRI)Natural Environment Research Council (NERC))</t>
  </si>
  <si>
    <t>This research was funded by NERC grants NER/A/S/2002/01000 and GST/02/2192. Seismic data collection was led by A. M. Smith (British Antarctic Survey).</t>
  </si>
  <si>
    <t>L04501</t>
  </si>
  <si>
    <t>10.1029/2008GL036876</t>
  </si>
  <si>
    <t>410XI</t>
  </si>
  <si>
    <t>WOS:000263611200005</t>
  </si>
  <si>
    <t>Sigaeva, EA; Nechaev, OY; Panasyuk, MI; Bruns, AV; Troshichev, OA</t>
  </si>
  <si>
    <t>Sigaeva, E. A.; Nechaev, O. Yu.; Panasyuk, M. I.; Bruns, A. V.; Troshichev, O. A.</t>
  </si>
  <si>
    <t>Thermal neutrons' response to the GLEs</t>
  </si>
  <si>
    <t>Thermal neutrons; Ground level enhancements; Cosmic rays; Solar proton events; GLE</t>
  </si>
  <si>
    <t>Thermal neutrons' flux near the Earth's crust is very sensitive regarding different processes and phenomena both in the near-Earth space and in the Earth's crust by reason of the dual nature of the thermal neutron flux. Its first source is associated with high-energy particles of cosmic rays penetrating into the Earth's atmosphere and interacting with its elements. The second source originates from the radioactive gases contained in the Earth's crust. So the contributions of these two sources are specified by the Earth's crust conditions and its movements, on one hand and variations of high-energy particles flux near the Earth. The paper presents the observations of the thermal neutrons flux during the Ground level enhancements (GLEs) recorded oil January 20, 2005 and December 13, 2006. January 20, 2005 event became the first clear response to GLE in thermal neutrons' data during the whole period of observations (from 1994). The biggest response observed at Antarctic experimental unit, was in good time correspondence with the response at Neutron Monitors (NMs). The difference of the amplitudes of the response at these units must be explained by different energy ranges of the registered particles. GLE on December 13, 2006 registered by one of Moscow thermal neutrons' units, corresponded to NM data both in amplitude and time of the observed effect. The absence of the response at another Moscow unit must be linked to energy spectra of this event different from the previous and higher sensitivity of the first unit to the relative low energy neutrons coming from above due to thin roof. (C) 2008 COSPAR. Published by Elsevier Ltd. All rights reserved.</t>
  </si>
  <si>
    <t>[Sigaeva, E. A.; Nechaev, O. Yu.; Panasyuk, M. I.] MSU, Skobeltsyn Inst Nucl Phys, Moscow 119991, Russia; [Bruns, A. V.] Crimean Astrophys Observ, UA-98409 Nauchnyi, Crimea, Ukraine; [Troshichev, O. A.] Arctic &amp; Antarctic Res Inst, St Petersburg 199397, Russia</t>
  </si>
  <si>
    <t>Lomonosov Moscow State University; Russian Academy of Sciences; Crimean Astrophysical Observatory; Arctic &amp; Antarctic Research Institute</t>
  </si>
  <si>
    <t>Sigaeva, EA (corresponding author), MSU, Skobeltsyn Inst Nucl Phys, Leninskie Gory 1-2, Moscow 119991, Russia.</t>
  </si>
  <si>
    <t>belka@srd.sinp.msu.ru</t>
  </si>
  <si>
    <t>Panasyuk, Mikhail I./E-2005-2012; Sigaeva, Ekaterina/I-8790-2012</t>
  </si>
  <si>
    <t>FEB 16</t>
  </si>
  <si>
    <t>10.1016/j.asr.2008.09.021</t>
  </si>
  <si>
    <t>419KB</t>
  </si>
  <si>
    <t>WOS:000264217100031</t>
  </si>
  <si>
    <t>Storini, M; Signoretti, F; Diego, P; Re, F; Laurenza, M</t>
  </si>
  <si>
    <t>Storini, M.; Signoretti, F.; Diego, P.; Re, F.; Laurenza, M.</t>
  </si>
  <si>
    <t>A 3NM-64_3He added to LARC for Solar Extreme Event studies during solar cycle 24</t>
  </si>
  <si>
    <t>Neutron monitors; Helium-3 detector; Cosmic radiation; LARC; Solar activity</t>
  </si>
  <si>
    <t>The Antarctic Laboratory for Cosmic Rays (LARC, acronym for Laboratorio Antartico per i Raggi Cosmici or Laboratorio Antartico para Rayos Cosmicos) operates on King George Island (South Shetlands). Since January 1991 a standard 6NM-64 detector has been recording continuous cosmic ray measurements and several Ground-Level Enhancements have been registered. Here we describe the different phases performed in Italy for the realization of a 3NM-64_He-3 detector, which started its measurements during the Italian XXII Antarctic Summer Campaign. Data recorded during solar activity cycle 24 will furnish an useful research toot for the next Solar Extreme Events. (C) 2008 COSPAR. Published by Elsevier Ltd. All rights reserved.</t>
  </si>
  <si>
    <t>[Storini, M.; Signoretti, F.; Diego, P.; Re, F.; Laurenza, M.] INAF, IFSI Roma, I-00133 Rome, Italy</t>
  </si>
  <si>
    <t>Istituto Nazionale Astrofisica (INAF)</t>
  </si>
  <si>
    <t>Storini, M (corresponding author), INAF, IFSI Roma, Via Fosso del Cavaliere 100, I-00133 Rome, Italy.</t>
  </si>
  <si>
    <t>storini@ifsi-roma.inaf.it</t>
  </si>
  <si>
    <t>Laurenza, Monica/HMD-8729-2023</t>
  </si>
  <si>
    <t>Laurenza, Monica/0000-0001-5481-4534</t>
  </si>
  <si>
    <t>US/NSF [ATM-0527878]</t>
  </si>
  <si>
    <t>US/NSF(National Science Foundation (NSF))</t>
  </si>
  <si>
    <t>Work partly supported by the PNRA of Italy in the frame of Science for Solar-Terrestrial Relations and by IFSI-Roma/INAF. The SVIRCO Observatory is presently supported by the Department of Physics of the Roma Tre University and the Institute of Interplanetary Space Physics (IFSI-Roma) of the Italian National Institute for Astrophysics. The Bartol Research Institute NM Program is supported by the US/NSF under Grant ATM-0527878.</t>
  </si>
  <si>
    <t>10.1016/j.asr.2008.10.004</t>
  </si>
  <si>
    <t>WOS:000264217100042</t>
  </si>
  <si>
    <t>D'Amico, S; Feller, G</t>
  </si>
  <si>
    <t>D'Amico, Salvino; Feller, Georges</t>
  </si>
  <si>
    <t>A nondetergent sulfobetaine improves protein unfolding reversibility in microcalorimetric studies</t>
  </si>
  <si>
    <t>ANALYTICAL BIOCHEMISTRY</t>
  </si>
  <si>
    <t>DIFFERENTIAL SCANNING CALORIMETRY; ANTARCTIC BACTERIUM; AGGREGATION; SIMULATIONS; ENERGETICS; COLD</t>
  </si>
  <si>
    <t>A nondetergent sulfobetaine (NDSB) was found to improve unfolding reversibility of several proteins by inhibiting heat-induced aggregation. As a consequence, Delta H-cal/Delta H-vH ratios were also improved to values close to 1 for a two-state unfolding. NDSB is effective in a wide range of pH values and especially at acidic pH generally used to calculate Delta C-p values by the Kirchhoff relation. The sulfobetaine also allows recording protein refolding by protecting the heat-induced unfolded state against aggregation. (C) 2009 Elsevier Inc. All rights reserved.</t>
  </si>
  <si>
    <t>[D'Amico, Salvino; Feller, Georges] Univ Liege, Biochem Lab, Inst Chem B6a, B-4000 Liege, Belgium</t>
  </si>
  <si>
    <t>University of Liege</t>
  </si>
  <si>
    <t>Feller, G (corresponding author), Univ Liege, Biochem Lab, Inst Chem B6a, B-4000 Liege, Belgium.</t>
  </si>
  <si>
    <t>gfeller@ulg.ac.be</t>
  </si>
  <si>
    <t>0003-2697</t>
  </si>
  <si>
    <t>1096-0309</t>
  </si>
  <si>
    <t>ANAL BIOCHEM</t>
  </si>
  <si>
    <t>Anal. Biochem.</t>
  </si>
  <si>
    <t>FEB 15</t>
  </si>
  <si>
    <t>10.1016/j.ab.2008.11.016</t>
  </si>
  <si>
    <t>Biochemical Research Methods; Biochemistry &amp; Molecular Biology; Chemistry, Analytical</t>
  </si>
  <si>
    <t>Biochemistry &amp; Molecular Biology; Chemistry</t>
  </si>
  <si>
    <t>400OI</t>
  </si>
  <si>
    <t>WOS:000262877400034</t>
  </si>
  <si>
    <t>Hendry, KR; Rickaby, REM; Meredith, MP; Elderfield, H</t>
  </si>
  <si>
    <t>Hendry, Katharine R.; Rickaby, Rosalind E. M.; Meredith, Michael P.; Elderfield, Henry</t>
  </si>
  <si>
    <t>Controls on stable isotope and trace metal uptake in Neogloboquadrina pachyderma (sinistral) from an Antarctic sea-ice environment</t>
  </si>
  <si>
    <t>N. pachyderma; isotopes; trace metals; sea-ice; carbonate ion</t>
  </si>
  <si>
    <t>GLACIAL-INTERGLACIAL CHANGES; PLANKTONIC-FORAMINIFERA; SOUTHERN-OCEAN; SURFACE TEMPERATURE; MARGUERITE BAY; WEDDELL SEA; CARBON; SEAWATER; MG/CA; DELTA-O-18</t>
  </si>
  <si>
    <t>The polar foraminifera Neogloboquadrina pachyderma (sinistral) dominates assemblages from the high latitude Southern Ocean, which plays a key role in determining past climate due to the tight linkage between Antarctic temperature and atmospheric CO2. Here, we use N. pachyderma (s.) harvested from sediment traps off the West Antarctic Peninsula to construct a seasonal time series for the calibration of calcite proxies in a high latitude seasonal sea-ice environment where temperature is decoupled from other environmental parameters. We have used a combination of delta O-18(CaCO3) and delta (13)(CaCO3) to decipher the calcification temperature and salinity, which reflect that N. pachyderma (s.) live in surface waters throughout the year, and at the ice-water interface in austral winter. Further, our results demonstrate that the uptake of trace metals into N. pachydenna (s.) calcite is influenced by secondary environmental conditions in addition to temperature during periods of sea-ice cover. We propose an elevated carbonate ion concentration at the ice-ater interface resulting from biological utilisation Of CO2 could influence calcification in foraminifera. Our calculations suggest that for N. pachyderma (s.) Mg/Ca, Sr/Ca ratios and Li/Ca ratios are linear functions of calcification temperature and [CO32-]. N. pachyderma (s.) Mg/Ca ratios exhibit temperature sensitivity similar to previous studies (similar to 10-20%/degrees C) and a sensitivity to [CO32-] of similar to 1%/mu mol kg(-1). Sr/Ca ratios are less sensitive to environmental parameters, exhibiting similar to 5% increase/degrees C and similar to 0.5%/10 mu mol kg(-1). The relationship between Li/Ca ratios and both temperature and [CO32-] is less significant with similar to 10% increase in Li/Ca ratio/degrees C and 10 mu mol kg(-1). We show how a multi-proxy approach could be used to constrain past high latitude surface water temperature and [CO32-] (c) 2008 Elsevier B.V. All rights reserved.</t>
  </si>
  <si>
    <t>[Hendry, Katharine R.; Rickaby, Rosalind E. M.] Univ Oxford, Dept Earth Sci, Oxford OX1 3PR, England; [Meredith, Michael P.] British Antarctic Survey, Cambridge CB3 0ET, England; [Elderfield, Henry] Univ Cambridge, Dept Earth Sci, Cambridge CB2 3EQ, England</t>
  </si>
  <si>
    <t>University of Oxford; UK Research &amp; Innovation (UKRI); Natural Environment Research Council (NERC); NERC British Antarctic Survey; University of Cambridge</t>
  </si>
  <si>
    <t>Hendry, KR (corresponding author), Univ Oxford, Dept Earth Sci, Parks Rd, Oxford OX1 3PR, England.</t>
  </si>
  <si>
    <t>kathh@earth.ox.ac.uk</t>
  </si>
  <si>
    <t>; Hendry, Katharine/E-4793-2011</t>
  </si>
  <si>
    <t>Meredith, Michael/0000-0002-7342-7756; Hendry, Katharine/0000-0002-0790-5895; Rickaby, Rosalind/0000-0002-6095-8419</t>
  </si>
  <si>
    <t>NERC Antarctic Funding Initiative [AF14-02]; NERC [NER/S/A/2004/12390]; NERC [bas0100028] Funding Source: UKRI; Natural Environment Research Council [NER/G/S/2002/00018, bas0100028] Funding Source: researchfish; Office of Polar Programs (OPP); Directorate For Geosciences [0823101] Funding Source: National Science Foundation</t>
  </si>
  <si>
    <t>NERC Antarctic Funding Initiative(UK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 Office of Polar Programs (OPP); Directorate For Geosciences(National Science Foundation (NSF)NSF - Directorate for Geosciences (GEO))</t>
  </si>
  <si>
    <t>The authors would like to thank the following: Damien Carson and Raja Ganeshram for DIC, pH and organic carbon isotopes and useful discussion (University of Edinburgh); Norman Charnley for help with stable isotope analysis ICP-MS (Department of Earth Sciences, University of Oxford); Mervyn Greaves and Jimin Yu for their help with cleaning and trace metal analysis (University of Cambridge); Mark Brandon (Open University), Keith Weston and Tim fickells (University of East Anglia, Norwich) for help recovering and picking the sediments; Andrew Clarke (British Antarctic Survey) and Mags Wallace (Open University) for biological and physical oceanographic data; the base commander and staff of Rothera Research Station and master and crew of the RRS James Clark Ross, British Antarctic Survey. The authors would like to thank Peter deMenocal and three anonymous reviewers for insight and discussion. The work was funded as part of NERC Antarctic Funding Initiative AF14-02. KRH is funded by NERC grant NER/S/A/2004/12390.</t>
  </si>
  <si>
    <t>10.1016/j.epsl.2008.11.026</t>
  </si>
  <si>
    <t>412FC</t>
  </si>
  <si>
    <t>WOS:000263708400007</t>
  </si>
  <si>
    <t>Anastasio, C; Chu, L</t>
  </si>
  <si>
    <t>Anastasio, Cort; Chu, Liang</t>
  </si>
  <si>
    <t>Photochemistry of Nitrous Acid (HONO) and Nitrous Acidium Ion (H2ONO+) in Aqueous Solution and Ice</t>
  </si>
  <si>
    <t>BOUNDARY-LAYER; PHOTOLYSIS; SNOWPACK; NITRITE; PHASE; NOX; NITRATE; FROZEN; EQUILIBRIUM; NITROSATION</t>
  </si>
  <si>
    <t>We have examined the photochemistries of two N(III) species, nitrous acid (HONO) and nitrous acidium ion (H2ONO+), in solution and ice. Although the light absorption spectra for these two species are very similar, their photochemical efficiencies are quite different: the center dot OH (and NO) quantum yield for HONO is approximately 8 times greater than that of H2ONO+ at 274 K. The temperature dependent expressions for the center dot OH (and NO) quantum yields are In(Phi(HONO -&gt;center dot OH) = (7.14 +/- 0.57) - (2430 +/- 160)/T and In(Phi(H2ONO+-&gt;center dot OH) = (3.16 +/- 0.67) - (1890 +/- 180)/T. The temperature dependence for H2ONO+ includes both solution and ice data (255-283 K), suggesting that its ice photochemistry is occurring in a quasi-liquid environment. The quantum yields for HONO and H2ONO+ are independent of wavelength, in contrast to NO2-. On the basis of the pH dependence of N(III) photolysis, our results are consistent with recently reported pK(a) values of 1.7 for H2ONO+ and 2.8 for HONO. Using our results in a kinetic model of nitrogen chemistry illustrates that the fluxes of HONO and NO, from sunlit snow can be explained by nitrate photolysis and are pH dependent because of a competition between HONO evaporation and N(III) reactions on ice grains.</t>
  </si>
  <si>
    <t>[Anastasio, Cort; Chu, Liang] Univ Calif Davis, Dept Land Air &amp; Water Resources, Atmosphere Sci Program, Davis, CA 95616 USA</t>
  </si>
  <si>
    <t>University of California System; University of California Davis</t>
  </si>
  <si>
    <t>Anastasio, C (corresponding author), Univ Calif Davis, Dept Land Air &amp; Water Resources, Atmosphere Sci Program, 1 Shields Ave, Davis, CA 95616 USA.</t>
  </si>
  <si>
    <t>canastasio@ucdavis.edu</t>
  </si>
  <si>
    <t>National Science Foundation [ANT-0230288]</t>
  </si>
  <si>
    <t>We thank Kari Kundert for assistance with the experiments. This work was funded by the Antarctic Glaciology and Atmospheric Chemistry Programs at the National Science Foundation (ANT-0230288).</t>
  </si>
  <si>
    <t>10.1021/es802579a</t>
  </si>
  <si>
    <t>406MC</t>
  </si>
  <si>
    <t>WOS:000263298600026</t>
  </si>
  <si>
    <t>Visbeck, M</t>
  </si>
  <si>
    <t>Visbeck, Martin</t>
  </si>
  <si>
    <t>A Station-Based Southern Annular Mode Index from 1884 to 2005</t>
  </si>
  <si>
    <t>HEMISPHERE CLIMATE-CHANGE; LOW-FREQUENCY VARIABILITY; ANTARCTIC OSCILLATION; EXTRATROPICAL CIRCULATION; SYNCHRONOUS VARIABILITY; OZONE DEPLETION; SEA-ICE; TRENDS; OCEAN; ATMOSPHERE</t>
  </si>
  <si>
    <t>Atmospheric pressure observations from the Southern Hemisphere are used to estimate monthly and annually averaged indexes of the southern annular mode (SAM) back to 1884. This analysis groups all relevant observations in the following four regions: one for Antarctica and three in the subtropical zone. Continuous surface pressure observations are available at a number of locations in the subtropical regions since the end of the nineteenth century. However, year-round observations in the subpolar region near the Antarctic continent began only during the 1940-60 period. The shorter Antarctic records seriously compromise the length of a traditionally estimated SAM index. To improve the situation proxy'' estimates of Antarctic sea level pressure anomalies are provided based on the concept of atmospheric mass conservation poleward of 208S. This allows deriving a longer SAM index back to 1884. Several aspects of the new record, its statistical properties, seasonal trends, and the regional pressure anomaly correlations, are presented.</t>
  </si>
  <si>
    <t>IFM GEOMAR, Leibniz Inst Meereswissensch, D-24105 Kiel, Germany</t>
  </si>
  <si>
    <t>Helmholtz Association; GEOMAR Helmholtz Center for Ocean Research Kiel</t>
  </si>
  <si>
    <t>Visbeck, M (corresponding author), IFM GEOMAR, Leibniz Inst Meereswissensch, Dusternbrooker Weg 20, D-24105 Kiel, Germany.</t>
  </si>
  <si>
    <t>mvisbeck@ifm-geomar.de</t>
  </si>
  <si>
    <t>Visbeck, Martin H/B-6541-2016; Visbeck, Martin/G-2461-2011</t>
  </si>
  <si>
    <t>Visbeck, Martin H/0000-0002-0844-834X; Visbeck, Martin/0000-0002-0844-834X</t>
  </si>
  <si>
    <t>10.1175/2008JCLI2260.1</t>
  </si>
  <si>
    <t>419TO</t>
  </si>
  <si>
    <t>WOS:000264242800005</t>
  </si>
  <si>
    <t>Negri, A; Marshall, P</t>
  </si>
  <si>
    <t>Negri, Andrew; Marshall, Paul</t>
  </si>
  <si>
    <t>TBT contamination of remote marine environments: Ship groundings and ice-breakers as sources of organotins in the Great Barrier Reef and Antarctica</t>
  </si>
  <si>
    <t>JOURNAL OF ENVIRONMENTAL MANAGEMENT</t>
  </si>
  <si>
    <t>Antifouling; Organotin; TBT; Tributyltin; Coral; Polar; Antarctica; Ship grounding; Great Barrier Reef</t>
  </si>
  <si>
    <t>SAGUENAY-FJORD CANADA; WORLD HERITAGE AREA; NUCELLA-LAPILLUS; SOUTHERN-OCEAN; CORAL-REEF; COPPER CONCENTRATIONS; ARTIFICIAL SURFACES; BUTYLTIN COMPOUNDS; MASS SPECTROMETRY; MYTILUS-EDULIS</t>
  </si>
  <si>
    <t>Remote marine environments Such as many parts of the Great Barrier Reef (GBR) and the Antarctic are often assumed to be among the most pristine natural habitats. While distance protects them from many sources of pollution, recent Studies have revealed extremely high concentrations of organotins in areas associated with shipping activities, Sediments at sites of ship groundings on the GBR have been found to contain up to 340,000 mu g So kg(-1). Very high concentrations (up to 2290 mu g So kg(-1)) have been detected in nearshore Antarctic sediments adjacent to channels cut through sea ice by ice-breaking vessels. In both cases, the bulk of the contamination is associated with flakes of antifouling paint abraded from vessel hulls, resulting in patchy but locally intense contamination of sediments. These particulates are likely to continue releasing organotins, tendering grounding sites and ice-breaking routes point-sources of contamination Of Surrounding environments. While the areas exposed to biologically-harmful concentrations of leached chemicals are likely to be limited in extent (1000-10,000 m(2)), deposition of antifouling paints constitutes a persistent ecological risk in otherwise pristine marine environments of high conservation Value. The risk of contamination of GBR and Antarctic sediments by organotins needs to be considered against an important alternative risk: that less effective antifouling of ships hulls may increase the frequency of successful invasions by non-indigenous species. Additional options to minimise ecological risk include accident prevention and reducing organotin contamination from grounding sites through removal or treatment of contaminated sediments, as has been done at some sites in the GBR. (c) 2008 Elsevier Ltd. All rights reserved.</t>
  </si>
  <si>
    <t>[Negri, Andrew] Australian Inst Marine Sci, Townsville, Qld 4810, Australia; [Marshall, Paul] Great Barrier Reef Marine Pk Author, Townsville, Qld, Australia</t>
  </si>
  <si>
    <t>Australian Institute of Marine Science</t>
  </si>
  <si>
    <t>Negri, A (corresponding author), Australian Inst Marine Sci, PMB 3, Townsville, Qld 4810, Australia.</t>
  </si>
  <si>
    <t>a.negri@aims.gov.au</t>
  </si>
  <si>
    <t>Negri, Andrew/G-9909-2017</t>
  </si>
  <si>
    <t>Negri, Andrew/0000-0003-1388-7395</t>
  </si>
  <si>
    <t>0301-4797</t>
  </si>
  <si>
    <t>1095-8630</t>
  </si>
  <si>
    <t>J ENVIRON MANAGE</t>
  </si>
  <si>
    <t>J. Environ. Manage.</t>
  </si>
  <si>
    <t>S31</t>
  </si>
  <si>
    <t>S40</t>
  </si>
  <si>
    <t>10.1016/j.jenvman.2008.06.009</t>
  </si>
  <si>
    <t>393MS</t>
  </si>
  <si>
    <t>WOS:000262378000006</t>
  </si>
  <si>
    <t>Saltzman, ES; Aydin, M; Williams, MB; Verhulst, KR; Gun, B</t>
  </si>
  <si>
    <t>Saltzman, Eric S.; Aydin, Murat; Williams, Margaret B.; Verhulst, Kristal R.; Gun, Baris</t>
  </si>
  <si>
    <t>Methyl chloride in a deep ice core from Siple Dome, Antarctica</t>
  </si>
  <si>
    <t>HALOCARBONS; DEGRADATION; ATMOSPHERE; SEAWATER; BUDGET</t>
  </si>
  <si>
    <t>Methyl chloride (CH3Cl) is a naturally occurring ozone-depleting substance and a significant component of the atmospheric chlorine burden. In this study CH3Cl was analyzed in air bubbles from the West Antarctic Siple Dome deep ice core with gas ages ranging from about 65 kyr BP to the Late Holocene. CH3Cl levels were below the modern Antarctic atmospheric level of 530 ppt in glacial ice ( 456 +/- 46 ppt, 33-65 kyr BP) and above it during the early Holocene (650-700 ppt, 10-11 kyr BP). For most of the Holocene, CH3Cl levels were 500-550 ppt, with good agreement between CH3Cl levels in this core and in the Dome Fuji ice core (Saito et al., 2007). Several late Holocene ice core samples (&lt; 2 kyr BP), show evidence of enrichment in CH3Cl relative to South Pole ice core samples of overlapping gas age. The Siple Dome record suggests that CH3Cl levels in the glacial Southern Hemisphere atmosphere were about 16% lower than those during the mid-late Holocene. Citation: Saltzman, E. S., M. Aydin, M. B. Williams, K. R. Verhulst, and B. Gun ( 2009), Methyl chloride in a deep ice core from Siple Dome, Antarctica, Geophys. Res. Lett., 36, L03822, doi: 10.1029/2008GL036266.</t>
  </si>
  <si>
    <t>[Saltzman, Eric S.; Aydin, Murat; Williams, Margaret B.; Verhulst, Kristal R.; Gun, Baris] Univ Calif Irvine, Dept Earth Syst Sci, Irvine, CA 92697 USA</t>
  </si>
  <si>
    <t>University of California System; University of California Irvine</t>
  </si>
  <si>
    <t>Saltzman, ES (corresponding author), Univ Calif Irvine, Dept Earth Syst Sci, Irvine, CA 92697 USA.</t>
  </si>
  <si>
    <t>esaltzma@uci.edu</t>
  </si>
  <si>
    <t>NSF [OPP-0636953]; NSF Biogeochemistry and Climate REU [ATM 0453495]; Gary Comer Foundation</t>
  </si>
  <si>
    <t>NSF(National Science Foundation (NSF)); NSF Biogeochemistry and Climate REU(National Science Foundation (NSF)); Gary Comer Foundation</t>
  </si>
  <si>
    <t>We thank Ken Taylor, the WAISCORES project, NICL, Todd Dupont for helpful discussion, and P. Mayewski for use of unpublished Siple Dome major ion data. This research was funded by the NSF Glaciology Program (OPP-0636953), the NSF Biogeochemistry and Climate REU site (ATM 0453495) and the Gary Comer Foundation.</t>
  </si>
  <si>
    <t>FEB 14</t>
  </si>
  <si>
    <t>L03822</t>
  </si>
  <si>
    <t>10.1029/2008GL036266</t>
  </si>
  <si>
    <t>406XT</t>
  </si>
  <si>
    <t>WOS:000263328900003</t>
  </si>
  <si>
    <t>Martínez-Garcia, A; Rosell-Melé, A; Geibert, W; Gersonde, R; Masqué, P; Gaspari, V; Barbante, C</t>
  </si>
  <si>
    <t>Martinez-Garcia, Alfredo; Rosell-Mele, Antoni; Geibert, Walter; Gersonde, Rainer; Masque, Pere; Gaspari, Vania; Barbante, Carlo</t>
  </si>
  <si>
    <t>Links between iron supply, marine productivity, sea surface temperature, and CO2 over the last 1.1 Ma</t>
  </si>
  <si>
    <t>SUB-ANTARCTIC ZONE; SOUTHERN-OCEAN; ATMOSPHERIC CO2; EQUATORIAL PACIFIC; GLACIAL MAXIMUM; ATLANTIC-OCEAN; HEAVY-METALS; ICE CORE; CLIMATE; DUST</t>
  </si>
  <si>
    <t>Paleoclimatic reconstructions have provided a unique data set to test the sensitivity of climate system to changes in atmospheric CO2 concentrations. However, the mechanisms behind glacial/interglacial (G/IG) variations in atmospheric CO2 concentrations observed in the Antarctic ice cores are still not fully understood. Here we present a new multiproxy data set of sea surface temperatures (SST), dust and iron supply, and marine export productivity, from the marine sediment core PS2489-2/ODP Site 1090 located in the subantarctic Atlantic, that allow us to evaluate various hypotheses on the role of the Southern Ocean (SO) in modulating atmospheric CO2 concentrations back to 1.1 Ma. We show that Antarctic atmospheric temperatures are closely linked to changes in SO surface temperatures over the last 800 ka and use this to synchronize the timescales of our marine and the European Project for Ice Coring in Antarctica (EPICA) Dome C (EDC) records. The close correlation observed between iron inputs and marine export production over the entire interval implies that the process of iron fertilization of marine biota has been a recurrent process operating in the subantarctic region over the G/IG cycles of the last 1.1 Ma. However, our data suggest that marine productivity can only explain a fraction of atmospheric CO2 changes (up to around 40-50 ppmv), occurring at glacial maxima in each glacial stage. In this sense, the good correlation of our SST record to the EDC temperature reconstruction suggests that the initial glacial CO2 decrease, as well as the change in the amplitude of the CO2 cycles observed around 400 ka, was most likely driven by physical processes, possibly related to changes in Antarctic sea ice extent, surface water stratification, and westerly winds position.</t>
  </si>
  <si>
    <t>[Martinez-Garcia, Alfredo; Rosell-Mele, Antoni; Masque, Pere] Autonomous Univ Barcelona, Inst Ciencia &amp; Tecnol Ambientales, E-08193 Bellaterra, Catalonia, Spain; [Rosell-Mele, Antoni] Inst Catalana Recerca &amp; Estudis Avancats, Barcelona, Catalonia, Spain; [Geibert, Walter] Univ Edinburgh, Sch Geosci, Edinburgh, Midlothian, Scotland; [Geibert, Walter] Scottish Assoc Marine Sci, Dunstaffnage Marine Lab, Oban, Argyll, Scotland; [Geibert, Walter; Gersonde, Rainer] Alfred Wegener Inst Polar &amp; Marine Res, D-27568 Bremerhaven, Germany; [Gersonde, Rainer; Masque, Pere] CNR, Inst Dynam Environm Proc, I-30123 Venice, Italy; [Barbante, Carlo] Univ Cafoscari Venice, Dept Environm Sci, Venice, Italy</t>
  </si>
  <si>
    <t>Autonomous University of Barcelona; ICREA; University of Edinburgh; UHI Millennium Institute; Helmholtz Association; Alfred Wegener Institute, Helmholtz Centre for Polar &amp; Marine Research; Consiglio Nazionale delle Ricerche (CNR); Istituto per la Dinamica dei Processi Ambientali (IDPA-CNR); Universita Ca Foscari Venezia</t>
  </si>
  <si>
    <t>Martínez-Garcia, A (corresponding author), Autonomous Univ Barcelona, Inst Ciencia &amp; Tecnol Ambientales, E-08193 Bellaterra, Catalonia, Spain.</t>
  </si>
  <si>
    <t>antoni.rosell@uab.cat</t>
  </si>
  <si>
    <t>Martinez-Garcia, Alfredo/A-6244-2010; Masque, Pere/B-7379-2008; Rosell-Melé, Antoni/B-3433-2013; Masque, Pere/AAC-9349-2022; Geibert, Walter/ABA-9785-2020; Barbante, Carlo/B-3195-2011; Geibert, Walter/C-3722-2011</t>
  </si>
  <si>
    <t>Martinez-Garcia, Alfredo/0000-0002-7206-5079; Masque, Pere/0000-0002-1789-320X; Rosell-Melé, Antoni/0000-0002-5513-2647; Masque, Pere/0000-0002-1789-320X; Geibert, Walter/0000-0001-8646-2334; Barbante, Carlo/0000-0003-4177-2288</t>
  </si>
  <si>
    <t>Ministerio de Educacion y Ciencia'' [POL2006-02999]; European Commission; ICREA Funding Source: Custom</t>
  </si>
  <si>
    <t>Ministerio de Educacion y Ciencia''(Spanish Government); European Commission(European Union (EU)European Commission Joint Research Centre); ICREA(ICREA)</t>
  </si>
  <si>
    <t>We thank Bob Anderson and J. R. Toggweiler for reviewing the manuscript and providing helpful suggestions for the improvement of the final version of the paper. We acknowledge the Integrated Ocean Drilling Program (IODP) and the Polarstern core repository from the Alfred Wegener Institute (AWI) for providing the samples used in this study. We thank the Spanish Ministerio de Educacion y Ciencia'' for a Ph.D. grant to AM-G and project POL2006-02999. This work is a contribution to the European Project for Ice Coring in Antarctica (EPICA-MIS), a joint ESF/EC scientific program, funded by the European Commission and by national contributions from Belgium, Denmark, France, Germany, Italy, the Netherlands, Norway, Sweden, Switzerland, and the United Kingdom. This is EPICA publication number 214. Thanks are also given to I. Voge, T. Roeske, S. Kretschmer, O. Lechtenfeld, and N. Moraleda for their help in the laboratory analysis and to P. G. Mortyn, S. Rossi, J. Carraquiry, M. Martinez-Boti, G. Martinez-Mendez, and M. Escala for helpful discussions.</t>
  </si>
  <si>
    <t>PA1207</t>
  </si>
  <si>
    <t>10.1029/2008PA001657</t>
  </si>
  <si>
    <t>406YU</t>
  </si>
  <si>
    <t>Green Published, Bronze, Green Submitted</t>
  </si>
  <si>
    <t>WOS:000263331600002</t>
  </si>
  <si>
    <t>Agustí, S; Duarte, CM; Llabrés, M; Agawin, NSR; Kennedy, H</t>
  </si>
  <si>
    <t>Agusti, Susana; Duarte, Carlos M.; Llabres, Moira; Agawin, Nona S. R.; Kennedy, Hilary</t>
  </si>
  <si>
    <t>Response of coastal Antarctic phytoplankton to solar radiation and ammonium manipulation: An in situ mesocosm experiment</t>
  </si>
  <si>
    <t>JOURNAL OF GEOPHYSICAL RESEARCH-BIOGEOSCIENCES</t>
  </si>
  <si>
    <t>MARINE TROPHIC LEVELS; SOUTHERN-OCEAN; ROSS SEA; PRIMARY PRODUCTIVITY; ULTRAVIOLET-RADIATION; OZONE DEPLETION; NITRATE UPTAKE; WATER-COLUMN; IRON; NUTRIENT</t>
  </si>
  <si>
    <t>We tested the role of solar irradiance and ammonium inputs on phytoplankton bloom formation in Antarctic coastal waters (62 degrees 39.576' S; 60 degrees 22.408' W, Livingston Island, South Sethlands) through the combination of a large-scale, in situ mesocosm experiment and a small-scale experiment. Phytoplankton growth, nutrient use, and biomass development remained low at ambient irradiances and increased greatly (greater than thirtyfold) to yield large (up to 93 mu g chlorophyll a l(-1)) phytoplankton blooms in response to moderate shading. The phytoplankton communities tested were light limited when irradiance was reduced below 30% of the incident irradiance and stressed by high irradiance at the full ambient irradiance. Ammonium additions greatly stimulated phytoplankton growth, biomass, and stimulated the use of the large nitrate pool present in the Antarctic waters and lead to a decline in the specific UV absorption by mycosporine-like amminoacids. The small-scale experiment confirmed the role of UV irradiance in inhibiting phytoplankton growth and the capacity of ammonium inputs to overcome this inhibition. The alleviation of the high-irradiance stress by ammonium additions provided evidence of a key role of ammonium inputs in allowing phytoplankton to resume growth and nutrient use. The results demonstrate that there is a narrow window of irradiance where phytoplankton growth is adequate and that coastal Antarctic phytoplankton communities, examined here, are either light limited or stressed by high irradiance at irradiances outside this range. More research is needed to analyze the interplay between light climate, ammonium, and bloom initiation in Antarctic coastal waters to test the generality of the results obtained.</t>
  </si>
  <si>
    <t>[Agusti, Susana; Duarte, Carlos M.; Llabres, Moira] UIB, CSIC, Inst Mediterraneo Estudios Avanzados, E-07190 Esporles, Spain; [Agawin, Nona S. R.] Univ Islas Baleares, Dept Biol, E-07122 Palma De Mallorca, Spain; [Kennedy, Hilary] Bangor Univ, Sch Ocean Sci, Menai Bridge LL59 5AB, Gwynedd, Wales</t>
  </si>
  <si>
    <t>Universitat de les Illes Balears; Consejo Superior de Investigaciones Cientificas (CSIC); Universitat de les Illes Balears; Bangor University</t>
  </si>
  <si>
    <t>Agustí, S (corresponding author), UIB, CSIC, Inst Mediterraneo Estudios Avanzados, C Miquel Marques 21, E-07190 Esporles, Spain.</t>
  </si>
  <si>
    <t>sagusti@uib.es</t>
  </si>
  <si>
    <t>Duarte Quesada, Carlos Manuel/ABD-6208-2021; Agusti, Susana/H-8421-2012; Agusti, Susana/G-2864-2017; Duarte, Carlos M/A-7670-2013; Kennedy, Hilary A/M-5574-2014; Agawin, Nona Sheila/I-3168-2015</t>
  </si>
  <si>
    <t>Agusti, Susana/0000-0003-0536-7293; Duarte, Carlos M/0000-0002-1213-1361; Kennedy, Hilary A/0000-0003-2290-2120; Agawin, Nona Sheila/0000-0001-5951-360X</t>
  </si>
  <si>
    <t>Spanish Plan Nacional de I + D [ANT97-0273]; NSF [OPP-9011927, OPP-9632763, OPP-0217282]</t>
  </si>
  <si>
    <t>Spanish Plan Nacional de I + D; NSF(National Science Foundation (NSF))</t>
  </si>
  <si>
    <t>The ESEPAC experiment was funded by the Antarctic program of the Spanish Plan Nacional de I + D (ANT97-0273). We thank C. Cordon, commander of the R/V Hesperides; the crew, particularly manouver and diver personnel, for their skilled assistance during the logistically complex ESEPAC experiment; the UGBO personnel involved in the experiment for professional technical assistance; and all scientists participating in the ESEPAC experiment for their contribution. We thank K. Flynn, T. Frazer, S. Hernandez, and R. Rivkin for useful comments; C. Barron and L. Sevillano for nutrient analyses; S. Loureiro for flow cytometric analysis; A. Tovar-Sanchez for unpublished iron concentration data; and M. Banon and J. I. Diaz for radiation data. Data from the Palmer LTER data archive were supported by Office of Polar Programs, NSF Grants OPP-9011927, OPP-9632763 and OPP-0217282.</t>
  </si>
  <si>
    <t>2169-8953</t>
  </si>
  <si>
    <t>2169-8961</t>
  </si>
  <si>
    <t>J GEOPHYS RES-BIOGEO</t>
  </si>
  <si>
    <t>J. Geophys. Res.-Biogeosci.</t>
  </si>
  <si>
    <t>FEB 13</t>
  </si>
  <si>
    <t>G01009</t>
  </si>
  <si>
    <t>10.1029/2008JG000753</t>
  </si>
  <si>
    <t>Environmental Sciences; Geosciences, Multidisciplinary</t>
  </si>
  <si>
    <t>406YC</t>
  </si>
  <si>
    <t>WOS:000263329800001</t>
  </si>
  <si>
    <t>Stutchbury, BJM; Tarof, SA; Done, T; Gow, E; Kramer, PM; Tautin, J; Fox, JW; Afanasyev, V</t>
  </si>
  <si>
    <t>Stutchbury, Bridget J. M.; Tarof, Scott A.; Done, Tyler; Gow, Elizabeth; Kramer, Patrick M.; Tautin, John; Fox, James W.; Afanasyev, Vsevolod</t>
  </si>
  <si>
    <t>Tracking Long-Distance Songbird Migration by Using Geolocators</t>
  </si>
  <si>
    <t>STABLE-ISOTOPES; RANGES</t>
  </si>
  <si>
    <t>[Stutchbury, Bridget J. M.; Tarof, Scott A.; Done, Tyler; Gow, Elizabeth; Kramer, Patrick M.] York Univ, Dept Biol, N York, ON M3J 1P3, Canada; [Tautin, John] Tom Ridge Environm Ctr, Purple Martin Conservat Assoc, Erie, PA 16505 USA; [Fox, James W.; Afanasyev, Vsevolod] British Antarctic Survey, NERC, Cambridge CB3 0ET, England</t>
  </si>
  <si>
    <t>York University - Canada; UK Research &amp; Innovation (UKRI); Natural Environment Research Council (NERC); NERC British Antarctic Survey</t>
  </si>
  <si>
    <t>Stutchbury, BJM (corresponding author), York Univ, Dept Biol, 4700 Keele St, N York, ON M3J 1P3, Canada.</t>
  </si>
  <si>
    <t>bstutch@yorku.ca</t>
  </si>
  <si>
    <t>Fox, James W./0000-0002-3107-696X</t>
  </si>
  <si>
    <t>Natural Sciences and Engineering Research Council of Canada; National Geographic Society; Purple Martin Conservation Association; NERC [bas010013] Funding Source: UKRI; Natural Environment Research Council [bas010013] Funding Source: researchfish</t>
  </si>
  <si>
    <t>Natural Sciences and Engineering Research Council of Canada(Natural Sciences and Engineering Research Council of Canada (NSERC)CGIAR); National Geographic Society(National Geographic Society); Purple Martin Conservation Association; NERC(UK Research &amp; Innovation (UKRI)Natural Environment Research Council (NERC)); Natural Environment Research Council(UK Research &amp; Innovation (UKRI)Natural Environment Research Council (NERC))</t>
  </si>
  <si>
    <t>We thank C. Graziano, R. Kresnik, T. MacIntosh, M. MacPherson, E. Pifer, T. Piraino, S. Puppi, C. Silverio, and C. Stanley for field assistance. For funding, we thank the Natural Sciences and Engineering Research Council of Canada, the National Geographic Society, the Purple Martin Conservation Association, and proceeds from (10).</t>
  </si>
  <si>
    <t>10.1126/science.1166664</t>
  </si>
  <si>
    <t>406KW</t>
  </si>
  <si>
    <t>WOS:000263295400031</t>
  </si>
  <si>
    <t>Anderson, OF</t>
  </si>
  <si>
    <t>Anderson, Owen F.</t>
  </si>
  <si>
    <t>The giant purple pedinid-a new species of Caenopedina (Echinodermata: Echinoidea: Pedinidae) from New Zealand and Australia</t>
  </si>
  <si>
    <t>Echinoid; Pedinoida; Caenopedina porphyrogigas sp nov.; C. pulchella; taxonomy</t>
  </si>
  <si>
    <t>CHATHAM RISE; COMMUNITIES; RECORDS</t>
  </si>
  <si>
    <t>Echinoids of the genus Caenopedina are widely distributed in continental shelf and slope waters of tropical to sub-Antarctic regions. A new species, Caenopedina porphyrogigas sp. nov. is described from temperate and sub-Antarctic areas of New Zealand and southeastern Australia in depths of 350-1200 m. This species is distinctive for the rich brown colour of its spines, purple apical and oral regions, large size, wide interambulacral plates, lack of obvious sexual dimorphism, and few forms of pedicellariae. The first confirmed records outside of the Hawaiian Islands and neighbouring atolls of another species in the genus, C. pulchella, reveal its existence also in northern New Zealand, and C. otagoensis, previously considered endemic to New Zealand is recorded from additional locations in the region as well as from a seamount west of Tasmania. An updated key to the species of Caenopedina is provided to include the four Australasian species most recently described.</t>
  </si>
  <si>
    <t>Natl Inst Water &amp; Atmospher Res Ltd, Wellington, New Zealand</t>
  </si>
  <si>
    <t>National Institute of Water &amp; Atmospheric Research (NIWA) - New Zealand</t>
  </si>
  <si>
    <t>Anderson, OF (corresponding author), Natl Inst Water &amp; Atmospher Res Ltd, Private Bag 14 901, Wellington, New Zealand.</t>
  </si>
  <si>
    <t>o.anderson@niwa.co.nz</t>
  </si>
  <si>
    <t>NIWA; New Zealand Foundation for Research, Science, and Technology; New Zealand Ministry of Fisheries (MFish); MFish</t>
  </si>
  <si>
    <t>NIWA; New Zealand Foundation for Research, Science, and Technology(New Zealand Foundation for Research, Science and Technology); New Zealand Ministry of Fisheries (MFish); MFish</t>
  </si>
  <si>
    <t>This research was funded by the NIWA Capability Fund provided by the New Zealand Ministry of Research, Science &amp; Technology (Project Number CTTH073). I am grateful to Don McKnight for providing the inspiration for the name of this new species, to Dennis Gordon and Michelle Carter for their assistance with electron microscopy, and to Wendy Nelson for her support of this work (all NIWA). Thanks also to Tim O'Hara (Museum Victoria), Stephen Keable (Australian Museum), and Rick Webber (Te Papa) for allowing me access to their museums echinoderm collections. The material examined for this research came from a variety of sources: several specimens (including the holotype of C. porphyrogigas) were collected by observers of the New Zealand Ministry of Fisheries; one Australian specimen was taken during the course of a Commonwealth Scientific and Industrial Research Organisation research survey; several specimens were collected as part of a NIWA research programme studying the ecology and effects of fishing on seamounts, funded by the New Zealand Foundation for Research, Science, and Technology and the New Zealand Ministry of Fisheries (MFish). The largest haul of C. porphyrogigas (19 specimens) was caught as part of a NIWA trawl survey of oreos on the south Chatham Rise funded by MFish.</t>
  </si>
  <si>
    <t>FEB 11</t>
  </si>
  <si>
    <t>10.11646/zootaxa.2007.1.2</t>
  </si>
  <si>
    <t>406WV</t>
  </si>
  <si>
    <t>WOS:000263326500002</t>
  </si>
  <si>
    <t>Jenouvrier, S; Caswell, H; Barbraud, C; Holland, M; Stroeve, J; Weimerskirch, H</t>
  </si>
  <si>
    <t>Jenouvrier, Stephanie; Caswell, Hal; Barbraud, Christophe; Holland, Marika; Stroeve, Julienne; Weimerskirch, Henri</t>
  </si>
  <si>
    <t>Demographic models and IPCC climate projections predict the decline of an emperor penguin population</t>
  </si>
  <si>
    <t>bird populations; climate change; quasi-extinction; sea ice; stochastic matrix population models</t>
  </si>
  <si>
    <t>SOUTHERN-OCEAN</t>
  </si>
  <si>
    <t>Studies have reported important effects of recent climate change on Antarctic species, but there has been to our knowledge no attempt to explicitly link those results to forecasted population responses to climate change. Antarctic sea ice extent (SIE) is projected to shrink as concentrations of atmospheric greenhouse gases (GHGs) increase, and emperor penguins (Aptenodytes forsteri) are extremely sensitive to these changes because they use sea ice as a breeding, foraging and molting habitat. We project emperor penguin population responses to future sea ice changes, using a stochastic population model that combines a unique long-term demographic dataset (1962-2005) from a colony in Terre Adelie, Antarctica and projections of SIE from General Circulation Models (GCM) of Earth's climate included in the most recent Intergovernmental Panel on Climate Change (IPCC) assessment report. We show that the increased frequency of warm events associated with projected decreases in SIE will reduce the population viability. The probability of quasi-extinction (a decline of 95% or more) is at least 36% by 2100. The median population size is projected to decline from approximate to 6,000 to approximate to 400 breeding pairs over this period. To avoid extinction, emperor penguins will have to adapt, migrate or change the timing of their growth stages. However, given the future projected increases in GHGs and its effect on Antarctic climate, evolution or migration seem unlikely for such long lived species at the remote southern end of the Earth.</t>
  </si>
  <si>
    <t>[Jenouvrier, Stephanie; Caswell, Hal] Woods Hole Oceanog Inst, Dept Biol, Woods Hole, MA 02543 USA; [Jenouvrier, Stephanie; Barbraud, Christophe; Weimerskirch, Henri] Ctr Natl Rech Sci, Ctr Etud Biol Chize, F-79360 Villers En Bois, France; [Holland, Marika] Natl Ctr Atmospher Res, Oceanog Sect, Boulder, CO 80305 USA; [Stroeve, Julienne] Natl Snow &amp; Ice Data Ctr, Boulder, CO 80309 USA</t>
  </si>
  <si>
    <t>Woods Hole Oceanographic Institution; Centre National de la Recherche Scientifique (CNRS); National Center Atmospheric Research (NCAR) - USA</t>
  </si>
  <si>
    <t>Jenouvrier, S (corresponding author), Woods Hole Oceanog Inst, Dept Biol, MS-34, Woods Hole, MA 02543 USA.</t>
  </si>
  <si>
    <t>sjenouvrier@whoi.edu; hcaswell@whoi.edu</t>
  </si>
  <si>
    <t>Stroeve, Julienne/D-1525-2010; Weimerskirch, Henri/F-5562-2013; Stroeve, Julienne/ABE-7227-2020; Weimerskirch, Henri/K-7306-2019; Barbraud, Christophe/A-5870-2012</t>
  </si>
  <si>
    <t>Weimerskirch, Henri/0000-0002-0457-586X; Barbraud, Christophe/0000-0003-0146-212X; Caswell, Hal/0000-0003-4394-6894; Holland, Marika/0000-0001-5621-8939; jenouvrier, stephanie/0000-0003-3324-2383</t>
  </si>
  <si>
    <t>Expeditions Polaires Francaises; Institut Paul Emile Victor Program [IPEV 109]; Terres Australes et Antarctiques Francaises; The Office of Science; U. S. Department of Energy; Marie-Curie fellowship; UNESCO/L'OREAL Women in Science program; National Science Foundation; Direct For Biological Sciences; Division Of Environmental Biology [0816514] Funding Source: National Science Foundation</t>
  </si>
  <si>
    <t>Expeditions Polaires Francaises; Institut Paul Emile Victor Program; Terres Australes et Antarctiques Francaises; The Office of Science(United States Department of Energy (DOE)); U. S. Department of Energy(United States Department of Energy (DOE)); Marie-Curie fellowship(European Union (EU)); UNESCO/L'OREAL Women in Science program(L'Oreal Group); National Science Foundation(National Science Foundation (NSF)); Direct For Biological Sciences; Division Of Environmental Biology(National Science Foundation (NSF)NSF - Directorate for Biological Sciences (BIO))</t>
  </si>
  <si>
    <t>We thank the wintering fieldworkers involved in the long-term monitoring programs in Terre Adelie since 1963 for their efforts; Dominique Besson for her constant support and help in the management of the database; Christine Hunter for contributing to the modeling approach used here; and 3 reviewers for their comments that improved the manuscript. We thank the National Snow and Ice Data Center, the modeling groups, the Program for Climate Model Diagnosis and Intercomparison (PCMDI) and the WCRP's Working Group on Coupled Modeling (WGCM) for their roles in making available the WCRP CMIP3 multimodel dataset. This work was supported Expeditions Polaires Francaises (for a long-term study from which we derived the penguin data), Institut Paul Emile Victor Program IPEV 109 and Terres Australes et Antarctiques Francaises; The Office of Science, U. S. Department of Energy; a Marie-Curie fellowship (to S. J.); the UNESCO/L'OREAL Women in Science program; and the National Science Foundation (H. C.).</t>
  </si>
  <si>
    <t>1091-6490</t>
  </si>
  <si>
    <t>FEB 10</t>
  </si>
  <si>
    <t>10.1073/pnas.0806638106</t>
  </si>
  <si>
    <t>405VO</t>
  </si>
  <si>
    <t>WOS:000263252500032</t>
  </si>
  <si>
    <t>Adhikari, BN; Wall, DH; Adams, BJ</t>
  </si>
  <si>
    <t>Adhikari, Bishwo N.; Wall, Diana H.; Adams, Byron J.</t>
  </si>
  <si>
    <t>Desiccation survival in an Antarctic nematode: molecular analysis using expressed sequenced tags</t>
  </si>
  <si>
    <t>HEAT-SHOCK PROTEINS; CAENORHABDITIS-ELEGANS; GENE-EXPRESSION; FUNCTIONAL GENOMICS; SOIL NEMATODES; WATER-LOSS; ANHYDROBIOSIS; STRESS; TOLERANCE; ANTIFREEZE</t>
  </si>
  <si>
    <t>Background: Nematodes are the dominant soil animals in Antarctic Dry Valleys and are capable of surviving desiccation and freezing in an anhydrobiotic state. Genes induced by desiccation stress have been successfully enumerated in nematodes; however we have little knowledge of gene regulation by Antarctic nematodes which can survive multiple environmental stresses. To address this problem we investigated the genetic responses of a nematode species, Plectus murrayi, that is capable of tolerating Antarctic environmental extremes, in particular desiccation and freezing. In this study, we provide the first insight into the desiccation induced transcriptome of an Antarctic nematode through cDNA library construction and suppressive subtractive hybridization. Results: We obtained 2,486 expressed sequence tags (ESTs) from 2,586 clones derived from the cDNA library of desiccated P. murrayi. The 2,486 ESTs formed 1,387 putative unique transcripts of which 523 (38%) had matches in the model-nematode Caenorhabditis elegans, 107 (7%) in nematodes other than C. elegans, 153 (11%) in non-nematode organisms and 605 (44%) had no significant match to any sequences in the current databases. The 1,387 unique transcripts were functionally classified by using Gene Ontology (GO) hierarchy and the Kyoto Encyclopedia of Genes and Genomes (KEGG) database. The results indicate that the transcriptome contains a group of transcripts from diverse functional areas. The subtractive library of desiccated nematodes showed 80 transcripts differentially expressed during desiccation stress, of which 28% were metabolism related, 19% were involved in environmental information processing, 28% involved in genetic information processing and 21% were novel transcripts. Expression profiling of 14 selected genes by quantitative Real-time PCR showed 9 genes significantly up-regulated, 3 down-regulated and 2 continuously expressed in response to desiccation. Conclusion: The establishment of a desiccation EST collection for Plectus murrayi, a useful model in assessing the structural, physiological, biochemical and genetic aspects of multiple stress tolerance, is an important step in understanding the genome level response of this nematode to desiccation stress. The type of transcript analysis performed in this study sets the foundation for more detailed functional and genome level analyses of the genes involved in desiccation tolerance in nematodes.</t>
  </si>
  <si>
    <t>[Adhikari, Bishwo N.; Adams, Byron J.] Brigham Young Univ, Dept Microbiol &amp; Mol Biol, Provo, UT 84602 USA; [Wall, Diana H.] Colorado State Univ, Dept Biol, Ft Collins, CO 80523 USA; [Wall, Diana H.] Colorado State Univ, Nat Resource Ecol Lab, Ft Collins, CO 80523 USA; [Adhikari, Bishwo N.; Adams, Byron J.] Brigham Young Univ, Dept Biol &amp; Evolutionary Ecol Labs, Provo, UT 84602 USA</t>
  </si>
  <si>
    <t>Brigham Young University; Colorado State University; Colorado State University; Brigham Young University</t>
  </si>
  <si>
    <t>Adhikari, BN (corresponding author), Brigham Young Univ, Dept Microbiol &amp; Mol Biol, Provo, UT 84602 USA.</t>
  </si>
  <si>
    <t>adhikaribn@hotmail.com; diana@nrel.colostate.edu; bjadams@byu.edu</t>
  </si>
  <si>
    <t>Adhikari, Bishwo N/E-8144-2013; Wall, Diana H/F-5491-2011; Adams, Byron/C-3808-2009</t>
  </si>
  <si>
    <t>Adhikari, Bishwo/0000-0003-4840-9609; Adams, Byron/0000-0002-7815-3352</t>
  </si>
  <si>
    <t>National Science Foundation McMurdo Long Term Ecological Research Project [98-10219]; United States Department of Agriculture CSREES NRI [2005-00903]; Brigham Young University Mentored Environment; Direct For Biological Sciences; Div Of Biological Infrastructure [0821728] Funding Source: National Science Foundation</t>
  </si>
  <si>
    <t>National Science Foundation McMurdo Long Term Ecological Research Project(National Science Foundation (NSF)); United States Department of Agriculture CSREES NRI(United States Department of Agriculture (USDA)National Institute of Food and Agriculture); Brigham Young University Mentored Environment; Direct For Biological Sciences; Div Of Biological Infrastructure(National Science Foundation (NSF)NSF - Directorate for Biological Sciences (BIO))</t>
  </si>
  <si>
    <t>This work was supported by the National Science Foundation McMurdo Long Term Ecological Research Project (OPP #98-10219) to DHW, the United States Department of Agriculture CSREES NRI (2005-00903) to BJA, and a Brigham Young University Mentored Environment Grant to BJA. We thank C-Y Lin, J. Griffitts, and G. F. Burton for their critical advice during the planning and execution of these experiments. We are grateful to J. A. Udall for bioinformatics assistance, and three anonymous reviewers whose constructive criticism significantly improved the paper. Funding for the Open Access publication charges for this article was provided by the Brigham Young University College of Life Sciences and Department of Biology.</t>
  </si>
  <si>
    <t>FEB 9</t>
  </si>
  <si>
    <t>10.1186/1471-2164-10-69</t>
  </si>
  <si>
    <t>441SG</t>
  </si>
  <si>
    <t>Green Published, gold</t>
  </si>
  <si>
    <t>WOS:000265790200001</t>
  </si>
  <si>
    <t>Hofmann, M; Maqueda, MAM</t>
  </si>
  <si>
    <t>Hofmann, M.; Maqueda, M. A. Morales</t>
  </si>
  <si>
    <t>Geothermal heat flux and its influence on the oceanic abyssal circulation and radiocarbon distribution</t>
  </si>
  <si>
    <t>POLYNYA</t>
  </si>
  <si>
    <t>Geothermal heating of abyssal waters is rarely regarded as a significant driver of the large-scale oceanic circulation. Numerical experiments with the Ocean General Circulation Model POTSMOM-1.0 suggest, however, that the impact of geothermal heat flux on deep ocean circulation is not negligible. Geothermal heating contributes to an overall warming of bottom waters by about 0.4 degrees C, decreasing the stability of the water column and enhancing the formation rates of North Atlantic Deep Water and Antarctic Bottom Water by 1.5 Sv (10%) and 3 Sv (33%), respectively. Increased influx of Antarctic Bottom Water leads to a radiocarbon enrichment of Pacific Ocean waters, increasing Delta C-14 values in the deep North Pacific from -269 parts per thousand when geothermal heating is ignored in the model, to -242 parts per thousand when geothermal heating is included. A stronger and deeper Atlantic meridional overturning cell causes warming of the North Atlantic deep western boundary current by up to 1.5 degrees C. Citation: Hofmann, M., and M. A. Morales Maqueda (2009), Geothermal heat flux and its influence on the oceanic abyssal circulation and radiocarbon distribution, Geophys. Res. Lett., 36, L03603, doi: 10.1029/2008GL036078.</t>
  </si>
  <si>
    <t>[Hofmann, M.] Potsdam Inst Climate Impact Res, D-14473 Potsdam, Germany; [Maqueda, M. A. Morales] NERC, Proudman Oceanog Lab, Liverpool L3 5DA, Merseyside, England</t>
  </si>
  <si>
    <t>Potsdam Institut fur Klimafolgenforschung; NERC National Oceanography Centre; UK Research &amp; Innovation (UKRI); Natural Environment Research Council (NERC)</t>
  </si>
  <si>
    <t>Hofmann, M (corresponding author), Potsdam Inst Climate Impact Res, Res Domain 1,Telegrafenberg A26, D-14473 Potsdam, Germany.</t>
  </si>
  <si>
    <t>hofmann@pik-potsdam.de; mamm@pol.ac.uk</t>
  </si>
  <si>
    <t>Maqueda, Miguel Angel Morales/AAJ-8138-2020</t>
  </si>
  <si>
    <t>Garry Comer foundation; NERC [pol010005, soc010007] Funding Source: UKRI; Natural Environment Research Council [pol010005, soc010007] Funding Source: researchfish</t>
  </si>
  <si>
    <t>Garry Comer foundation; NERC(UK Research &amp; Innovation (UKRI)Natural Environment Research Council (NERC)); Natural Environment Research Council(UK Research &amp; Innovation (UKRI)Natural Environment Research Council (NERC))</t>
  </si>
  <si>
    <t>M. H. was funded by the Garry Comer foundation. We are grateful to E. Bauer and R. Calov for constructive comments on the manuscript.</t>
  </si>
  <si>
    <t>FEB 6</t>
  </si>
  <si>
    <t>L03603</t>
  </si>
  <si>
    <t>10.1029/2008GL036078</t>
  </si>
  <si>
    <t>404SY</t>
  </si>
  <si>
    <t>WOS:000263174500003</t>
  </si>
  <si>
    <t>Crame, JA</t>
  </si>
  <si>
    <t>Crame, J. Alistair</t>
  </si>
  <si>
    <t>EVOLUTION Time's Stamp on Modern Biogeography</t>
  </si>
  <si>
    <t>DIVERSITY; DIVERSIFICATION; EXTINCTION; HISTORY</t>
  </si>
  <si>
    <t>[Crame, J. Alistair] British Antarctic Survey, Cambridge CB3 0ET, England</t>
  </si>
  <si>
    <t>Crame, JA (corresponding author), British Antarctic Survey, Madingley Rd, Cambridge CB3 0ET, England.</t>
  </si>
  <si>
    <t>jacr@bas.ac.uk</t>
  </si>
  <si>
    <t>Natural Environment Research Council [bas0100026] Funding Source: researchfish; NERC [bas0100026] Funding Source: UKRI</t>
  </si>
  <si>
    <t>10.1126/science.1169410</t>
  </si>
  <si>
    <t>403EV</t>
  </si>
  <si>
    <t>WOS:000263066800026</t>
  </si>
  <si>
    <t>Mitrovica, JX; Gomez, N; Clark, PU</t>
  </si>
  <si>
    <t>Mitrovica, Jerry X.; Gomez, Natalya; Clark, Peter U.</t>
  </si>
  <si>
    <t>The Sea-Level Fingerprint of West Antarctic Collapse</t>
  </si>
  <si>
    <t>[Mitrovica, Jerry X.; Gomez, Natalya] Univ Toronto, Dept Phys, Toronto, ON M5S 1A7, Canada; [Clark, Peter U.] Oregon State Univ, Dept Geosci, Corvallis, OR 97331 USA</t>
  </si>
  <si>
    <t>University of Toronto; Oregon State University</t>
  </si>
  <si>
    <t>Mitrovica, JX (corresponding author), Univ Toronto, Dept Phys, 60 St George St, Toronto, ON M5S 1A7, Canada.</t>
  </si>
  <si>
    <t>Gomez, Natalya/AAU-4323-2020</t>
  </si>
  <si>
    <t>Gomez, Natalya/0000-0002-2463-7917</t>
  </si>
  <si>
    <t>Canadian Institute for Advanced Research; Natural Sciences and Engineering Research Council of Canada; John Simon Guggenheim Memorial Foundation; NSF</t>
  </si>
  <si>
    <t>Canadian Institute for Advanced Research(Canadian Institute for Advanced Research (CIFAR)); Natural Sciences and Engineering Research Council of Canada(Natural Sciences and Engineering Research Council of Canada (NSERC)CGIAR); John Simon Guggenheim Memorial Foundation; NSF(National Science Foundation (NSF))</t>
  </si>
  <si>
    <t>We thank the Canadian Institute for Advanced Research, the Natural Sciences and Engineering Research Council of Canada, the John Simon Guggenheim Memorial Foundation, and NSF for support.</t>
  </si>
  <si>
    <t>10.1126/science.1166510</t>
  </si>
  <si>
    <t>WOS:000263066800037</t>
  </si>
  <si>
    <t>Makowski, K; Bialkowska, A; Olczak, J; Kur, J; Turkiewicz, M</t>
  </si>
  <si>
    <t>Makowski, K.; Bialkowska, A.; Olczak, J.; Kur, J.; Turkiewicz, M.</t>
  </si>
  <si>
    <t>Antarctic, cold-adapted β-galactosidase of Pseudoalteromonas sp 22b as an effective tool for alkyl galactopyranosides synthesis</t>
  </si>
  <si>
    <t>ENZYME AND MICROBIAL TECHNOLOGY</t>
  </si>
  <si>
    <t>beta-Galactosidase; Psychrophilic; Alkyl galactopyranosides; Biosurfactants; Konnigs-Knorr</t>
  </si>
  <si>
    <t>ENZYMATIC-SYNTHESIS; CATALYZED SYNTHESIS; TRANSGLYCOSYLATION; LACTOSE; GLYCOSIDASE</t>
  </si>
  <si>
    <t>The antarctic Neudoalteromonas sp. 22b beta-galactosidase was found to catalyze synthesis of alkyl galactopyranosides. The number of carbon atoms in C3-C6 alcohol molecules only slightly affected the yield of products. Reactions of transgalactosylation were conducted for 80 h and the maximum accumulation of their products was observed between 40 and 50 h. The highest and almost the same yields of alkyl galactosides were achieved at pH 6-9 and 10-30% water concentration. Like known mesophilic beta-galactosidases, the antarctic enzyme more efficiently synthesized alkyl galactosides when reactions were carried out in mixtures of buffers and organic solvents (below 50%, v/v). (c) 2008 Elsevier Inc. All rights reserved.</t>
  </si>
  <si>
    <t>[Makowski, K.; Bialkowska, A.; Turkiewicz, M.] Tech Univ Lodz, Inst Tech Biochem, PL-90924 Lodz, Poland; [Olczak, J.] TriMen Chem Ltd, PL-92318 Lodz, Poland; [Kur, J.] Gdansk Univ Technol, Dept Microbiol, PL-80952 Gdansk, Poland</t>
  </si>
  <si>
    <t>Lodz University of Technology; Fahrenheit Universities; Gdansk University of Technology</t>
  </si>
  <si>
    <t>Makowski, K (corresponding author), Tech Univ Lodz, Inst Tech Biochem, Stefanowskiego 4-10, PL-90924 Lodz, Poland.</t>
  </si>
  <si>
    <t>krzymak@o2.pl</t>
  </si>
  <si>
    <t>Białkowska, Aneta/P-4481-2019</t>
  </si>
  <si>
    <t>Białkowska, Aneta/0000-0001-7319-238X; Olczak, Jacek/0000-0001-9932-2373</t>
  </si>
  <si>
    <t>0141-0229</t>
  </si>
  <si>
    <t>1879-0909</t>
  </si>
  <si>
    <t>ENZYME MICROB TECH</t>
  </si>
  <si>
    <t>Enzyme Microb. Technol.</t>
  </si>
  <si>
    <t>FEB 5</t>
  </si>
  <si>
    <t>10.1016/j.enzmictec.2008.09.010</t>
  </si>
  <si>
    <t>Biotechnology &amp; Applied Microbiology</t>
  </si>
  <si>
    <t>401FS</t>
  </si>
  <si>
    <t>WOS:000262925800001</t>
  </si>
  <si>
    <t>Akiyoshi, H; Zhou, LB; Yamashita, Y; Sakamoto, K; Yoshiki, M; Nagashima, T; Takahashi, M; Kurokawa, J; Takigawa, M; Imamura, T</t>
  </si>
  <si>
    <t>Akiyoshi, H.; Zhou, L. B.; Yamashita, Y.; Sakamoto, K.; Yoshiki, M.; Nagashima, T.; Takahashi, M.; Kurokawa, J.; Takigawa, M.; Imamura, T.</t>
  </si>
  <si>
    <t>A CCM simulation of the breakup of the Antarctic polar vortex in the years 1980-2004 under the CCMVal scenarios</t>
  </si>
  <si>
    <t>QUASI-BIENNIAL OSCILLATION; GENERAL-CIRCULATION MODEL; INTERANNUAL VARIABILITY; TOTAL OZONE; MIDDLE ATMOSPHERE; DYNAMICAL CHANGES; EQUATORIAL QBO; STRATOSPHERE; AEROSOL; CHEMISTRY</t>
  </si>
  <si>
    <t>The changes in breakup time of the Antarctic polar vortex in the years 1980-2004 are examined using the output of chemistry climate model (CCM) calculations, data from the National Centers for Environmental Prediction/the National Center for Atmospheric Research (NCEP/NCAR) Reanalysis, and data from the European Center for Medium-Range Weather Forecasts Reanalysis (ERA40). The CCM used in this study is from the Center for Climate System Research/National Institute for Environmental Studies (CCSR/NIES). The CCM calculations are performed with the two ensemble members for REF1 scenario of the chemistry climate model validation (CCMVal) and the one ensemble member for the REF2 scenario. CCM simulates the development of the ozone hole from 1982 to 2000, as observed with a total ozone mapping spectrometer (TOMS), although the year-to-year variation is different from the observation owing to the internal variability of CCM and the ozone decreasing trends of CCM ozone in the two ensemble members of REF1 are underestimated. The trends in temperature and zonal mean zonal wind are analyzed and compared with the observations. There is consistency among the trends in zonal mean temperature, zonal mean zonal wind, and total ozone, but they differ among the ensemble members and observations. The diabatic heating rates and Eliassen-Palm flux fields are investigated in order to explain the differences. A delay trend in the breakup time of the Antarctic polar vortex is obtained for the period of 1980-1999 in the NCEP/NCAR and ERA40 data. A similar trend is also obtained from the CCM simulations, with statistical significance in one ensemble member of REF1 and REF2. Because the trends of the observations in the EP flux from the troposphere and its deposition in the lower stratosphere are consistent with an advanced breakup date of the polar vortex and because the trends of the CCM simulations are very small, it is likely that the Antarctic ozone depletion had some effect on the delay during the period 1980-1999. From 2000 to 2004, the NCEP/NCAR data show a large variation in breakup time, which makes the delay trend much less important. It is likely that the large variation in wave flux masked the effects of the ozone loss during that period. The two ensemble members of the REF1 simulation do not show such a dramatic change in the trend for the period 2000-2004, whereas REF2 shows a change in the trend for that period.</t>
  </si>
  <si>
    <t>[Akiyoshi, H.; Imamura, T.] Natl Inst Environm Studies, Div Atmospher Environm, Tsukuba, Ibaraki 3058506, Japan; [Yamashita, Y.; Takahashi, M.] Univ Tokyo, Ctr Climate Syst Res, Chiba 2778568, Japan; [Nagashima, T.; Kurokawa, J.] Natl Inst Environm Studies, Asian Environm Res Grp, Tsukuba, Ibaraki 3058506, Japan; [Takigawa, M.] Japan Agcy Marine Earth Sci &amp; Technol, Frontier Res Ctr Global Change, Kanazawa Ku, Kanagawa 2360001, Japan; [Kurokawa, J.] Fujitsu FIP Corp, Tokyo, Japan</t>
  </si>
  <si>
    <t>National Institute for Environmental Studies - Japan; University of Tokyo; National Institute for Environmental Studies - Japan; Japan Agency for Marine-Earth Science &amp; Technology (JAMSTEC); Fujitsu Ltd</t>
  </si>
  <si>
    <t>Akiyoshi, H (corresponding author), Natl Inst Environm Studies, Div Atmospher Environm, 16-2 Onogawa, Tsukuba, Ibaraki 3058506, Japan.</t>
  </si>
  <si>
    <t>hakiyosi@nies.go.jp; zhoulibo@mail.iap.ac.cn; yousuke@ccsr.u-tokyo.ac.jp; kei.sakamoto@ana.co.jp; myoshiki43@gmail.com; nagashima.tatsuya@nies.go.jp; masaaki@ccsr.u-tokyo.ac.jp; kurokawa.junichi@nies.go.jp; takigawa@jamstec.go.jp; imamura@nies.go.jp</t>
  </si>
  <si>
    <t>Zhou, Libo/AAH-6087-2020; Akiyoshi, Hideharu/H-8170-2018; Takigawa, Masayuki/M-2095-2014; Yamashita, Yousuke/AAB-4754-2019</t>
  </si>
  <si>
    <t>Yamashita, Yousuke/0000-0002-6813-4668; Libo, Zhou/0000-0002-6195-7362; Akiyoshi, Hideharu/0000-0001-6463-9004</t>
  </si>
  <si>
    <t>Global Environmental Research Fund (GERF) of the Ministry of the Environment (MOE) of Japan [A-071]; Ministry of Education, Culture, Sports, Science, and Technology (MEXT) of Japan [19340138]; Innovative Program of Climate Change Projection for the 21st Century of MEXT; Grants-in-Aid for Scientific Research [19340138] Funding Source: KAKEN</t>
  </si>
  <si>
    <t>Global Environmental Research Fund (GERF) of the Ministry of the Environment (MOE) of Japan; Ministry of Education, Culture, Sports, Science, and Technology (MEXT) of Japan(Ministry of Education, Culture, Sports, Science and Technology, Japan (MEXT)); Innovative Program of Climate Change Projection for the 21st Century of MEXT(Ministry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</si>
  <si>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thank anonymous reviewers for many useful comments that improved the manuscript. Computations were made on the NEC SX-6 and SX-8R computers at the Center for Global Environmental Research (CGER) of NIES. This work was supported by the Global Environmental Research Fund (GERF) of the Ministry of the Environment (MOE) of Japan (A-071), a grant-in-aid for scientific research from Ministry of Education, Culture, Sports, Science, and Technology (MEXT) of Japan (19340138), and Innovative Program of Climate Change Projection for the 21st Century of MEXT.</t>
  </si>
  <si>
    <t>D03103</t>
  </si>
  <si>
    <t>10.1029/2007JD009261</t>
  </si>
  <si>
    <t>404TH</t>
  </si>
  <si>
    <t>WOS:000263175400001</t>
  </si>
  <si>
    <t>Aronson, RB; Moody, RM; Ivany, LC; Blake, DB; Werner, JE; Glass, A</t>
  </si>
  <si>
    <t>Aronson, Richard B.; Moody, Ryan M.; Ivany, Linda C.; Blake, Daniel B.; Werner, John E.; Glass, Alexander</t>
  </si>
  <si>
    <t>Climate Change and Trophic Response of the Antarctic Bottom Fauna</t>
  </si>
  <si>
    <t>BRACHIOPODS; EOCENE; SHELF; PREDATION; COMMUNITY; BIOLOGY; RECORD</t>
  </si>
  <si>
    <t>Background: As Earth warms, temperate and subpolar marine species will increasingly shift their geographic ranges poleward. The endemic shelf fauna of Antarctica is especially vulnerable to climate-mediated biological invasions because cold temperatures currently exclude the durophagous (shell-breaking) predators that structure shallow-benthic communities elsewhere. Methodology/Principal Findings: We used the Eocene fossil record from Seymour Island, Antarctic Peninsula, to project specifically how global warming will reorganize the nearshore benthos of Antarctica. A long-term cooling trend, which began with a sharp temperature drop similar to 41 Ma (million years ago), eliminated durophagous predators-teleosts (modern bony fish), decapod crustaceans (crabs and lobsters) and almost all neoselachian elasmobranchs (modern sharks and rays) from Antarctic nearshore waters after the Eocene. Even prior to those extinctions, durophagous predators became less active as coastal sea temperatures declined from 41 Ma to the end of the Eocene, similar to 33.5 Ma. In response, dense populations of suspension-feeding ophiuroids and crinoids abruptly appeared. Dense aggregations of brachiopods transcended the cooling event with no apparent change in predation pressure, nor were there changes in the frequency of shell-drilling predation on venerid bivalves. Conclusions/Significance: Rapid warming in the Southern Ocean is now removing the physiological barriers to shell-breaking predators, and crabs are returning to the Antarctic Peninsula. Over the coming decades to centuries, we predict a rapid reversal of the Eocene trends. Increasing predation will reduce or eliminate extant dense populations of suspension-feeding echinoderms from nearshore habitats along the Peninsula while brachiopods will continue to form large populations, and the intensity of shell-drilling predation on infaunal bivalves will not change appreciably. In time the ecological effects of global warming could spread to other portions of the Antarctic coast. The differential responses of faunal components will reduce the endemic character of Antarctic subtidal communities, homogenizing them with nearshore communities at lower latitudes.</t>
  </si>
  <si>
    <t>[Aronson, Richard B.] Florida Inst Technol, Dept Biol Sci, Melbourne, FL 32901 USA; [Aronson, Richard B.; Moody, Ryan M.] Dauphin Isl Sea Lab, Dauphin Isl, AL USA; [Moody, Ryan M.] Univ S Alabama, Dept Marine Sci, Mobile, AL USA; [Ivany, Linda C.] Syracuse Univ, Dept Earth Sci, Syracuse, NY 13244 USA; [Blake, Daniel B.; Werner, John E.; Glass, Alexander] Univ Illinois, Dept Geol, Urbana, IL USA</t>
  </si>
  <si>
    <t>Florida Institute of Technology; Dauphin Island Sea Lab; University of South Alabama; Syracuse University; University of Illinois System; University of Illinois Urbana-Champaign</t>
  </si>
  <si>
    <t>Aronson, RB (corresponding author), Florida Inst Technol, Dept Biol Sci, Melbourne, FL 32901 USA.</t>
  </si>
  <si>
    <t>raronson@fit.edu</t>
  </si>
  <si>
    <t>Office of Polar Programs, US National Science Foundation [OPP-9908828, ANT-0245563, OPP-9908856, OPP-0125409]</t>
  </si>
  <si>
    <t>Office of Polar Programs, US National Science Foundation(National Science Foundation (NSF))</t>
  </si>
  <si>
    <t>This study was funded by the Office of Polar Programs, US National Science Foundation (grants OPP-9908828 and ANT-0245563 to RBA, OPP-9908856 to DBB, and OPP-0125409 to LCI). NSF had no role in study design, data collection and analysis, decision to publish, or preparation of the manuscript.</t>
  </si>
  <si>
    <t>e4385</t>
  </si>
  <si>
    <t>10.1371/journal.pone.0004385</t>
  </si>
  <si>
    <t>437JL</t>
  </si>
  <si>
    <t>Green Submitted, Green Published, gold</t>
  </si>
  <si>
    <t>WOS:000265483600012</t>
  </si>
  <si>
    <t>Major, L; La Linn, M; Slade, RW; Schroder, WA; Hyatt, AD; Gardner, J; Cowley, J; Suhrbier, A</t>
  </si>
  <si>
    <t>Major, Lee; La Linn, May; Slade, Robert W.; Schroder, Wayne A.; Hyatt, Alex D.; Gardner, Joy; Cowley, Jeff; Suhrbier, Andreas</t>
  </si>
  <si>
    <t>Ticks Associated with Macquarie Island Penguins Carry Arboviruses from Four Genera</t>
  </si>
  <si>
    <t>Macquarie Island, a small subantarctic island, is home to rockhopper, royal and king penguins, which are often infested with the globally distributed seabird tick, Ixodes uriae. A flavivirus, an orbivirus, a phlebovirus, and a nairovirus were isolated from these ticks and partial sequences obtained. The flavivirus was nearly identical to Gadgets Gully virus, isolated some 30 year previously, illustrating the remarkable genetic stability of this virus. The nearest relative to the orbivirus (for which we propose the name Sandy Bay virus) was the Scottish Broadhaven virus, and provided only the second available sequences from the Great Island orbivirus serogroup. The phlebovirus (for which we propose the name Catch-me-cave virus) and the previously isolated Precarious Point virus were distinct but related, with both showing homology with the Finnish Uukuniemi virus. These penguin viruses provided the second and third available sequences for the Uukuniemi group of phleboviruses. The nairovirus (for which we propose the name Finch Creek virus) was shown to be related to the North American Tillamook virus, the Asian Hazara virus and Nairobi sheep disease virus. Macquarie Island penguins thus harbour arboviruses from at least four of the seven arbovirus-containing genera, with related viruses often found in the northern hemisphere.</t>
  </si>
  <si>
    <t>[Major, Lee; La Linn, May; Schroder, Wayne A.; Gardner, Joy; Suhrbier, Andreas] Queensland Inst Med Res, Brisbane, Qld 4006, Australia; [Slade, Robert W.] So Cross Univ, Lismore, NSW, Australia; [Hyatt, Alex D.] CSIRO, Australian Animal Hlth Lab, Geelong, Vic, Australia; [Cowley, Jeff] CSIRO, Livestock Indust, Brisbane, Qld, Australia</t>
  </si>
  <si>
    <t>QIMR Berghofer Medical Research Institute; Southern Cross University; Commonwealth Scientific &amp; Industrial Research Organisation (CSIRO); Commonwealth Scientific &amp; Industrial Research Organisation (CSIRO)</t>
  </si>
  <si>
    <t>Major, L (corresponding author), Queensland Inst Med Res, Brisbane, Qld 4006, Australia.</t>
  </si>
  <si>
    <t>andreasS@qimr.edu.au</t>
  </si>
  <si>
    <t>Cowley, Jeff A/H-7553-2013</t>
  </si>
  <si>
    <t>Cowley, Jeff/0000-0003-0454-4825; Suhrbier, Andreas/0000-0001-8986-9025</t>
  </si>
  <si>
    <t>Australian Antarctic Science Advisory Committee (Project 1334); Australian Centre for International and Tropical Health; Australian Antarctic Division, NH&amp;MRC Australia</t>
  </si>
  <si>
    <t>Australian Antarctic Science Advisory Committee (Project 1334); Australian Centre for International and Tropical Health; Australian Antarctic Division, NH&amp;MRC Australia(National Health &amp; Medical Research Council (NHMRC) of Australia)</t>
  </si>
  <si>
    <t>Funding was provided by the Australian Antarctic Science Advisory Committee (Project 1334) and the Australian Centre for International and Tropical Health. Australian Antarctic Division, NH&amp;MRC Australia. The funders had no role in study design, data collection and analysis, decision to publish, or preparation of the manuscript.</t>
  </si>
  <si>
    <t>e4375</t>
  </si>
  <si>
    <t>10.1371/journal.pone.0004375</t>
  </si>
  <si>
    <t>Green Published, gold, Green Submitted</t>
  </si>
  <si>
    <t>WOS:000265483600008</t>
  </si>
  <si>
    <t>Haranczyk, H; Bacior, M; Jastrzebska, P; Olech, MA</t>
  </si>
  <si>
    <t>Haranczyk, H.; Bacior, M.; Jastrzebska, P.; Olech, M. A.</t>
  </si>
  <si>
    <t>Deep Dehydration of Antarctic Lichen Leptogium puberulum Hue Observed by NMR and Sorption Isotherm</t>
  </si>
  <si>
    <t>ACTA PHYSICA POLONICA A</t>
  </si>
  <si>
    <t>42nd Zakopane School of Physics International Symposium Breaking Frontiers</t>
  </si>
  <si>
    <t>MAY 19-25, 2008</t>
  </si>
  <si>
    <t>Zakopane, POLAND</t>
  </si>
  <si>
    <t>PROTON MAGNETIC-RELAXATION; DIFFERENT HYDRATION LEVELS; PHYSIOLOGICAL INVESTIGATIONS; CLADONIA-MITIS; INITIAL-STAGES; BOUND WATER; PHOTOSYNTHESIS; DESICCATION; CRYPTOGAMS; THALLUS</t>
  </si>
  <si>
    <t>Hydration kinetics, sorption isotherm, and proton free induction decays are measured for Leptogium puberulum Hue thalli hydrated from gaseous phase. Very tightly, tightly and loosely bound water fraction axe distinguished. The hydration dependence of mobile NMR signal component is non-linear and fitted well by rational function, which suggest the presence of water soluble solid (presumably carbohydrate) fraction in thallus structures of L. puberulum.</t>
  </si>
  <si>
    <t>[Haranczyk, H.; Bacior, M.; Jastrzebska, P.] Jagiellonian Univ, Inst Phys, PL-30059 Krakow, Poland; [Olech, M. A.] Jagiellonian Univ, Inst Bot, PL-31501 Krakow, Poland; [Olech, M. A.] Polish Acad Sci, Dept Antarctic Biol, PL-02141 Warsaw, Poland</t>
  </si>
  <si>
    <t>Jagiellonian University; Jagiellonian University; Polish Academy of Sciences</t>
  </si>
  <si>
    <t>Haranczyk, H (corresponding author), Jagiellonian Univ, Inst Phys, Reymonta 4, PL-30059 Krakow, Poland.</t>
  </si>
  <si>
    <t>hubert.haranczyk@uj.edu.pl</t>
  </si>
  <si>
    <t>Bacior, Magdalena/JNR-7147-2023</t>
  </si>
  <si>
    <t>Bacior, Magdalena/0000-0003-4615-9458</t>
  </si>
  <si>
    <t>POLISH ACAD SCIENCES INST PHYSICS</t>
  </si>
  <si>
    <t>WARSAW</t>
  </si>
  <si>
    <t>AL LOTNIKOW 32-46, PL-02-668 WARSAW, POLAND</t>
  </si>
  <si>
    <t>0587-4246</t>
  </si>
  <si>
    <t>ACTA PHYS POL A</t>
  </si>
  <si>
    <t>Acta Phys. Pol. A</t>
  </si>
  <si>
    <t>FEB</t>
  </si>
  <si>
    <t>10.12693/APhysPolA.115.516</t>
  </si>
  <si>
    <t>427NC</t>
  </si>
  <si>
    <t>WOS:000264785000016</t>
  </si>
  <si>
    <t>Maksymchuk, VY; Bakhmutov, VG; Horodyskyy, YM; Chobotok, IO</t>
  </si>
  <si>
    <t>Maksymchuk, Valentin Yu.; Bakhmutov, Vladimir G.; Horodyskyy, Yurij M.; Chobotok, Ihor O.</t>
  </si>
  <si>
    <t>Results and perspectives of tectonomagnetic investigations in the Western Antarctic</t>
  </si>
  <si>
    <t>Symposium on Geomagnetic Measurements in Remote Regions held at the General Assembly of IUGG</t>
  </si>
  <si>
    <t>JUL 02-12, 2007</t>
  </si>
  <si>
    <t>Perugia, ITALY</t>
  </si>
  <si>
    <t>tectonomagnetic anomaly; geodynamics; stretching tectonic forces</t>
  </si>
  <si>
    <t>MAGNETIC-FIELD</t>
  </si>
  <si>
    <t>The results of long-term (1998-2005 yrs.) tectonomagnetic investigations in the Western Antarctic near the location of Ukrainian Antarctic Station Academic Vernadsky are reviewed. The peculiarities of the Earth's anomalous magnetic field and its dynamic temporal variations (tectonomagnetic anomalies) were studied using the newly founded tectonomagnetic polygon. Near the Argentine Archipelago intensive tectonomagnetic effects up to -2.8 nT/year were determined. Their spatial-temporal structure agrees with tectonic structure elements. We suggest that the nature of such effects is caused by a piezomagnetic effect under the influence of stretching tectonic forces (few bars per year) in sub-latitudinal direction. Perspectives of tectonornagnetic investigations in the region are discussed.</t>
  </si>
  <si>
    <t>[Maksymchuk, Valentin Yu.; Horodyskyy, Yurij M.; Chobotok, Ihor O.] Ukrainian Natl Acad Sci, SI Subbotins Inst Geophys, Carpathian Branch, Lvov, Ukraine</t>
  </si>
  <si>
    <t>National Academy of Sciences Ukraine; Subbotin Institute of Geophysics, National Academy of Sciences of Ukraine</t>
  </si>
  <si>
    <t>Maksymchuk, VY (corresponding author), Ukrainian Natl Acad Sci, SI Subbotins Inst Geophys, Carpathian Branch, Lvov, Ukraine.</t>
  </si>
  <si>
    <t>depart10@cb-igph.lviv.ua</t>
  </si>
  <si>
    <t>Valentyn, Maksymchuk/AAK-8076-2021; Chobotok, Ihor/AAD-4257-2020; Maksymchuk, Valentyn/AAD-8011-2020; Volodymyr, Bakhmutov/A-8508-2019</t>
  </si>
  <si>
    <t>Valentyn, Maksymchuk/0000-0003-3954-6521; Chobotok, Ihor/0000-0001-5517-6650; Bakhmutov, Vladimir/0000-0003-3804-9953</t>
  </si>
  <si>
    <t>459EO</t>
  </si>
  <si>
    <t>WOS:000267083800005</t>
  </si>
  <si>
    <t>Torta, JM; Marsal, S; Riddick, JC; Vilella, C; Altadill, D; Blanch, E; Cid, O; Curto, JJ; De Santis, A; Gaya-Piqué, LR; Mauricio, J; Pijoan, JL; Solé, JG; Ugalde, A</t>
  </si>
  <si>
    <t>Miquel Torta, J.; Marsal, Santiago; Riddick, John C.; Vilella, Carles; Altadill, David; Blanch, Estefania; Cid, Oscar; Curto, Joan J.; De Santis, Angelo; Gaya-Pique, Luis R.; Mauricio, Joan; Pijoan, Joan L.; German Sole, J.; Ugalde, Arantza</t>
  </si>
  <si>
    <t>An example of operation for a partly manned Antarctic geomagnetic observatory and the development of a radio link for data transmission</t>
  </si>
  <si>
    <t>geomagnetic observatories; geophysical instrumentation; data transmission; HF radio</t>
  </si>
  <si>
    <t>MULTIPATH SPREAD; DRAKE PASSAGE; DOPPLER; RIDGE; FIELD</t>
  </si>
  <si>
    <t>The experience acquired froth more than ten years of operation of an Antarctic geomagnetic observatory is described along with the development of data transmission facilities. The observatory was deployed at the Spanish Antarctic Station in 1996. The main instrument was an Overhauser magnetometer deployed in dual axis Helmholtz coils, a delta D/delta I configuration. The site is only manned during the summer, with the magnetometer left recording throughout the rest of the year. During the 2007-2008 survey the observatory instrumentation has been upgraded with a DMI suspended triaxial fluxgate magnetometer, new sampling hardware and data logging software. Both sampling and timing are carried out tinder the control of a PIC based microcontroller and GPS receiver. Data presentation, transmission and archiving are performed tinder the control of a low power embedded PC. For real time access to the data two options have been provided and rigorously tested during the last 10 years: METEOSAT and GOES Data Collection Systems, and recently, a high frequency (HF) digital radio-link, using ionospheric propagation between Antarctica and Spain, has been developed. This latest transmission system is being continuously upgraded, and it would be possible to extend its application to other remote stations. Measurements have been made during the last four years in order to determine the channel characteristics and its variability, mainly the multipath and Doppler spread and the link availability for a given SNR in the receiver. These measurements are being used to design the physical layer of a radiomodem intended to maximize the link capacity keeping the emitted power low.</t>
  </si>
  <si>
    <t>[Miquel Torta, J.; Marsal, Santiago; Riddick, John C.; Altadill, David; Blanch, Estefania; Cid, Oscar; Curto, Joan J.; German Sole, J.; Ugalde, Arantza] Univ Ramon Llull, CSIC, Observ Ebre, Roquetes 43520, Spain; [De Santis, Angelo] Ist Nazl Geofis &amp; Vulcanol, Rome, Italy; [Gaya-Pique, Luis R.] CNRS, Inst Phys Globe, Equipe Geomagnetisme, Paris, France</t>
  </si>
  <si>
    <t>Universitat Ramon Llull; Ebre Observatory; Consejo Superior de Investigaciones Cientificas (CSIC); Istituto Nazionale Geofisica e Vulcanologia (INGV); Centre National de la Recherche Scientifique (CNRS); Universite Paris Cite</t>
  </si>
  <si>
    <t>Torta, JM (corresponding author), Univ Ramon Llull, CSIC, Observ Ebre, Horta Alta 38, Roquetes 43520, Spain.</t>
  </si>
  <si>
    <t>jmtorta@obsebre.es</t>
  </si>
  <si>
    <t>Cid, Oscar/ABF-5568-2020; De Santis, Angelo/AAG-2895-2021; Torta, Joan Miquel/C-7614-2014; Ugalde, Arantza/Z-2091-2019; Blanch Llosa, Estefania/L-7046-2014; Altadill, David/K-9309-2014; Marsal, Santiago/K-4415-2014; Pijoan, Joan Lluis/S-3319-2018; Mauricio-Ferre, J./N-2605-2014</t>
  </si>
  <si>
    <t>Cid, Oscar/0000-0002-5101-0626; Torta, Joan Miquel/0000-0002-4340-7308; Ugalde, Arantza/0000-0003-2409-2002; Blanch Llosa, Estefania/0000-0002-8438-2776; Altadill, David/0000-0001-7730-385X; Marsal, Santiago/0000-0001-8675-7781; Pijoan, Joan Lluis/0000-0002-1796-8216; Mauricio-Ferre, J./0000-0002-9331-1363</t>
  </si>
  <si>
    <t>WOS:000267083800006</t>
  </si>
  <si>
    <t>Walton, DWH</t>
  </si>
  <si>
    <t>Walton, David W. H.</t>
  </si>
  <si>
    <t>Expectations and realities - managing the Antarctic environment</t>
  </si>
  <si>
    <t>Walton, David/0000-0002-7103-4043</t>
  </si>
  <si>
    <t>10.1017/S0954102009001771</t>
  </si>
  <si>
    <t>407UF</t>
  </si>
  <si>
    <t>WOS:000263389100001</t>
  </si>
  <si>
    <t>Tin, T; Fleming, ZL; Hughes, KA; Ainley, DG; Convey, P; Moreno, CA; Pfeiffer, S; Scott, J; Snape, I</t>
  </si>
  <si>
    <t>Tin, T.; Fleming, Z. L.; Hughes, K. A.; Ainley, D. G.; Convey, P.; Moreno, C. A.; Pfeiffer, S.; Scott, J.; Snape, I.</t>
  </si>
  <si>
    <t>Impacts of local human activities on the Antarctic environment</t>
  </si>
  <si>
    <t>Antarctic Treaty System; contamination; ecosystem based management; human impacts; non-indigenous species; tourism</t>
  </si>
  <si>
    <t>SOFT-SEDIMENT ASSEMBLAGES; HEAVY-METAL CONTAMINATION; ORGANIC POLLUTANTS POPS; KING GEORGE ISLAND; MCMURDO-STATION; SOUTHERN-OCEAN; MARINE-SEDIMENTS; ADELIE PENGUINS; CASEY-STATION; CLOSTRIDIUM-PERFRINGENS</t>
  </si>
  <si>
    <t>We review the scientific literature, especially from the past decade, on the impacts of human activities on the Antarctic environment. A range of impacts has been identified at a variety of spatial and temporal scales. Chemical contamination and sewage disposal on the continent have been found to be long-lived. Contemporary sewage management practices at many coastal stations are insufficient to prevent local contamination but no introduction of non-indigenous organisms through this route has yet been demonstrated. Human activities, particularly construction and transport, have led to disturbances of flora and fauna. A small number of non-indigenous plant and animal species has become established, mostly on the northern Antarctic Peninsula and southern archipelagos of the Scotia Arc. There is little indication of recovery of overexploited fish stocks, and ramifications of fishing activity oil bycatch species and the ecosystem could also be far-reaching. The Antarctic Treaty System and its instruments, in particular the Convention for the Conservation of Antarctic Marine Living Resources and the Environmental Protocol, provide a framework within which management of human activities take place. In the face of the continuing expansion of human activities in Antarctica, a more effective implementation of a wide range of measures is essential, in order to ensure comprehensive protection of the Antarctic environment, including its intrinsic, wilderness and scientific values which remains a fundamental principle of the Antarctic Treaty System. These measures include effective environmental impact assessments, long-term monitoring, mitigation measures for non-indigenous species, ecosystem-based management of living resources, and increased regulation of National Antarctic Programmes and tourism activities.</t>
  </si>
  <si>
    <t>[Tin, T.] ASOC, F-45163 Olivet 3, France; [Fleming, Z. L.] Univ Leicester, Dept Chem, Leicester LE1 7RH, Leics, England; [Hughes, K. A.; Convey, P.] British Antarctic Survey, NERC, Cambridge CB3 0ET, England; [Ainley, D. G.] HT Harvey &amp; Associates, Los Gatos, CA 95032 USA; [Moreno, C. A.] Univ Austral Chile, Inst Ecol &amp; Evoluc, Valdivia, Chile; [Pfeiffer, S.] Univ Jena, D-07743 Jena, Germany; [Scott, J.] Univ Tasmania, Sch Geog &amp; Environm Studies, Hobart, Tas 7001, Australia; [Snape, I.] Australian Antarctic Div, Kingston, Tas 7050, Australia</t>
  </si>
  <si>
    <t>University of Leicester; UK Research &amp; Innovation (UKRI); Natural Environment Research Council (NERC); NERC British Antarctic Survey; Universidad Austral de Chile; Friedrich Schiller University of Jena; University of Tasmania; Australian Antarctic Division</t>
  </si>
  <si>
    <t>Tin, T (corresponding author), ASOC, BP 80358, F-45163 Olivet 3, France.</t>
  </si>
  <si>
    <t>tinatink@gmail.com</t>
  </si>
  <si>
    <t>Convey, Peter/AAV-5728-2020; Fleming, Zoe/AHB-1124-2022; Hughes, Kevin/JVZ-0793-2024; Fleming, Zoë/AAU-8214-2020</t>
  </si>
  <si>
    <t>Convey, Peter/0000-0001-8497-9903; Fleming, Zoë/0000-0001-5732-1479</t>
  </si>
  <si>
    <t>National Science Foundation [OPP-0440463]; Natural Environment Research Council [ncas10006, bas010015, bas010011] Funding Source: researchfish; NERC [bas010011, ncas10006, bas010015] Funding Source: UKRI</t>
  </si>
  <si>
    <t>National Science Foundation(National Science Foundation (NSF)); Natural Environment Research Council(UK Research &amp; Innovation (UKRI)Natural Environment Research Council (NERC)); NERC(UK Research &amp; Innovation (UKRI)Natural Environment Research Council (NERC))</t>
  </si>
  <si>
    <t>The authors would like to thank Mark Belchier, Roberto Bargagli, Yan Ropert-Coudert, Marienne de Villiers, Virginia Gascon, Katja Heinke, Alan Hemmings, Nick Holmes, Hans-Ulrich Peter, Richard Philips, Ricardo Roura, Rupert Summerson, Claire Waluda, Barry Weeber, Rodolfo Werner Kinkelin, the librarians at the Scott Polar Research Institute, David Walton and three anonymous reviewers for their helpful comments and in the research of literature. This paper is part of ASOC's endorsed IPY project Enhancing the environmental legacy of the IPY. It also forms an output of the British Antarctic Survey's BIOPEARL, LTMS-B and Environment and Information Division LTMS projects, and the SCAR Evolution and Biodiversity in Antarctica programme. DGA's time in contributing to this project was funded by the National Science Foundation (OPP-0440463), although the views expressed herein may not be those of NSF.</t>
  </si>
  <si>
    <t>10.1017/S0954102009001722</t>
  </si>
  <si>
    <t>WOS:000263389100002</t>
  </si>
  <si>
    <t>Saunders, KM; Hodgson, DA; Mcminn, A</t>
  </si>
  <si>
    <t>Saunders, Krystyna M.; Hodgson, Dominic A.; Mcminn, Andrew</t>
  </si>
  <si>
    <t>Quantitative relationships between benthic diatom assemblages and water chemistry in Macquarie Island lakes and their potential for reconstructing past environmental changes</t>
  </si>
  <si>
    <t>climate change; limnology; management; palaeolimnology; sub-Antarctic; transfer function</t>
  </si>
  <si>
    <t>LA POSSESSION CROZET; COMMUNITIES; RECORD; VARIABILITY; RESPONSES; SALINITY; ILE</t>
  </si>
  <si>
    <t>This study is the first published survey of diatom-environment relationships Oil sub-Antarctic Macquarie Island. Fifty-eight sites in 50 coastal and inland lakes were sampled for benthic diatoms and water chemistry. 208 diatom species from 34 genera were identified. Multivariate analyses indicated that the lakes were distributed along nutrient and conductivity gradients. Conductivity, pH, phosphate (SRP), silicate and temperature all explained independent portions of the variance in the diatom data. Transfer functions provide a quantitative basis for palaeolimnological studies of past climate change and human impacts, and can be used to establish baseline conditions for assessing the impacts of recent climate change and the introduction of non-native plants and animals. Statistically robust diatom transfer functions for conductivity, phosphate and silicate were developed, while pH and temperature transfer functions performed less well. The lower predictive abilities of the pH and temperature transfer functions probably reflect the broad pH tolerance range of diatoms on Macquarie Island and uneven distribution of lakes along the temperature gradient. This study contributes to understanding the current ecological distribution of Macquarie Island diatoms and provides transfer functions that will be applied in studies of diatoms in lake sediment cores to quantitatively reconstruct past environmental changes.</t>
  </si>
  <si>
    <t>[Saunders, Krystyna M.; Mcminn, Andrew] Univ Tasmania, Inst Antarctic &amp; So Ocean Studies, Hobart, Tas 7001, Australia; [Hodgson, Dominic A.] British Antarctic Survey, NERC, Cambridge CB3 0ET, England</t>
  </si>
  <si>
    <t>University of Tasmania; UK Research &amp; Innovation (UKRI); Natural Environment Research Council (NERC); NERC British Antarctic Survey</t>
  </si>
  <si>
    <t>Saunders, KM (corresponding author), Univ Tasmania, Inst Antarctic &amp; So Ocean Studies, Private Bag 77, Hobart, Tas 7001, Australia.</t>
  </si>
  <si>
    <t>saunderk@utas.edu.au</t>
  </si>
  <si>
    <t>McMinn, Andrew/A-9910-2008; Saunders, Krystyna/G-1368-2019</t>
  </si>
  <si>
    <t>Saunders, Krystyna/0000-0002-6800-2630</t>
  </si>
  <si>
    <t>Australian Antarctic Science [2663]; Australian Postgraduate Award; Australian Institute of Nuclear Science and Engineering Postgraduate Research Award; UK Natural Environmental Research Council; Natural Environment Research Council [bas010016] Funding Source: researchfish; NERC [bas010016] Funding Source: UKRI</t>
  </si>
  <si>
    <t>Australian Antarctic Science; Australian Postgraduate Award(Australian Government); Australian Institute of Nuclear Science and Engineering Postgraduate Research Award; UK Natural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</si>
  <si>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funded by an Australian Antarctic Science grant (2663). Krystyna Saunders is funded by an Australian Postgraduate Award and an Australian Institute of Nuclear Science and Engineering Postgraduate Research Award. Dominic Hodgson is funded by the UK Natural Environmental Research Council CACHE-PEP Project at the British Antarctic Survey in collaboration with the HOLANT Project at the University of Ghent (Belgium). We would like to thank Donna Roberts for initially establishing the project, Bart van de Vijver for taxonomic assistance, Steve Juggins for advice on statistical analyses, Keith Springer for background knowledge on Macquarie Island, technical and logistical support, and Anthony Cowles for field assistance.</t>
  </si>
  <si>
    <t>10.1017/S0954102008001442</t>
  </si>
  <si>
    <t>WOS:000263389100003</t>
  </si>
  <si>
    <t>Clarke, LJ; Ayre, DJ; Robinson, SA</t>
  </si>
  <si>
    <t>Clarke, Laurence J.; Ayre, David J.; Robinson, Sharon A.</t>
  </si>
  <si>
    <t>Genetic structure of East Antarctic populations of the moss Ceratodon purpureus</t>
  </si>
  <si>
    <t>bryophytes; clonal diversity; dispersal; microsatellites; RAPDs; Windmill Islands</t>
  </si>
  <si>
    <t>ASEXUAL REPRODUCTION; VICTORIA LAND; DIVERSITY; SPHAGNACEAE; MIGRATION; ISLANDS</t>
  </si>
  <si>
    <t>The capacity of the polar flora to adapt is of increasing concern given current and predicted environmental change in these regions. Previous genetic studies of Antarctic mosses have been of limited value due to a lack of variation in the markers or non-specificity of the methods used. We examined the power of five microsatellite loci developed for the cosmopolitan moss Ceratodon purpureus to detect genetically distinct clones and infer the distribution of clones within and among populations from the Windmill Islands, East Antarctica. Our microsatellite data suggest that the extraordinarily high levels of variation reported in RAPD studies were artificially elevated by the presence of contaminants. We found surprisingly little contribution of asexual reproduction to the genetic structure of the Windmill Islands populations, but more loci are required to determine the distribution of individual clones within and among populations. It is apparent that Antarctic populations of C purpureus possess less genetic diversity than temperate populations, and thus have less capacity for adaptive change in response to environmental variation, but more markers are needed to resolve the total genetic diversity in Antarctic C. purpureus and other mosses.</t>
  </si>
  <si>
    <t>[Clarke, Laurence J.; Ayre, David J.; Robinson, Sharon A.] Univ Wollongong, Inst Conservat Biol, Wollongong, NSW 2522, Australia</t>
  </si>
  <si>
    <t>University of Wollongong</t>
  </si>
  <si>
    <t>Clarke, LJ (corresponding author), Univ Wollongong, Inst Conservat Biol, Wollongong, NSW 2522, Australia.</t>
  </si>
  <si>
    <t>ljc03@uow.edu.au</t>
  </si>
  <si>
    <t>Robinson, Sharon/B-2683-2008; Clarke, Laurence/N-3579-2017; Ayre, David J/A-8761-2008</t>
  </si>
  <si>
    <t>Robinson, Sharon/0000-0002-7130-9617; Clarke, Laurence/0000-0002-0844-4453;</t>
  </si>
  <si>
    <t>Australian Antarctic Science [2542]; Australian Postgraduate Award</t>
  </si>
  <si>
    <t>Australian Antarctic Science; Australian Postgraduate Award(Australian Government)</t>
  </si>
  <si>
    <t>Thanks to Michael Milgroorn for providing the Diversl l.c program and to Ellen Ryan-Colton for assistance in producing Fig. 1. Funding, logistic support and permits for this research were provided through Australian Antarctic Science grant no. 2542. L.J.C. would like to acknowledge funding from an Australian Postgraduate Award. We thank the referees for their valuable comments on the manuscript.</t>
  </si>
  <si>
    <t>10.1017/S0954102008001466</t>
  </si>
  <si>
    <t>WOS:000263389100004</t>
  </si>
  <si>
    <t>Strasky, S; Di Nicola, L; Baroni, C; Salvatore, MC; Baur, H; Kubik, PW; Schlüchter, C; Wieler, R</t>
  </si>
  <si>
    <t>Strasky, Stefan; Di Nicola, Luigia; Baroni, Carlo; Salvatore, Maria Cristina; Baur, Heinrich; Kubik, Peter W.; Schluechter, Christian; Wieler, Rainer</t>
  </si>
  <si>
    <t>Surface exposure ages imply multiple low-amplitude Pleistocene variations in East Antarctic Ice Sheet, Ricker Hills, Victoria Land</t>
  </si>
  <si>
    <t>cosmogenic nuclides; erosion rates; glacial drifts; landscape evolution; surface exposure dating</t>
  </si>
  <si>
    <t>CENOZOIC LANDSCAPE EVOLUTION; COSMOGENIC NUCLIDES; DRY-VALLEYS; TRANSANTARCTIC MOUNTAINS; GLACIATION; EROSION; CLIMATE; RANGE; RATES; HISTORY</t>
  </si>
  <si>
    <t>One of the major issues in (palaeo-) climatology is the response of Antarctic ice sheets to global climate changes. Antarctic ice volume has varied in the past but the extent and timing of these fluctuations are not well known, In this study, we address the question of amplitude and timing of past Antarctic ice level changes by Surface exposure dating using in situ produced cosmogenic nuclides (Be-10 and Ne-21). The Study area lies in the Ricker Hills, a nunatak at the boundary of the East Antarctic Ice Sheet in southern Victoria Land. By determining exposure ages of erratic boulders from glacial drifts we directly date East Antarctic Ice Sheet variations. Erosion-corrected neon and beryllium exposure ages indicate that a major ice advance reaching elevations of about 500 in above present ice levels occurred between 1.125 and 1.375 million years before present. Subsequent ice fluctuations were of lesser extent but timing is difficult as all erratic boulders from related deposits show complex exposure histories. Sample-specific erosion rates were oil the order of 20-45 cm Ma(-1) for a quartzite and 10-65 cm Ma(-1) for a sandstone boulder and imply that the modern cold, and climate has persisted since at least the early Pleistocene.</t>
  </si>
  <si>
    <t>[Strasky, Stefan; Baur, Heinrich; Wieler, Rainer] ETH, Inst Isotope Geochem &amp; Mineral Resources, CH-8092 Zurich, Switzerland; [Di Nicola, Luigia] Univ Siena, Dipartimento Sci Terra, I-53100 Siena, Italy; [Di Nicola, Luigia; Schluechter, Christian] Univ Bern, Inst Geol Sci, CH-3012 Bern, Switzerland; [Baroni, Carlo] Univ Pisa, Dipartimento Sci Terra, I-56126 Pisa, Italy; [Baroni, Carlo] CNR, Ist Geosci &amp; Georisorse, I-56126 Pisa, Italy; [Salvatore, Maria Cristina] Univ Roma La Sapienza, Dipartimento Sci Terra, I-00185 Rome, Italy; [Kubik, Peter W.] ETH, Inst Particle Phys, Paul Scherrer Inst, CH-8093 Zurich, Switzerland</t>
  </si>
  <si>
    <t>Swiss Federal Institutes of Technology Domain; ETH Zurich; University of Siena; University of Bern; University of Pisa; Consiglio Nazionale delle Ricerche (CNR); Istituto di Geoscienze e Georisorse (IGG-CNR); Sapienza University Rome; Swiss Federal Institutes of Technology Domain; ETH Zurich; Paul Scherrer Institute</t>
  </si>
  <si>
    <t>Strasky, S (corresponding author), ETH, Inst Isotope Geochem &amp; Mineral Resources, CH-8092 Zurich, Switzerland.</t>
  </si>
  <si>
    <t>stefan.strasky@gmail.com</t>
  </si>
  <si>
    <t>Baroni, Carlo/D-8184-2012; Salvatore, Maria Cristina/AAS-4000-2020; Wieler, Rainer/A-1355-2010</t>
  </si>
  <si>
    <t>Baroni, Carlo/0000-0001-5905-4650; Salvatore, Maria Cristina/0000-0002-1590-7284; Wieler, Rainer/0000-0001-5666-7494</t>
  </si>
  <si>
    <t>Italian National Program on Antarctic Research (PNRA); Swiss National Science Foundation [200020-1052201/1]</t>
  </si>
  <si>
    <t>Italian National Program on Antarctic Research (PNRA)(Ministry of Education, Universities and Research (MIUR)); Swiss National Science Foundation(Swiss National Science Foundation (SNSF))</t>
  </si>
  <si>
    <t>This research was funded by the Italian National Program on Antarctic Research (PNRA) and the Swiss National Science Foundation grant number: 200020-1052201/1. We gratefully acknowledge their support. Many thanks to F. Mancini for GPS survey of spot heights. We would like to thank the members of the XX and XXI Italian Antarctic Expeditions and the pilots of Helicopter New Zealand, who contributed greatly to successful sampling campaigns. Finally, we wish to thank David Marchant, Chris Fogwill and an anonymous reviewer for their helpful comments on an earlier version of this article.</t>
  </si>
  <si>
    <t>10.1017/S0954102008001478</t>
  </si>
  <si>
    <t>Green Published, Green Accepted, Green Submitted</t>
  </si>
  <si>
    <t>WOS:000263389100005</t>
  </si>
  <si>
    <t>Burrow, CJ; Long, JA; Trinajstic, K</t>
  </si>
  <si>
    <t>Burrow, Carole J.; Long, John A.; Trinajstic, Kate</t>
  </si>
  <si>
    <t>Disarticulated acanthodian and chondrichthyan remains from the upper Middle Devonian Aztec Siltstone, southern Victoria Land, Antarctica</t>
  </si>
  <si>
    <t>Acanthodidae; Anareodus; Antarctilamna; Aztecodus; Milesacanthus; Nostolepis; Pechoralepis</t>
  </si>
  <si>
    <t>FISH REMAINS; CENTRAL IRAN; MICROREMAINS; SHARKS</t>
  </si>
  <si>
    <t>Well-preserved vertebrate microremains are abundant in the residues from a calcareous grey siltstone in the karawaka biozone ('?late Givetian) of the Aztec Siltstone at Mount Crean, Lashly Mountains, Antarctica. Acanthodians are represented by scales of acritolepid Pechoralepis juozasi sp. nov., climatiid Nostolepis sp. cf. N. gaujensis Valiukevicius, diplacanthid Milesacanthus antarctica Young &amp; Burrow, and an undetermined acanthodiform. The acanthodian assemblage resembles those from early Frasnian carbonates of central Iran. Chondrichthyan elements in the fauna include rare teeth of Aztecodus harmsenae Long &amp; Young and Antarctilamna prisca Young, ctenacanthoid-type scales and branchial denticles which are possibly from Antarctilamna, and scales of an indeterminate chondrichthyan. An isolated set of acanthodid acanthodiform jaws from the uppermost 'phyllolepid' biozone of the Aztec Siltstone at Mount Ritchie, Warren Range, Antarctica is also described.</t>
  </si>
  <si>
    <t>[Burrow, Carole J.] Queensland Museum, Brisbane, Qld 4011, Australia; [Long, John A.] Victoria &amp; Albert Museum, Melbourne, Vic 3001, Australia; [Trinajstic, Kate] Univ Western Australia, Sch Earth &amp; Geog Sci, Perth, WA 6009, Australia</t>
  </si>
  <si>
    <t>Queensland Museum; University of Western Australia</t>
  </si>
  <si>
    <t>Burrow, CJ (corresponding author), Queensland Museum, 122 Gerler Rd, Brisbane, Qld 4011, Australia.</t>
  </si>
  <si>
    <t>carole.burrow@gmail.com</t>
  </si>
  <si>
    <t>Burrow, Carole J./AAG-4327-2021; Trinajstic, Kate/B-2537-2009</t>
  </si>
  <si>
    <t>Trinajstic, Kate/0000-0002-6519-6396; Long, John/0000-0001-8012-0114</t>
  </si>
  <si>
    <t>Queensland Museum; University of Queensland; Australian Research Council; Western Australian Museum</t>
  </si>
  <si>
    <t>Queensland Museum; University of Queensland(University of Queensland); Australian Research Council(Australian Research Council); Western Australian Museum</t>
  </si>
  <si>
    <t>CJB acknowledges the support of the Queensland Museum and the use of facilities at the Centre for Microscopy and Microanalysis, University of Queensland; JAL acknowledges support of Museum Victoria; KT acknowledges an Australian Research Council grant and support from the Western Australian Museum. We are grateful to reviewers Henning Blom and Vachik Hairapetian for their helpful comments. This work is a contribution to IGCP Project 491.</t>
  </si>
  <si>
    <t>10.1017/S0954102008001521</t>
  </si>
  <si>
    <t>WOS:000263389100006</t>
  </si>
  <si>
    <t>Mckay, CP</t>
  </si>
  <si>
    <t>Mckay, Christopher P.</t>
  </si>
  <si>
    <t>Snow recurrence sets the depth of dry permafrost at high elevations in the McMurdo Dry Valleys of Antarctica</t>
  </si>
  <si>
    <t>Beacon Valley; ice-cemented ground; Mars; snow; University Valley</t>
  </si>
  <si>
    <t>BEACON VALLEY; GLACIER ICE; GROUND ICE; SUBLIMATION; STABILITY; RATES</t>
  </si>
  <si>
    <t>Dry permafrost oil Earth is unique to the Antarctic and is found in the upper elevations of the McMurdo Dry Valleys. Despite its widespread presence in the Dry Valleys, the factors that control the distribution of dry permafrost and the ice-cemented ground below it are poorly understood. Here I show, by a combination of theoretical analysis and field observations, that the recurrence of snow can explain the depth of dry permafrost and the location of ice-cemented ground in Antarctica. For data from Linnaeus Terrace at 1600-1650 m elevation in Upper Wright Valley a recurrence intervals of about two years explains the presence of ground ice at 25 cm depth, under 12.5 cm of dry permafrost. Snow recurrence periods longer than 10 years Would create only dry permafrost at this site. The snow gradient in University Valley resulting from the windblown snow from the polar plateau creates a corresponding gradient in the depth to ice-cemented ground. On the floor of Beacon Valley, the presence of dry permafrost without underlying ice-cemented ground indicates snow recurrence intervals of more than 10 years and implies that the ancient massive ice in this valley is not stable. Snow recurrence may also set the depth to ground ice on Mars.</t>
  </si>
  <si>
    <t>NASA, Ames Res Ctr, Div Space Sci, Moffett Field, CA 94035 USA</t>
  </si>
  <si>
    <t>National Aeronautics &amp; Space Administration (NASA); NASA Ames Research Center</t>
  </si>
  <si>
    <t>Mckay, CP (corresponding author), NASA, Ames Res Ctr, Div Space Sci, Moffett Field, CA 94035 USA.</t>
  </si>
  <si>
    <t>cmckay@mail.arc.nasa.gov</t>
  </si>
  <si>
    <t>McKay, Christopher/0000-0002-6243-1362</t>
  </si>
  <si>
    <t>NASA IPY program</t>
  </si>
  <si>
    <t>NASA IPY program(National Aeronautics &amp; Space Administration (NASA))</t>
  </si>
  <si>
    <t>This work was supported by the NASA IPY program. The able assistance of the other members of the field team and the excellent logistics support from the NSF Office of Polar Programs allowed the field work to be completed. 1 thank the editor and two reviewers for comments that greatly improved the paper.</t>
  </si>
  <si>
    <t>10.1017/S0954102008001508</t>
  </si>
  <si>
    <t>WOS:000263389100007</t>
  </si>
  <si>
    <t>Costello, EK; Halloy, SRP; Reed, SC; Sowell, P; Schmidt, SK</t>
  </si>
  <si>
    <t>Costello, Elizabeth K.; Halloy, Stephan R. P.; Reed, Sasha C.; Sowell, Preston; Schmidt, Steven K.</t>
  </si>
  <si>
    <t>Fumarole-Supported Islands of Biodiversity within a Hyperarid, High-Elevation Landscape on Socompa Volcano, Puna de Atacama, Andes</t>
  </si>
  <si>
    <t>APPLIED AND ENVIRONMENTAL MICROBIOLOGY</t>
  </si>
  <si>
    <t>PHYLOGENETIC INFERENCE; EUKARYOTIC DIVERSITY; COMMUNITIES; DESERT; PATTERNS; DNA; MICROORGANISMS; ENVIRONMENT; ALTITUDE; PROGRAM</t>
  </si>
  <si>
    <t>Fumarolic activity supports the growth of mat-like photoautotrophic communities near the summit (at 6,051 m) of Socompa Volcano in the arid core of the Andes mountains. These communities are isolated within a barren, high-elevation landscape where sparse vascular plants extend to only 4,600 m. Here, we combine biogeochemical and molecular-phylogenetic approaches to characterize the bacterial and eucaryotic assemblages associated with fumarolic and nonfumarolic grounds on Socompa. Small-subunit rRNA genes were PCR amplified, cloned, and sequenced from two fumarolic soil samples and two reference soil samples, including the volcanic debris that covers most of the mountain. The nonfumarolic, dry, volcanic soil was similar in nutrient status to the most extreme Antarctic Dry Valley or Atacama Desert soils, hosted relatively limited microbial communities dominated by Actinobacteria and Fungi, and contained no photoautotrophs. In contrast, modest fumarolic inputs were associated with elevated soil moisture and nutrient levels, the presence of chlorophyll a, and C-13-rich soil organic carbon. Moreover, this soil hosted diverse photoautotroph-dominated assemblages that contained novel lineages and exhibited structure and composition comparable to those of a wetland near the base of Socompa ( 3,661-m elevation). Fumarole-associated eucaryotes were particularly diverse, with an abundance of green algal lineages and a novel clade of microarthropods. Our data suggest that volcanic degassing of water and C-13-rich CO2 sustains fumarole-associated primary producers, leading to a complex microbial ecosystem within this otherwise barren landscape. Finally, we found that human activities have likely impacted the fumarolic soils and that fumarole-supported photoautotrophic communities may be exceptionally sensitive to anthropogenic disturbance.</t>
  </si>
  <si>
    <t>[Costello, Elizabeth K.; Schmidt, Steven K.] Univ Colorado, Dept Ecol &amp; Evolutionary Biol, Boulder, CO 80309 USA; [Reed, Sasha C.] Univ Colorado, Inst Arctic &amp; Alpine Res, Boulder, CO 80309 USA; [Sowell, Preston] Stratus Consulting Inc, Boulder, CO 80302 USA; [Halloy, Stephan R. P.] Conservat Int, La Paz, Bolivia</t>
  </si>
  <si>
    <t>University of Colorado System; University of Colorado Boulder; University of Colorado System; University of Colorado Boulder; Stratus Consulting Group</t>
  </si>
  <si>
    <t>Schmidt, SK (corresponding author), Univ Colorado, Dept Ecol &amp; Evolutionary Biol, N122 Ramaley Hall, Boulder, CO 80309 USA.</t>
  </si>
  <si>
    <t>steve.schmidt@colorado.edu</t>
  </si>
  <si>
    <t>Halloy, Stephan/AFS-6326-2022; Reed, Sasha C/ABE-9476-2020; SCHMIDT, STEVEN K/G-2771-2010</t>
  </si>
  <si>
    <t>Reed, Sasha C/0000-0002-8597-8619; SCHMIDT, STEVEN K/0000-0002-9175-2085</t>
  </si>
  <si>
    <t>National Science Foundation Microbial Observatories Program [MCB-0455606]; National Geographic Society</t>
  </si>
  <si>
    <t>National Science Foundation Microbial Observatories Program(National Science Foundation (NSF)); National Geographic Society(National Geographic Society)</t>
  </si>
  <si>
    <t>We thank C. Peter and D. Scott for assistance with fieldwork, R. Grau and A. Seimon for logistical support, R. Alegre for access to the wetland site, M. Robeson for help with bioinformatics, and D. Nemergut and R. Jones for useful discussions of the work.; This research was supported by grants from the National Science Foundation Microbial Observatories Program ( MCB-0455606) and the National Geographic Society.</t>
  </si>
  <si>
    <t>0099-2240</t>
  </si>
  <si>
    <t>1098-5336</t>
  </si>
  <si>
    <t>APPL ENVIRON MICROB</t>
  </si>
  <si>
    <t>Appl. Environ. Microbiol.</t>
  </si>
  <si>
    <t>10.1128/AEM.01469-08</t>
  </si>
  <si>
    <t>397VK</t>
  </si>
  <si>
    <t>WOS:000262690100024</t>
  </si>
  <si>
    <t>Beylich, AA; Lamoureux, SF; Decaulne, A</t>
  </si>
  <si>
    <t>Beylich, Achim A.; Lamoureux, Scott F.; Decaulne, Armelle</t>
  </si>
  <si>
    <t>Sediment Budgets in Cold Environments-The SEDIBUD Program. Introduction</t>
  </si>
  <si>
    <t>[Beylich, Achim A.] Geol Survey Norway NGU, Quaternary Geol &amp; Climate Grp, N-7491 Trondheim, Norway; [Beylich, Achim A.] Norwegian Univ Sci &amp; Technol, Dept Geog, N-7491 Trondheim, Norway; [Lamoureux, Scott F.] Queens Univ, Dept Geog, Kingston, ON K7L 3N6, Canada; [Decaulne, Armelle] Univ Clermont Ferrand, CNRS, UMR6042, GEOLAB, Clermont Ferrand, France; [Decaulne, Armelle] Nat Res Ctr NW Iceland, Saudarkrokur, Iceland</t>
  </si>
  <si>
    <t>Geological Survey of Norway; Norwegian University of Science &amp; Technology (NTNU); Queens University - Canada; Centre National de la Recherche Scientifique (CNRS); Universite Clermont Auvergne (UCA); Universite de Limoges; CNRS - Institute of Ecology &amp; Environment (INEE)</t>
  </si>
  <si>
    <t>Beylich, AA (corresponding author), Geol Survey Norway NGU, Quaternary Geol &amp; Climate Grp, Leiv Eirikssons Vei 39, N-7491 Trondheim, Norway.</t>
  </si>
  <si>
    <t>achim.beylich@NGU.NO; scott.lamoureux@queensu.ca; armelle.decaulne@gmail.com</t>
  </si>
  <si>
    <t>Beylich, Achim A./JUV-1673-2023</t>
  </si>
  <si>
    <t>Beylich, Achim A./0000-0003-3382-5394</t>
  </si>
  <si>
    <t>10.1657/1938-4246(INTRO)[BEYLICH]2.0.CO;2</t>
  </si>
  <si>
    <t>406RQ</t>
  </si>
  <si>
    <t>WOS:000263313000001</t>
  </si>
  <si>
    <t>Beylich, AA; Kneisel, C</t>
  </si>
  <si>
    <t>Beylich, Achim A.; Kneisel, Christof</t>
  </si>
  <si>
    <t>Sediment Budget and Relief Development in Hrafndalur, Subarctic Oceanic Eastern Iceland</t>
  </si>
  <si>
    <t>2nd Sediment Budgets in Cold Environments Workshop</t>
  </si>
  <si>
    <t>SEP 15-19, 2007</t>
  </si>
  <si>
    <t>Abisko, SWEDEN</t>
  </si>
  <si>
    <t>NORTHERNMOST SWEDISH LAPLAND; LATNJAVAGGE CATCHMENT; COLD ENVIRONMENTS; PERIGLACIAL ENVIRONMENT; MOUNTAIN ENVIRONMENTS; GEOMORPHIC PROCESSES; ALPS; TRANSFERS; PATTERNS; RAINFALL</t>
  </si>
  <si>
    <t>There have been only a few truly integrated quantitative Studies on sediment budgets and relief development in cold environments. For a combined quantitative investigation of the relevant denudative slope processes and stream work in the 7 km(2) catchment Hrafndalur, Situated in a rhyolite area in the northern part of the Icelandic Eastern Fjords region (Austfirdir), information was collected oil the absolute and relative importance of the different denudative processes. Integration of the six-year monitoring program with the analysis of Holocene storage elements using geophysical techniques allows estimates on Holocene process intensities in addition to the measured present-day sedimentary transfers. With respect to mass transfers, fluvial suspended sediment plus bed-load transport is most relevant and is followed by fluvial Solute transport, rock and boulder falls, chemical slope denudation, mechanical fluvial slope denudation (slope wash), creep processes, avalanches, debris flows, translational slides, and deflation. Due to comparably high mechanical weathering and sedimentary transfer rates, postglacial modification of the Pleistocene glacially formed landscape is clearly more advanced than in the extended basalt areas of Austfirdir. Postglacial relief development is characterized by a valley widening due to the active retreat of rock walls and the formation of extended talus cones Coupled with channel systems.</t>
  </si>
  <si>
    <t>[Beylich, Achim A.] Geol Survey Norway NGU, Quaternary Geol &amp; Climate Grp, N-7491 Trondheim, Norway; [Beylich, Achim A.] Norwegian Univ Sci &amp; Technol, Dept Geog, N-7491 Trondheim, Norway; [Kneisel, Christof] Univ Wurzburg, Dept Phys Geog, Wurzburg, Germany</t>
  </si>
  <si>
    <t>Geological Survey of Norway; Norwegian University of Science &amp; Technology (NTNU); University of Wurzburg</t>
  </si>
  <si>
    <t>achim.beylich@NGU.NO</t>
  </si>
  <si>
    <t>10.1657/1938-4246(08-020)[BEYLICH]2.0.CO;2</t>
  </si>
  <si>
    <t>WOS:000263313000002</t>
  </si>
  <si>
    <t>Carrivick, JL; Rushmer, EL</t>
  </si>
  <si>
    <t>Carrivick, Jonathan L.; Rushmer, E. Lucy</t>
  </si>
  <si>
    <t>Inter- and Intra-catchment Variations in Proglacial Geomorphology: An Example from Franz Josef Glacier and Fox Glacier, New Zealand</t>
  </si>
  <si>
    <t>OUTBURST FLOODS; SEDIMENT PRODUCTION; KVERKFJOLL VOLCANO; SOUTHERN NORWAY; VESTFOLD HILLS; DEBRIS FLOWS; DEPOSITS; JOKULHLAUPS; TRANSPORT; MAGNITUDE</t>
  </si>
  <si>
    <t>Proglacial outwash plains, or sandar, can be recognized to be a part of a geomorphic, sedimentary, and hydrological system. At a global scale, glacial meltwater regimes and hence proglacial fluvial systems are strongly determined by glacier basal water conditions and glacier behavior. At a catchment scale it is necessary to consider that proglacial fluvial sedimentation can have a range of frequency and magnitude regimes. This paper presents geomorphological and sedimentological data from Franz Josef Glacier and Fox Glacier sandar which have, adjacent catchments. We determine that glaciofluvial facies are the most abundant sediment-landform association at both sites. However, we also observe considerable intra-catchment variability with respect to the magnitude-frequency regime of fluvial deposition and the relative importance of fluvial processes for sandur character. Franz Josef Glacier sandur is relatively high relief and superficially composed of boulder bedforms that are laterally and longitudinally extensive. It has a sedimentology dominated by massive, poorly sorted sediments containing outsized clasts. Franz Josef Glacier sandur thus has a character consistent with formation by episodic high-magnitude fluvial flows. i.e. jokulhlaups. In contrast, Fox Glacier sandur is of low cross-section relief and comprises two distinct components: an aggrading braided river and paraglacial debris fan deposits. With the exception of the contemporary ice margin, Fox Glacier sandur is of significantly finer-grained material than that Franz Josef Glacier. We suggest that the contemporary Fox Glacier sandur contains widespread evidence that refutes a hypothesis of high-magnitude episodic events. Additionally, contemporary paraglacial inputs from recently deglaciated valley walls at Fox Glacier are far more important to sandur sedimentation than water or sediment from Fox Glacier. These results present a conceptual model of the predominant contemporary land-forming processes within a glaciated tectonically active region with exceptionally high denudation rates. Intra-catchment variability has important implications for predicting sediment fluxes in response to hydro-climatic forcing.</t>
  </si>
  <si>
    <t>[Carrivick, Jonathan L.] Univ Leeds, Sch Geog, Leeds LS2 9JT, W Yorkshire, England; [Rushmer, E. Lucy] Jacobs, Leeds LS11 9DX, W Yorkshire, England</t>
  </si>
  <si>
    <t>University of Leeds</t>
  </si>
  <si>
    <t>Carrivick, JL (corresponding author), Univ Leeds, Sch Geog, Leeds LS2 9JT, W Yorkshire, England.</t>
  </si>
  <si>
    <t>j.l.carrivick@leeds.ac.uk</t>
  </si>
  <si>
    <t>Carrivick, Jonathan/0000-0002-9286-5348</t>
  </si>
  <si>
    <t>10.1657/1938-4246(07-099)[CARRIVICK]2.0.CO;2</t>
  </si>
  <si>
    <t>WOS:000263313000003</t>
  </si>
  <si>
    <t>Decaulne, A; Saemundsson, P; Jonsson, HP</t>
  </si>
  <si>
    <t>Decaulne, Armelle; Saemundsson, Porsteinn; Jonsson, Helgi Pall</t>
  </si>
  <si>
    <t>An Overview of Postglacial Sediment Records from Colluvial Accumulations in Northwestern and North Iceland</t>
  </si>
  <si>
    <t>AVALANCHE ACTIVITY; SNOW-AVALANCHE; HOLOCENE; HISTORY; IMPACT</t>
  </si>
  <si>
    <t>Active denudation processes occurring on slopes in north and northwestern Iceland have contributed to the buildup of large colluvial cones. These processes have been active since around 10,000 C-14 yr BP when the ice sheet retreated during the last deglaciation. Stratigraphic records provide information of the kind of sedimentary transfer processes that have been active on slopes through time. Vertical sections in colluvial cones in north and northwestern Iceland exhibit a characteristic stratigraphy with successions of material from mass-movements interbedded with soil horizons occurring throughout the Holocene, under periglacial conditions of varying intensity. The alternating organic and minerogenic units are indicators of phases of slope activity and stability. The dating or the deposits is possible with tephrochronology and C-14 dating. The quantitative analysis of sediment on Colluvial cones shows the relative importance of aggradation due to slope processes vs. soil formation during the Holocene. Increasing accumulation rates have been observed over historical time since at least A.D. 1104. The elastic deposits observed in north and northwestern Iceland are thought to provide information oil extreme events during the Holocene, as the occurrence of mass-wasting release cannot be clearly related to Holocene climatic trends.</t>
  </si>
  <si>
    <t>[Decaulne, Armelle] Univ Blaise Pascal, CNRS, UMR6042, GEOLAB, Clermont Ferrand, France; [Saemundsson, Porsteinn; Jonsson, Helgi Pall] Nat Res Ctr NW Iceland, Sauoarkrokur, Iceland</t>
  </si>
  <si>
    <t>Centre National de la Recherche Scientifique (CNRS); CNRS - Institute of Ecology &amp; Environment (INEE); Universite Clermont Auvergne (UCA); Universite de Limoges</t>
  </si>
  <si>
    <t>Decaulne, A (corresponding author), Univ Blaise Pascal, CNRS, UMR6042, GEOLAB, Clermont Ferrand, France.</t>
  </si>
  <si>
    <t>Armelle.decaulne@univ-bpclermont.fr</t>
  </si>
  <si>
    <t>Sæmundsson, Þorsteinn/K-1191-2015</t>
  </si>
  <si>
    <t>10.1657/1938-4246(08-037)[DECAULNE]2.0.CO;2</t>
  </si>
  <si>
    <t>WOS:000263313000004</t>
  </si>
  <si>
    <t>Etzelmüller, B; Frauenfelder, R</t>
  </si>
  <si>
    <t>Etzelmueller, Bernd; Frauenfelder, Regula</t>
  </si>
  <si>
    <t>Factors Controlling the Distribution of Mountain Permafrost in the Northern Hemisphere and Their Influence on Sediment Transfer</t>
  </si>
  <si>
    <t>ICE-CORED MORAINES; GLACIER FOREFIELDS; YUKON-TERRITORY; HOVSGOL AREA; ROCK GLACIER; BLOCK FIELDS; TEMPERATURE; LAYER; QUANTIFICATION; VEGETATION</t>
  </si>
  <si>
    <t>The distribution of mountain permafrost in the northern hemisphere depends on topographic and climatic factors, ranging from the maritime conditions or Iceland over transitional conditions in southern Norway to continental conditions in Mongolia, and from alpine mountains to paleic mountains. This study discusses the different environmental factors that govern permafrost distribution based on personal Studies and a literature review. It is hypothesized that the thermal state of the ground is an important parameter to understand the time and spatial scale of sediment transfer and landscape development in cold mountainous regions. This is exemplified for the cases of rock walls, glacier forefields, rock glaciers, and the case of sediment remobilization due to glacier advance. The authors propose that thorough knowledge of the ground thermal regime is an important basis for addressing sediment: budgets in space and time.</t>
  </si>
  <si>
    <t>[Etzelmueller, Bernd; Frauenfelder, Regula] Univ Oslo, Dept Geosci, N-0316 Oslo, Norway</t>
  </si>
  <si>
    <t>Etzelmüller, B (corresponding author), Univ Oslo, Dept Geosci, POB 1047, N-0316 Oslo, Norway.</t>
  </si>
  <si>
    <t>bernde@geo.uio.no</t>
  </si>
  <si>
    <t>10.1657/1938-4246(08-026)[ETZELMUELLER]2.0.CO;2</t>
  </si>
  <si>
    <t>WOS:000263313000005</t>
  </si>
  <si>
    <t>Lamoureux, SF; Lafreniere, MJ</t>
  </si>
  <si>
    <t>Lamoureux, Scott F.; Lafreniere, Melissa J.</t>
  </si>
  <si>
    <t>Fluvial Impact of Extensive Active Layer Detachments, Cape Bounty, Melville Island, Canada</t>
  </si>
  <si>
    <t>NORTHERN ELLESMERE ISLAND; FOSHEIM PENINSULA; SEDIMENT TRANSFER; NUNAVUT; STREAMFLOW; LAKE; EROSION; YIELD</t>
  </si>
  <si>
    <t>Exceptional and persistent warm temperatures recorded during July 2007 at Cape Bounty, Melville Island, Canada (74 degrees 54'N, 109 degrees 35'W), resulted in rapid and deep active layer formation. The thickened active layer, together with up to 10.8 mm of rainfall in late July, resulted in widespread active layer detachments across the West watershed during 23-31 July. Mapping indicates that approximately 1.9% of the watershed was directly impacted by disturbances. By contrast, only two small detachments occurred in the adjacent East watershed. The immediate fluvial impact of the detachments was primarily in the form of abrupt, short-lived rises in river turbidity, along with a more gradual increase ill discharge and overall turbidity. Sediment transport Pulses resulted from the hydrological connection of major detachment slides, most of which were upslope from the main channel. The largest detachment dammed the river over a length of 200 m, and resulted ill an upstream pond and prolonged increased sediment transport. In total, the increased sediment transport during the last week of July amounted to an estimated 44.3 Mg, or 18% of the seasonal yield. While the detachments had an immediate and substantial impact on river conditions, erosion of unstable material is likely to have a Sustained impact on watershed fluxes in future years.</t>
  </si>
  <si>
    <t>[Lamoureux, Scott F.; Lafreniere, Melissa J.] Queens Univ, Dept Geog, Kingston, ON K7L 3N6, Canada</t>
  </si>
  <si>
    <t>Queens University - Canada</t>
  </si>
  <si>
    <t>Lamoureux, SF (corresponding author), Queens Univ, Dept Geog, Kingston, ON K7L 3N6, Canada.</t>
  </si>
  <si>
    <t>Scott.Lamoureux@queensu.ca</t>
  </si>
  <si>
    <t>Lafreniere, Melissa/0000-0002-9639-6825</t>
  </si>
  <si>
    <t>10.1657/1938-4246(08-030)[LAMOUREUX]2.0.CO;2</t>
  </si>
  <si>
    <t>WOS:000263313000006</t>
  </si>
  <si>
    <t>Morche, D; Laute, K</t>
  </si>
  <si>
    <t>Morche, David; Laute, Katja</t>
  </si>
  <si>
    <t>Investigating Channel Response to a Dambreak Flood Event in an Alpine River-Downstream Trends in Stream Power and Channel Bed Particle Characteristics</t>
  </si>
  <si>
    <t>BAVARIAN ALPS; BRITISH-COLUMBIA; CATASTROPHIC DRAINAGE; MOUNTAIN CATCHMENTS; SEDIMENT TRANSPORT; DAMMED LAKES; GERMANY; VALLEY; MAGNITUDE; HYDROLOGY</t>
  </si>
  <si>
    <t>Fieldwork within the framework of SEDAG (SEDiment cascades in Alpine Geosystems) has focused on hydrology, fluvial sediment transport dynamics, and hydrogeomorphological characteristics of the alpine river Partnach (Reintal Valley, Bavarian Alps, Germany). In August 2005 a dambreak flood occurred in the Reintal Valley. The contributing catchment area supplying material for bed load transport at the outlet of the catchment has been enlarged by more than 33% (4.3 km(2) + 1.6 km(2)) due to lake infilling, and thus, reconnecting formerly disconnected parts of the catchment. Post-dambreak downstream variation of total and specific stream power, bed shear stress, and particle characteristics (size and shape) were determined and compared with pre-dambreak findings. As to our knowledge, results or pre- and post-dambreak fluvial-geomorphic investigations have not been published so far for an individual river. Results show high values for total and specific stream power in the post-dambreak regime. In addition, general trends for downstream decreasing ill particle size, stream power, and bed shear stress show a degree of regularity after disturbance. Nevertheless, further adjustments of the Partnach channel system in response to the dambreak event are expected in the near future.</t>
  </si>
  <si>
    <t>[Morche, David; Laute, Katja] Univ Halle Wittenberg, Fac Nat Sci 3, Inst Geosci, D-06120 Halle, Germany</t>
  </si>
  <si>
    <t>Martin Luther University Halle Wittenberg</t>
  </si>
  <si>
    <t>Morche, D (corresponding author), Univ Halle Wittenberg, Fac Nat Sci 3, Inst Geosci, Von Seckendorff Pl 4, D-06120 Halle, Germany.</t>
  </si>
  <si>
    <t>david.morche@geo.uni-halle.de; katja.laute@ngu.no</t>
  </si>
  <si>
    <t>Morche, David/Y-8765-2019</t>
  </si>
  <si>
    <t>Morche, David/0000-0002-7808-0173; Laute, Katja/0000-0002-5292-3611</t>
  </si>
  <si>
    <t>10.1657/1938-4246(08-024)[MORCHE]2.0.CO;2</t>
  </si>
  <si>
    <t>WOS:000263313000007</t>
  </si>
  <si>
    <t>Streletskava, ID; Vasiliev, AA; Vanstein, BG</t>
  </si>
  <si>
    <t>Streletskava, Irina D.; Vasiliev, Alexanler A.; Vanstein, Boris G.</t>
  </si>
  <si>
    <t>Erosion of Sediment and Organic Carbon from the Kara Sea Coast</t>
  </si>
  <si>
    <t>We have estimated the erosion of sediment and organic carbon input front the Kara Sea coast based oil extensive mapping, geologic and cryolithologic investigations of coastal zone and seafloor sediments, and revision of previously published data. The amount of coastal sediment eroded into the Kara Sea was determined to be approximately 35 million tons. Twenty-seven million tons are attributed to solid material, 7.6 million to thawed ground ice, 0.4 million to organic carbon. and 0.3 million to soluble salts. The estimate of organic carbon input presented herein is 2.5-fold less than previously published elsewhere. The majority OF organic carbon ill marine clayey deposits was found to be present in ail adsorbed form. Its quantity corresponds to the content of clay particles in Pleistocene sediments. Organic carbon content in clay marine sediments remains unchanged during freeze-thaw processes, indicating that this form of carbon is stable unless thermoerosion is taking place.</t>
  </si>
  <si>
    <t>[Streletskava, Irina D.] Moscow MV Lomonosov State Univ, Dept Geog, Moscow 119991, Russia; [Vasiliev, Alexanler A.] Earth Cryosphere Inst SB RAS, Tyumen 625000, Russia; [Vanstein, Boris G.] World Ocean VNIIOceangeol, All Russian Res Inst Geol &amp; Mineral Resources, St Petersburg 190121, Russia</t>
  </si>
  <si>
    <t>Lomonosov Moscow State University; Tyumen Scientific Center of the Russian Academy of Sciences; Russian Academy of Sciences; A.P. Karpinsky Russian Geological Research Institute (VSEGEI)</t>
  </si>
  <si>
    <t>Streletskava, ID (corresponding author), Moscow MV Lomonosov State Univ, Dept Geog, GSP-1, Moscow 119991, Russia.</t>
  </si>
  <si>
    <t>irinastrelets@gmail.com; al.a.vasiliev@gmail.com; vanshbor@mail.ru</t>
  </si>
  <si>
    <t>Vasiliev, Alexander/AAQ-4558-2020; Streletskaya, Irina Dmitrievna/L-9207-2015</t>
  </si>
  <si>
    <t>Vasiliev, Alexander/0000-0001-5483-8456</t>
  </si>
  <si>
    <t>10.1657/1938-4246(08-017)[STRELETSKAYA]2.0.CO;2</t>
  </si>
  <si>
    <t>WOS:000263313000008</t>
  </si>
  <si>
    <t>Bjorkvoll, E; Pedersen, B; Hytteborn, H; Jonsdottir, IS; Langvatn, R</t>
  </si>
  <si>
    <t>Bjorkvoll, Eirin; Pedersen, Bard; Hytteborn, Hakan; Jonsdottir, Ingibjoerg S.; Langvatn, Rolf</t>
  </si>
  <si>
    <t>Seasonal and Interannual Dietary Variation during Winter in Female Svalbard Reindeer (Rangifer tarandus platyrhynchus)</t>
  </si>
  <si>
    <t>PLANT PHENOLOGY; DENSITY-DEPENDENCE; PATCH CHOICE; POPULATION; DYNAMICS; TUNDRA; FOOD; HERBIVORES; MIGRATION; RESPONSES</t>
  </si>
  <si>
    <t>We investigated dietary variation during three winters in female Svalbard reindeer (Rangifer tarandus platyrhynchus) oil the basis of rumen samples from animals cuffed in early and late winter during 2000-2002. The winter diet was compared to a late summer diet oil the basis of samples from 1999, with variations in dietary composition in early and late winter among years also investigated. We conducted our assessment by identifying plant fragments in rumen samples using a point identification method. The effects of season and year on dietary composition of females were tested using non-parametric multifactorial MANOVA. During early winter, the diet scented to be a function of both plant availability and plant quality, with the latter also highly important for the summer diet. During late winter, restricted forage availability due to snow cover seemed to have influenced dietary composition. We also found dietary variation among years both in early and late winter. We hypothesize that climatic effects previously found on the growth rate of Svalbard reindeer populations may be mediated through interannual variation in their diet where increased Summer precipitation and winter rain may affect the dietary composition through decreased availability of forage biomass.</t>
  </si>
  <si>
    <t>[Bjorkvoll, Eirin] Norwegian Univ Sci &amp; Technol, Dept Biol, Ctr Conservat Biol, N-7491 Trondheim, Norway; [Bjorkvoll, Eirin; Jonsdottir, Ingibjoerg S.; Langvatn, Rolf] Univ Ctr Svalbard, Dept Arct Biol, N-9171 Longyearbyen, Norway; [Jonsdottir, Ingibjoerg S.] Agr Univ Iceland, Dept Environm Sci, IS-112 Reykjavik, Iceland</t>
  </si>
  <si>
    <t>Norwegian University of Science &amp; Technology (NTNU); University Centre Svalbard (UNIS)</t>
  </si>
  <si>
    <t>Bjorkvoll, E (corresponding author), Norwegian Univ Sci &amp; Technol, Dept Biol, Ctr Conservat Biol, N-7491 Trondheim, Norway.</t>
  </si>
  <si>
    <t>eirin.bjorkvoll@bio.ntnu.no</t>
  </si>
  <si>
    <t>Hytteborn, Håkan/J-7453-2012; Jonsdottir, Ingibjorg/L-8952-2015</t>
  </si>
  <si>
    <t>Hytteborn, Håkan/0000-0002-1695-7347; Jonsdottir, Ingibjorg/0000-0003-3804-7077</t>
  </si>
  <si>
    <t>10.1657/1938-4246(07-100)[BJORKVOLL]2.0.CO;2</t>
  </si>
  <si>
    <t>WOS:000263313000009</t>
  </si>
  <si>
    <t>Bu, HY; Du, GZ; Chen, XL; Wang, YF; Xu, XL; Liu, K</t>
  </si>
  <si>
    <t>Bu, HaiYan; Du, GuoZhen; Chen, XueLin; Wang, Yifeing; Xu, XiuLi; Liu, Kun</t>
  </si>
  <si>
    <t>The Evolutionary Significance of Seed Germinability in an Alpine Meadow on the Eastern Qinghai-Tibet Plateau</t>
  </si>
  <si>
    <t>DELAYED GERMINATION; RAIN-FOREST; DORMANCY; SIZE; DISPERSAL; STRATEGIES; PHYLOGENY; PATTERNS; ALTITUDE</t>
  </si>
  <si>
    <t>In this Study, we created a database of 633 species collected from alpine meadows oil the eastern Qinghai-Tibet Plateau, and considered the correlation of interspecific seed germinability variation with ecological, life-history, and phylogenetic background. We found that taxonomic membership accounted for the majority of the weighted germination index (WGI) variation (71%). The strong taxonomic effect suggests that WGI variation within taxonomic membership is constrained, and a large proportion of WGI variation is explained by life-history traits also correlated with taxonomic membership. The overlap does not negate the adaptive significance of the relationship between these life-history traits and germinability. In addition. the altitudes and habitats when considered first had no significant effect oil seed germinability variation, but we found that there were significant interactions between altitudes (or habitats) and some phylogenetic groups. Although their interactions were all less than the main effects of phylogenetic groups, they could explain that the effect of phylogenetic constraint oil seed germination was also impacted by environmental Factors. Thus, we could not exclude the effect of longtime selection by environmental factors oil seed germination, and we think interspecific seed germinability variation was affected by phylogenetic, life-history, and ecological factors together.</t>
  </si>
  <si>
    <t>[Bu, HaiYan; Du, GuoZhen; Chen, XueLin; Wang, Yifeing; Xu, XiuLi; Liu, Kun] Lanzhou Univ, Dept Ecol, Lanzhou 730000, Peoples R China</t>
  </si>
  <si>
    <t>Lanzhou University</t>
  </si>
  <si>
    <t>Du, GZ (corresponding author), Lanzhou Univ, Dept Ecol, S Tianshui Rd 222, Lanzhou 730000, Peoples R China.</t>
  </si>
  <si>
    <t>bohy@lzu.edu.cn; guozdu@lzu.edu.cn; chenxuelin63@yahoo.com.cn; wangyifeng6481@yahoo.com.cn; xx15188@163.com; Sliukun01@st.lzu.edu.cn</t>
  </si>
  <si>
    <t>10.1657/1938-4246(08-014)[DU]2.0.CO;2</t>
  </si>
  <si>
    <t>WOS:000263313000010</t>
  </si>
  <si>
    <t>Garcia-Camacho, R; Totland, O</t>
  </si>
  <si>
    <t>Garcia-Camacho, Raul; Totland, Orjan</t>
  </si>
  <si>
    <t>Pollen Limitation in the Alpine: a Meta-Analysis</t>
  </si>
  <si>
    <t>HIGH TEMPERATE ANDES; POLEMONIUM-VISCOSUM; PLANT REPRODUCTION; VISITATION RATES; POLLINATION ECOLOGY; CENTRAL CHILE; BIOLOGY; SIZE; SCROPHULARIACEAE; DISPERSAL</t>
  </si>
  <si>
    <t>Pollen limitation (PL) is thought to be an important factor driving the evolution of floral traits in alpine plants. However, results of pollen supplementation experiments in alpine plants do not always show high levels of PL, and a general review of the importance of PL on alpine-plant reproduction is needed. We assessed to what extent alpine plants are pollen limited, and whether the intensity of PL differs between alpine and lowland species. Moreover, we assessed whether or not PL of alpine species depends on their reproductive system and, finally, whether the outcome of PL Studies depends on whether supplemental-pollination was done at the whole-plant level or within a subset of available flowers. We performed both classical and phylogenetic meta-analysis. Our results show that alpine plants are pollen limited. However, PL did not differ significantly between alpine and lowland species. In the alpine, self-incompatible and self-compatible species show similar levels of PL. We did not find differences in PL between different manipulation levels. These results will help understand the real importance of PL of seed production in the alpine. We identify gaps in our knowledge of PL in the alpine that Could serve to guide future directions of research in this field.</t>
  </si>
  <si>
    <t>[Garcia-Camacho, Raul] Univ Rey Juan Carlos, Area Biodiversidad &amp; Conservac, E-28933 Madrid, Spain; [Totland, Orjan] Norwegian Univ Life Sci, Dept Ecol &amp; Nat Resource Management, N-1432 As, Norway</t>
  </si>
  <si>
    <t>Universidad Rey Juan Carlos; Norwegian University of Life Sciences</t>
  </si>
  <si>
    <t>Garcia-Camacho, R (corresponding author), Univ Rey Juan Carlos, Area Biodiversidad &amp; Conservac, C Tulipan S-N, E-28933 Madrid, Spain.</t>
  </si>
  <si>
    <t>raul.garcia@urjc.es</t>
  </si>
  <si>
    <t>García-Camacho, Raúl/C-1420-2014</t>
  </si>
  <si>
    <t>10.1657/1938-4246(08-028)[GARCIA-CAMACHO]2.0.CO;2</t>
  </si>
  <si>
    <t>WOS:000263313000011</t>
  </si>
  <si>
    <t>Hughes, NM; Johnson, DM; Akhalkatsi, M; Abdaladze, O</t>
  </si>
  <si>
    <t>Hughes, Nicole M.; Johnson, Daniel M.; Akhalkatsi, Maia; Abdaladze, Otar</t>
  </si>
  <si>
    <t>Characterizing Betula litwinowii Seeding Microsites at the Alpine-Treeline Ecotone, Central Greater Caucasus Mountains, Georgia</t>
  </si>
  <si>
    <t>LOW-TEMPERATURE PHOTOINHIBITION; SEEDLING ESTABLISHMENT; CONIFER SEEDLINGS; ABIES-LASIOCARPA; PICEA-ENGELMANNII; PINUS-SYLVESTRIS; REGENERATION; VEGETATION; SURVIVAL; LIMITS</t>
  </si>
  <si>
    <t>Seedling establishment is an important factor dictating the altitudinal limits of treeline species. Factors which affect seedling mortality and survival, however, have yet to be fully characterized, especially for deciduous treeline species. Here we describe microsite characteristics of successfully established Betula litwinowii seedlings at the alpine-treeline ecotone. Possible harmful effects of sky exposure on seedling physiology (i.e. photoinhibition of photosynthesis) were also examined, as well as possible facilitative effects of co-occurring Rhododendron caucasicum shrubs on northern slopes and microtopographical depressions (mainly watercourses) in ridgetop meadows. On northern slopes, seedling density was highest in newly exposed soils, with 90% of the youngest seedlings (&lt;2 cm) occurring in patches of rocky, bare, or moss-covered soils within the Rhododendron thicket. R. caucasicum was not a significant source of shade for B. litwinowii, as most seedlings were established 0.25-0.5 m away from the nearest shrub, and shade cover generated by R. caucasicum was observed in only 1% of seedlings at midday. On ridgetops, density of B. litwinowii was sixfold higher inside microtopographical depressions compared to Outside. Sky exposure of seedlings within depressions was similar to northern slopes, ranging from 50% to 87%. Across all microsites, seedlings were most abundant under 70-87% sky exposure. This preference for open microsites, combined with the observation that sustained photoinhibition of photosynthesis (F-v/F-m &lt; 0.65) was observed only in the most open microsites (i.e. &gt;80% sky exposure), suggests that sky exposure is likely not a significant factor affecting seedling mortality in B. litwinowii, in contrast to results reported for conifer and broadleaf evergreen species at treeline. A higher photosynthetic capacity and it deciduous life history may provide both tolerance and avoidance to the physiological stresses associated with high sky exposure for B. litwinowii seedlings, and other factors, Such as soil moisture, more likely account for Successful establishment within microtopographical depressions and R. caucasicum thickets.</t>
  </si>
  <si>
    <t>[Hughes, Nicole M.] Wake Forest Univ, Dept Biol, Reynolda Stn, Winston Salem, NC 27109 USA; [Johnson, Daniel M.] US Forest Serv, Pacific NW Res Stn, USDA, Corvallis, OR 97331 USA; [Akhalkatsi, Maia; Abdaladze, Otar] Ilia Chavchavadze State Univ, Fac Life Sci, GE-0105 Tbilisi, Georgia; [Akhalkatsi, Maia; Abdaladze, Otar] Ilia Chavchavadze State Univ, Tbilisi Bot Garden, GE-0105 Tbilisi, Georgia; [Akhalkatsi, Maia; Abdaladze, Otar] Ilia Chavchavadze State Univ, Inst Bot, GE-0105 Tbilisi, Georgia</t>
  </si>
  <si>
    <t>Wake Forest University; United States Department of Agriculture (USDA); United States Forest Service; Ilia State University; Ilia State University; Ilia State University</t>
  </si>
  <si>
    <t>Hughes, NM (corresponding author), Wake Forest Univ, Dept Biol, Reynolda Stn, POB 7325, Winston Salem, NC 27109 USA.</t>
  </si>
  <si>
    <t>hughnm5@wfu.edu; danieljohnson@fs.fed.us; orchisge@yahoo.com; otarabdaladze@yahoo.com</t>
  </si>
  <si>
    <t>Akhalkatsi, Maia/B-2187-2008; Johnson, Daniel/E-6789-2011</t>
  </si>
  <si>
    <t>Akhalkatsi, Maia/0000-0002-9770-7840; Johnson, Daniel/0000-0003-1015-9560</t>
  </si>
  <si>
    <t>10.1657/1938-4246(08-021)[HUGHES]2.0.CO;2</t>
  </si>
  <si>
    <t>WOS:000263313000012</t>
  </si>
  <si>
    <t>Kelley, AM; Epstein, HE</t>
  </si>
  <si>
    <t>Kelley, Alexia M.; Epstein, Howard E.</t>
  </si>
  <si>
    <t>Effects of Nitrogen Fertilization on Plant Communities of Nonsorted Circles in Moist Nonacidic Tundra, Northern Alaska</t>
  </si>
  <si>
    <t>SIMULATED ENVIRONMENTAL-CHANGE; ARCTIC POLAR SEMIDESERT; PHOSPHORUS AVAILABILITY; SOIL NUTRIENTS; CLIMATE-CHANGE; RESPONSES; VEGETATION; GROWTH; BIOMASS; DIVERSITY</t>
  </si>
  <si>
    <t>Nitrogen availability is considered to be it key limiting factor for plant growth in arctic tundra. Freeze-thaw cycles, which can produce patterned-ground features, may also limit the establishment and growth of arctic plants. In this experiment, we fertilized nonsorted circles, a type of patterned-ground feature, and the surrounding more stable vegetation in moist nonacidic tundra of northern Alaska to determine if nitrogen availability limited plant communities on these disturbance-dominated features. Similar to other studies in moist nonacidic tundra, the fertilized stable vegetation showed an increase in graminoid biomass and a decrease ill moss biomass. but no total biomass response. The plant communities on nonsorted circles were less responsive to the addition of nitrogen its compared to the well-vegetated rims. The nonsorted circle vegetation may be limited by additional factors, Such as frost heave disturbance, availability of buried seeds, and/or other nutrients. This difference in fertilization response shows that the presence of these features creates spatial heterogeneity in tundra plant community dynamics that should be taken into account when Studying tundra responses to environmental change.</t>
  </si>
  <si>
    <t>[Kelley, Alexia M.; Epstein, Howard E.] Univ Virginia, Dept Environm Sci, Charlottesville, VA 22904 USA</t>
  </si>
  <si>
    <t>University of Virginia</t>
  </si>
  <si>
    <t>Kelley, AM (corresponding author), Univ Virginia, Dept Environm Sci, POB 400123, Charlottesville, VA 22904 USA.</t>
  </si>
  <si>
    <t>alexia.kelley@duke.edu</t>
  </si>
  <si>
    <t>10.1657/1938-4246(07-080)[KELLEY]2.0.CO;2</t>
  </si>
  <si>
    <t>WOS:000263313000013</t>
  </si>
  <si>
    <t>Principato, SM; Johnson, JS</t>
  </si>
  <si>
    <t>Principato, Sarah M.; Johnson, Jeremiah S.</t>
  </si>
  <si>
    <t>Using a GIS to Quantify Patterns of Glacial Erosion on Northwest Iceland: Implications for Independent Ice Sheets</t>
  </si>
  <si>
    <t>ICEBERG DISCHARGES; ATLANTIC; MAXIMUM; HISTORY; MARINE; DEGLACIATION; EXTENT; SHELF; FLOW; RECONSTRUCTION</t>
  </si>
  <si>
    <t>Glacial erosion patterns on northwest Iceland are quantified using a Geographic Information System (GIS) in order to interpret subglacial characteristics of part of northwest Iceland affected by ice sheet glaciation. Ice scour lake density is used as a proxy for glacial erosion. Erosion classes are interpreted from variations in the density of lake basins. Lake density was calculated using two different methods: the First is sensitive to the total number of lakes in a specific area, and the second is sensitive to total lake area in a specific area. Both of these methods result in a value for lake density, and the results for lake density calculated using the two methods are similar. Areas with the highest density of lakes are interpreted as areas with the most intense erosion with the exception of alpine regions. The highest density of lakes in the study area exceeds 8% and is located on upland plateaus where mean elevations range from 400 to 800 m a.s.l. Low lake density (0-2%) is observed in steep alpine areas where steep topography does not favor lake development. The GIS analysis is combined with geomorphic mapping to provide ground truth for the GIS interpretations and to locate paleo-ice flow indicators and landforms. The patterns identified in this Study illustrate distinct regions of glacial erosion and flow paths that are best explained by two independent ice sheets covering northwest Iceland during the Last Glacial Maximum (LGM). Areas of alpine glacial landforms and the presence Of nunataks within the glaciated region Support interpretations that ice-free regions or cold-based ice cover existed on parts of northwest Iceland during the LGM. The methods developed in this Study are easily transferable to other formerly glaciated regions and provide tools to evaluate subglacial properties of former ice sheets. The data generated yield important subglacial boundary conditions for ice sheet models of Iceland.</t>
  </si>
  <si>
    <t>[Principato, Sarah M.; Johnson, Jeremiah S.] Gettysburg Coll, Dept Environm Studies, Gettysburg, PA 17325 USA</t>
  </si>
  <si>
    <t>Gettysburg College</t>
  </si>
  <si>
    <t>Principato, SM (corresponding author), Gettysburg Coll, Dept Environm Studies, 300 N Washington St,Campus Box 2455, Gettysburg, PA 17325 USA.</t>
  </si>
  <si>
    <t>sprincip@gettysburg.edu</t>
  </si>
  <si>
    <t>10.1657/1938-4246(07-065)[PRINCIPATO]2.0.CO;2</t>
  </si>
  <si>
    <t>WOS:000263313000014</t>
  </si>
  <si>
    <t>Sikorski, JJ; Kaufman, DS; Manley, WF; Nolan, M</t>
  </si>
  <si>
    <t>Sikorski, Janelle J.; Kaufman, Darrell S.; Manley, William F.; Nolan, Matt</t>
  </si>
  <si>
    <t>Glacial-Geologic Evidence for Decreased Precipitation during the Little Ice Age in the Brooks Range, Alaska</t>
  </si>
  <si>
    <t>EQUILIBRIUM-LINE ALTITUDES; HOLOCENE CLIMATIC CHANGES; NCEP-NCAR; TEMPERATURES; SENSITIVITY; MILLENNIUM; CHRONOLOGY; MORAINES; ISLAND; USA</t>
  </si>
  <si>
    <t>We mapped Little Ice Age (LIA) moraines in the Brooks Range to estimate former equilibrium-line altitudes (ELAs), and combined this information with available proxy temperature estimates to infer precipitation trends because little is known about precipitation changes associated with centennial-scale climate variability in the Arctic during the late Holocene. The Brooks Range, northern Alaska (68 degrees N), hosts hundreds of extant glaciers that exhibit geomorphic evidence for multiple fluctuations in ice extent during the past millennium. Our lichenometric age estimates for LIA moraines in the forefields of Five cirque glaciers in the Sagavinerktok River valley and Oolah Valley suggest two intervals of LIA moraine formation centered around A.D. 1250 and 1650. The outermost LIA moraine was mapped on aerial photographs for 114 relatively large (1.2 +/- 0.5 km) and geographically simple glaciers along a 700-km-long transect following the range crest. At their maximum extent during the LIA these glaciers were all average of 0.2, +/- 0.1 km longer than the ice margins shown oil most recent U.S. Geological Survey topographic maps (1956 and 1972). The ELA was estimated using in accumulation-area-ratio method and GIS analysis. The reconstructed ELAs needed to maintain an equilibrium length for the LIA glaciers were an average of 51 +/- 29 in lower than for the smaller glacier sizes of the mid 20th century. This small ELA lowering during the LIA is less than would be expected from available proxy temperature estimates from elsewhere in Alaska that indicate warm-season temperature reductions of about 1 degrees C. To explain this discrepancy, we Suggest that precipitation decreased during the LIA. A prolonged southern displacement of the Arctic front might explain the drier conditions in the Brooks Range during the LIA.</t>
  </si>
  <si>
    <t>[Sikorski, Janelle J.; Kaufman, Darrell S.] No Arizona Univ, Dept Geol, Flagstaff, AZ 86011 USA; [Manley, William F.] Univ Colorado, Inst Arct &amp; Alphine Res, Boulder, CO 80309 USA; [Nolan, Matt] Univ Alaska Fairbanks, Inst No Engn, Fairbanks, AK 99775 USA</t>
  </si>
  <si>
    <t>Northern Arizona University; University of Colorado System; University of Colorado Boulder; University of Alaska System; University of Alaska Fairbanks</t>
  </si>
  <si>
    <t>Kaufman, DS (corresponding author), No Arizona Univ, Dept Geol, Flagstaff, AZ 86011 USA.</t>
  </si>
  <si>
    <t>darrell.kaufman@nau.edu</t>
  </si>
  <si>
    <t>Kaufman, Darrell S/A-2471-2008</t>
  </si>
  <si>
    <t>10.1657/1938-4246(07-078)[SIKORSKI]2.0.CO;2</t>
  </si>
  <si>
    <t>WOS:000263313000015</t>
  </si>
  <si>
    <t>Kullman, L</t>
  </si>
  <si>
    <t>Kullman, Leif</t>
  </si>
  <si>
    <t>High Species Turnover and Decreasing Plant Species Richness on Mountain Summits in Sweden: Reindeer Grazing Overrides Climate Change? Comment</t>
  </si>
  <si>
    <t>Umea Univ, Dept Ecol &amp; Environm Sci, SE-90187 Umea, Sweden</t>
  </si>
  <si>
    <t>Kullman, L (corresponding author), Umea Univ, Dept Ecol &amp; Environm Sci, SE-90187 Umea, Sweden.</t>
  </si>
  <si>
    <t>leif.kullman@emg.umu.se</t>
  </si>
  <si>
    <t>10.1657/1938-4246(2008-1)[COMMENT]2.0.CO;2</t>
  </si>
  <si>
    <t>WOS:000263313000016</t>
  </si>
  <si>
    <t>Moen, J; Lagerström, A</t>
  </si>
  <si>
    <t>Moen, Jon; Lagerstroem, Anna</t>
  </si>
  <si>
    <t>High Species Turnover and Decreasing Plant Species Richness on Mountain Summits in Sweden: Reindeer Grazing Overrides Climate Change? Reply</t>
  </si>
  <si>
    <t>[Moen, Jon] Umea Univ, Dept Ecol &amp; Environm Sci, SE-90187 Umea, Sweden; [Lagerstroem, Anna] Swedish Univ Agr Sci, Dept Forest Ecol &amp; Management, SE-90183 Umea, Sweden</t>
  </si>
  <si>
    <t>Umea University; Swedish University of Agricultural Sciences</t>
  </si>
  <si>
    <t>Moen, J (corresponding author), Umea Univ, Dept Ecol &amp; Environm Sci, SE-90187 Umea, Sweden.</t>
  </si>
  <si>
    <t>jon.moen@emg.umu.sc</t>
  </si>
  <si>
    <t>10.1657/1938-4246(2008-1)[REPLY]2.0.CO;2</t>
  </si>
  <si>
    <t>WOS:000263313000017</t>
  </si>
  <si>
    <t>Becagli, S; Castellano, E; Cerri, O; Curran, M; Frezzotti, M; Marino, F; Morganti, A; Proposito, M; Severi, M; Traversi, R; Udisti, R</t>
  </si>
  <si>
    <t>Becagli, Silvia; Castellano, Emiliano; Cerri, Omar; Curran, Mark; Frezzotti, Massimo; Marino, Federica; Morganti, Andrea; Proposito, Marco; Severi, Mirko; Traversi, Rita; Udisti, Roberto</t>
  </si>
  <si>
    <t>Methanesulphonic acid (MSA) stratigraphy from a Talos Dome ice core as a tool in depicting sea ice changes and southern atmospheric circulation over the previous 140 years</t>
  </si>
  <si>
    <t>Methanesulphonic acid; Ice core; Sea ice; SOI; SAM; Antarctica; Talos Dome</t>
  </si>
  <si>
    <t>CLIMATE; SULFUR; VARIABILITY; RECORD; DIMETHYLSULFIDE; PHYTOPLANKTON; ANTARCTICA; DEPOSITION; COASTAL; LAYERS</t>
  </si>
  <si>
    <t>Firn core methanesulphonic acid (MSA) stratigraphy from Talos Dome (East Antarctica) was compared with anomalies of the satellite-measured sea ice extent (1973-1995) in the Ross Sea and Wilkes Land oceanic sector. In spite of the sparseness of sea ice data, the MSA maxima fit with many positive sea ice anomalies in the Ross Sea. This evidence suggests that marine biogenic activity enhanced by large sea ice cover is an important, but not exclusive, factor in controlling MSA concentration in snow precipitation at Talos Dome. Other than source intensity, differences in regional atmospheric transport mechanisms affect the arrival of MSA-rich aerosol at Talos Dome. To clarify the role of transport processes in bringing biogenic aerosol to Talos Dome, a spectral analysis was applied to the MSA, SOI (South Oscillation Index), and SAM (Southern Annular Mode) record. Synchronicity or phase shift between the chemical signature and atmospheric circulation modes were tested. The variations in the MSA profile have a periodicity of 6.9, 4.9, 3.5, and 2.9 years. The 6.9 and 2.9 year periodicities show a strong positive correlation and are synchronous with corresponding SOI periodicity. This variability could be related to an increase in MSA Source intensity (by dimethylsulphide from phytoplanktonic activity) linked to the sea ice extent in the Ross Sea area, but also to an increased strength in transport processes. Both of these factors are correlated with La Nina events (SOI positive values). Furthermore, SAM positive values are related to an increased sea ice extent in the Ross Sea sector and show two main periodicities 3.3 and 3.8 years. These periodicities determine the MSA variability at 3.5 years. However, the effect of intensification of the polar vortex and the consequent reduction in transport process intensity, which reduce the delivery of air masses enriched in MSA from oceanic areas to Talos Dome, make the effect of the SAM on the MSA concentration at Talos Dome less active than the SOL In this way, snow deposition at the Talus Dome records larger MSA concentration by the combined effects of increased source emissions and more efficient transport processes. The MSA record from Talos Dome can therefore be considered a reliable proxy of sea ice extent when the effect of changes in transport processes in this region of Antarctica is considered. Over the previous 140 years, these conditions occur with a periodicity of 6.9 years. (C) 2008 Elsevier Ltd. All rights reserved.</t>
  </si>
  <si>
    <t>[Becagli, Silvia; Castellano, Emiliano; Cerri, Omar; Marino, Federica; Morganti, Andrea; Severi, Mirko; Traversi, Rita; Udisti, Roberto] Univ Florence, Dept Chem, I-50019 Florence, Italy; [Curran, Mark] Australian Antarctic Div, Hobart, Tas 7001, Australia; [Curran, Mark] Antartic Climate &amp; Ecosyst CRC, Hobart, Tas 7001, Australia; [Frezzotti, Massimo; Proposito, Marco] ENEA CR Casaccia, I-00100 Rome, Italy; [Marino, Federica] Univ Milan, DISAT, I-20126 Milan, Italy</t>
  </si>
  <si>
    <t>University of Florence; Australian Antarctic Division; University of Tasmania; Italian National Agency New Technical Energy &amp; Sustainable Economics Development; University of Milan</t>
  </si>
  <si>
    <t>Becagli, S (corresponding author), Univ Florence, Dept Chem, Via Lastruccia,3 Sesto Eno, I-50019 Florence, Italy.</t>
  </si>
  <si>
    <t>silvia.becagli@unifi.it</t>
  </si>
  <si>
    <t>Becagli, Silvia/GNW-2665-2022; FREZZOTTI, Massimo/AAK-7275-2020; Udisti, Roberto/M-7966-2015; Traversi, Rita/M-7586-2015; Severi, Mirko/J-2508-2012</t>
  </si>
  <si>
    <t>FREZZOTTI, Massimo/0000-0002-2461-2883; Udisti, Roberto/0000-0003-4440-8238; Becagli, Silvia/0000-0003-3633-4849; Traversi, Rita/0000-0002-9790-2195; Severi, Mirko/0000-0003-1511-6762; Proposito, Marco/0000-0002-5977-3003</t>
  </si>
  <si>
    <t>MIUR-PNRA program; Milano-Bicocca University; Venice University in the framework of the Glaciology and Chemistry of Polar Environments projects</t>
  </si>
  <si>
    <t>MIUR-PNRA program(Ministry of Education, Universities and Research (MIUR)); Milano-Bicocca University; Venice University in the framework of the Glaciology and Chemistry of Polar Environments projects</t>
  </si>
  <si>
    <t>This research was funded by the MIUR-PNRA program through a cooperation agreement among the PNRA c onsortium, Milano-Bicocca University, and Venice University in the framework of the Glaciology and Chemistry of Polar Environments projects. This work is an Italian contribution to the ITASE project.</t>
  </si>
  <si>
    <t>10.1016/j.atmosenv.2008.11.015</t>
  </si>
  <si>
    <t>408HO</t>
  </si>
  <si>
    <t>WOS:000263426300010</t>
  </si>
  <si>
    <t>Mardon, J; Bonadonna, F</t>
  </si>
  <si>
    <t>Mardon, Jerome; Bonadonna, Francesco</t>
  </si>
  <si>
    <t>Atypical homing or self-odour avoidance? Blue petrels (Halobaena caerulea) are attracted to their mate's odour but avoid their own</t>
  </si>
  <si>
    <t>BEHAVIORAL ECOLOGY AND SOCIOBIOLOGY</t>
  </si>
  <si>
    <t>Petrel; Olfaction; Individual recognition; Behaviour; Seabirds</t>
  </si>
  <si>
    <t>MAJOR HISTOCOMPATIBILITY COMPLEX; OLFACTORY SIGNATURE; KIN RECOGNITION; STORM-PETREL; GENETIC COMPATIBILITY; CHOICE; NEST; DISCRIMINATION; PREDATION; PARENTAGE</t>
  </si>
  <si>
    <t>Among procellariiform seabirds, many burrowing petrels show good olfactory abilities especially in recognising their nest. In particular, it has been reported that Antarctic prions (Pachyptila desolata) discriminate their own and their mate's odours and, in Y-maze experiments, prefer the odour of a conspecific bird to their own. While traditionally examined from the perspective of homing mechanisms, these recent results have drawn attention to the possible use of chemical signals in birds' social behaviours. Indeed, the life history of petrels suggests that a mate choice mediated by olfactory mechanisms may have evolved in this group to ensure genetic compatibility. This study was undertaken to validate and extend results obtained on petrels' olfactory discrimination capabilities. Following the Y-maze experiment protocol, blue petrels (Halobaena caerulea) were offered three different choices: (1) mate versus conspecific's odour, (2) own versus mate's odour and (3) own versus conspecific's odour. We discovered that birds prefer the odour of their mate not only when presented against conspecific's odour but also against their own. We further verified that blue petrels also avoid their own odour when presented against conspecific's odour. Our results confirm that olfactory discrimination in burrowing petrels goes beyond self-recognition and that self-odour avoidance may be widespread. We use two mutually non-exclusive behavioural frameworks for the interpretation of our results, homing and mate choice, and explain why homing mechanisms cannot account for all of our observations. This study opens the door to further research on olfactory mechanisms that, in petrels, might mediate individual recognition and mate choice.</t>
  </si>
  <si>
    <t>[Mardon, Jerome] UWA, Sch Biomed Biomol &amp; Chem Sci, AECR Grp, Nedlands, WA 6009, Australia; [Mardon, Jerome; Bonadonna, Francesco] CNRS, CEFE, Behav Ecol Grp, F-34293 Montpellier 5, France</t>
  </si>
  <si>
    <t>University of Western Australia; Universite PSL; Ecole Pratique des Hautes Etudes (EPHE); Institut Agro; Montpellier SupAgro; CIRAD; Centre National de la Recherche Scientifique (CNRS); Institut de Recherche pour le Developpement (IRD); Universite Paul-Valery; Universite de Montpellier</t>
  </si>
  <si>
    <t>Mardon, J (corresponding author), UWA, Sch Biomed Biomol &amp; Chem Sci, AECR Grp, 35 Stirling Highway, Nedlands, WA 6009, Australia.</t>
  </si>
  <si>
    <t>jerome.mardon@cefe.cnrs.fr</t>
  </si>
  <si>
    <t>Bonadonna, Francesco/A-7456-2008</t>
  </si>
  <si>
    <t>Bonadonna, Francesco/0000-0002-2702-5801</t>
  </si>
  <si>
    <t>Institut Polaire Francais Paul-Emile Victor [354]</t>
  </si>
  <si>
    <t>Institut Polaire Francais Paul-Emile Victor</t>
  </si>
  <si>
    <t>This work was supported by the Institut Polaire Francais Paul-Emile Victor (IPEV, Program no. 354). This study was performed according to guidelines established by IPEV and CNRS for the Ethical Treatment of Animals and complied with current French regulations. We thank Dr. Sandra Saunders and two reviewers for their criticism of earlier drafts of the manuscript. Giulia Giaconi (the grand mother of FB) graciously sewed the cotton bags.</t>
  </si>
  <si>
    <t>0340-5443</t>
  </si>
  <si>
    <t>1432-0762</t>
  </si>
  <si>
    <t>BEHAV ECOL SOCIOBIOL</t>
  </si>
  <si>
    <t>Behav. Ecol. Sociobiol.</t>
  </si>
  <si>
    <t>10.1007/s00265-008-0688-z</t>
  </si>
  <si>
    <t>Behavioral Sciences; Ecology; Zoology</t>
  </si>
  <si>
    <t>Behavioral Sciences; Environmental Sciences &amp; Ecology; Zoology</t>
  </si>
  <si>
    <t>397NI</t>
  </si>
  <si>
    <t>WOS:000262669000007</t>
  </si>
  <si>
    <t>Helland, R; Larsen, RL; Asgeirsson, B</t>
  </si>
  <si>
    <t>Helland, Ronny; Larsen, Renate Lie; Asgeirsson, Bjarni</t>
  </si>
  <si>
    <t>The 1.4 Å crystal structure of the large and cold-active Vibrio sp. alkaline phosphatase</t>
  </si>
  <si>
    <t>BIOCHIMICA ET BIOPHYSICA ACTA-PROTEINS AND PROTEOMICS</t>
  </si>
  <si>
    <t>Cold-adaptation; Metalloenzyme; Dimer; Psychrophilic bacteria; Crystallography</t>
  </si>
  <si>
    <t>COD GADUS-MORHUA; ESCHERICHIA-COLI; ATLANTIC COD; METAL SPECIFICITY; SITE RESIDUES; MECHANISM; ADAPTATION; REFINEMENT; GENE; TAB5</t>
  </si>
  <si>
    <t>Alkaline phosphatase (AP) from the cold-adapted Vibrio strain G15-21 is among the AP variants with the highest known k(cat) value. Here the structure of the enzyme at 1.4 angstrom resolution is reported and compared to APs from E. coli, human placenta, shrimp and the Antarctic bacterium strain TAB5. The Vibrio AP is a dimer although its monomers are without the long N-terminal helix that: embraces the other subunit in many other APs. The long insertion loop, previously noted as a special feature of the Vibrio AP, serves a similar function. The surface does not have the high negative charge density as observed in shrimp AP, but a positively charged patch is observed around the active site that may be favourable for substrate binding. The dimer interface has a similar number of non-covalent interactions as other APs and the crown-domain is the largest observed in known APs. Part of it slopes over the catalytic site suggesting that the substrates may be small molecules. The catalytic serines are refined with multiple conformations in both monomers. One of the ligands to the catalytic zinc ion in binding site M1 is directly connected to the crown-domain and is closest to the dimer interface. Subtle movements in metal ligands may help in the release of the product and/or facilitate prior dephosphorylation of tie covalent intermediate. Intersubunit interactions may be a major factor for promoting active site geometries that lead to the high catalytic activity of Vibrio AP at low temperatures. (C) 2008 Elsevier B.V. All rights reserved.</t>
  </si>
  <si>
    <t>[Asgeirsson, Bjarni] Univ Iceland, Inst Sci, Dept Biochem, IS-107 Reykjavik, Iceland; [Helland, Ronny; Larsen, Renate Lie] Univ Tromso, Dept Chem, Norwegian Struct Biol Ctr, N-9037 Tromso, Norway</t>
  </si>
  <si>
    <t>University of Iceland; UiT The Arctic University of Tromso</t>
  </si>
  <si>
    <t>Asgeirsson, B (corresponding author), Univ Iceland, Inst Sci, Dept Biochem, Dunhaga 3, IS-107 Reykjavik, Iceland.</t>
  </si>
  <si>
    <t>bjarni@raunvis.hi.is</t>
  </si>
  <si>
    <t>Asgeirsson, Bjarni/E-3747-2015</t>
  </si>
  <si>
    <t>Asgeirsson, Bjarni/0000-0002-4275-2732</t>
  </si>
  <si>
    <t>Icelandic Research Fund; Functional Genomics (FUGE)</t>
  </si>
  <si>
    <t>Financial support from the Icelandic Research Fund is gratefully acknowledged as well as access to beam time at the Berliner Elektronenspeicherring (BESSY). This project was supported by The Norwegian Structural Biology Centre (NorStruct) which is financed by the national program in Functional Genomics (FUGE) under the Research Council of Norway. We thank Dr. Ellen Wang for setup of initial screens for crystallization conditions and Dr. Ed Hough and Prof Arne Smalas in particular for support and encouragement.</t>
  </si>
  <si>
    <t>1570-9639</t>
  </si>
  <si>
    <t>0006-3002</t>
  </si>
  <si>
    <t>BBA-PROTEINS PROTEOM</t>
  </si>
  <si>
    <t>BBA-Proteins Proteomics</t>
  </si>
  <si>
    <t>10.1016/j.bbapap.2008.09.020</t>
  </si>
  <si>
    <t>401PC</t>
  </si>
  <si>
    <t>WOS:000262952600017</t>
  </si>
  <si>
    <t>Amornwittawat, N; Wang, S; Banatlao, J; Chung, M; Velasco, E; Duman, JG; Wen, X</t>
  </si>
  <si>
    <t>Amornwittawat, Natapol; Wang, Sen; Banatlao, Joseph; Chung, Melody; Velasco, Efrain; Duman, John G.; Wen, Xin</t>
  </si>
  <si>
    <t>Effects of polyhydroxy compounds on beetle antifreeze protein activity</t>
  </si>
  <si>
    <t>Antifreeze protein; Thermal hysteresis activity; Polyhydroxy compounds; Antifreeze protein activity enhancement; Differential scanning calorimetry</t>
  </si>
  <si>
    <t>DIFFERENTIAL SCANNING CALORIMETRY; THERMAL HYSTERESIS PROTEINS; WINTER FLOUNDER ANTIFREEZE; DENDROIDES-CANADENSIS; TENEBRIO-MOLITOR; TERRESTRIAL ARTHROPODS; FREEZING RESISTANCE; BINDING MECHANISM; ANTARCTIC FISHES; ICE</t>
  </si>
  <si>
    <t>Antifreeze proteins (AFPs) noncolligatively depress the nonequilibrium freezing point of a solution and produce a difference between the melting and freezing points termed thermal hysteresis (TH). Some low-molecular-mass solutes can affect the TH values. The TH enhancement effects of selected polyhydroxy compounds including polyols and carbohydrates on an AFP from the beetle Dendroides canadensis were systematically investigated using differential scanning calorimetry (DSC). The number of hydroxyl groups dominates the molar enhancement effectiveness of polyhydroxy compounds having one to five hydroxyl groups. However, the above rule does not apply for polyhydroxy compounds having more than five hydroxyl groups. The most efficient polyhydroxy enhancer identified is trehalose. In a combination of enhancers the strongest enhancer plays the major role in determining the TH enhancement. Mechanistic insights into identification of highly efficient AFP enhancers are discussed. (C) 2008 Elsevier B.V. All rights reserved.</t>
  </si>
  <si>
    <t>[Amornwittawat, Natapol; Banatlao, Joseph; Chung, Melody; Velasco, Efrain; Wen, Xin] Calif State Univ Los Angeles, Dept Chem &amp; Biochem, Los Angeles, CA 90032 USA; [Wang, Sen] Stanford Univ, Mol Imaging Program, Stanford, CA 94305 USA; [Duman, John G.] Univ Notre Dame, Dept Biol Sci, Notre Dame, IN 46556 USA</t>
  </si>
  <si>
    <t>California State University System; California State University Los Angeles; Stanford University; University of Notre Dame</t>
  </si>
  <si>
    <t>Wen, X (corresponding author), Calif State Univ Los Angeles, Dept Chem &amp; Biochem, Los Angeles, CA 90032 USA.</t>
  </si>
  <si>
    <t>xwen3@calstatela.edu</t>
  </si>
  <si>
    <t>NIH-RIMI [P20 MD001824-01]; CSUPERB</t>
  </si>
  <si>
    <t>NIH-RIMI(United States Department of Health &amp; Human ServicesNational Institutes of Health (NIH) - USA); CSUPERB</t>
  </si>
  <si>
    <t>X. Wen thanks the support from California State University at Los Angeles, the NIH-RIMI program (P20 MD001824-01), and CSUPERB.</t>
  </si>
  <si>
    <t>10.1016/j.bbapap.2008.10.011</t>
  </si>
  <si>
    <t>WOS:000262952600022</t>
  </si>
  <si>
    <t>Berry, RJ</t>
  </si>
  <si>
    <t>Berry, R. J.</t>
  </si>
  <si>
    <t>Hooker and islands</t>
  </si>
  <si>
    <t>BIOLOGICAL JOURNAL OF THE LINNEAN SOCIETY</t>
  </si>
  <si>
    <t>Charles Darwin; evolution; endemism; founder effects; isolation; Joseph Hooker</t>
  </si>
  <si>
    <t>EXPERIMENTAL ZOOGEOGRAPHY; NATURAL-SELECTION; REPRODUCTIVE ISOLATION; GENETIC CONSEQUENCES; APODEMUS-SYLVATICUS; MICROTUS-ARVALIS; SMALL MAMMALS; EVOLUTION; COLONIZATION; POPULATIONS</t>
  </si>
  <si>
    <t>Sir Joseph Dalton Hooker (1817-1911), friend and scientific confidant of Charles Darwin, lectured in 1866 on 'Insular floras' at the Annual Meeting of the British Association for the Advancement of Science. His interest and knowledge of islands had been aroused when he travelled to the Antarctic aboard the Erebus under Sir James Clark Ross from 1839-43. On his return, Darwin passed on to Hooker the botanical collections he had made on the Beagle voyage, including those from the Galapagos. Hooker's conclusions from these and from his own material and experiences were important to Darwin as he developed the ideas that culminated in the publication of the Origin of Species. The 1866 lecture provided a focus for subsequent and informative studies on evolution, and islands continue to provide invaluable natural laboratories for evolutionary biology and genetics. (C) 2009 The Linnean Society of London, Biological Journal of the Linnean Society, 2009, 96, 462-481.</t>
  </si>
  <si>
    <t>UCL, Dept Biol, London WC1E 6BT, England</t>
  </si>
  <si>
    <t>University of London; University College London</t>
  </si>
  <si>
    <t>Berry, RJ (corresponding author), UCL, Dept Biol, Mortimer St, London WC1E 6BT, England.</t>
  </si>
  <si>
    <t>rjberry@ucl.ac.uk</t>
  </si>
  <si>
    <t>0024-4066</t>
  </si>
  <si>
    <t>1095-8312</t>
  </si>
  <si>
    <t>BIOL J LINN SOC</t>
  </si>
  <si>
    <t>Biol. J. Linnean Soc.</t>
  </si>
  <si>
    <t>10.1111/j.1095-8312.2008.01142.x</t>
  </si>
  <si>
    <t>Evolutionary Biology</t>
  </si>
  <si>
    <t>397AU</t>
  </si>
  <si>
    <t>WOS:000262635000019</t>
  </si>
  <si>
    <t>Garrett-Rodrigues, SC; Rosenthal, JJC</t>
  </si>
  <si>
    <t>Garrett-Rodrigues, Sandra C.; Rosenthal, Joshua J. C.</t>
  </si>
  <si>
    <t>Gating Differs Between an Antarctic and a Tropical Kv1 Channel Because of RNA Editing</t>
  </si>
  <si>
    <t>[Garrett-Rodrigues, Sandra C.; Rosenthal, Joshua J. C.] Univ Puerto Rico, San Juan, PR 00936 USA</t>
  </si>
  <si>
    <t>University of Puerto Rico</t>
  </si>
  <si>
    <t>3383-Pos</t>
  </si>
  <si>
    <t>655A</t>
  </si>
  <si>
    <t>10.1016/j.bpj.2008.12.3461</t>
  </si>
  <si>
    <t>VC0MS</t>
  </si>
  <si>
    <t>WOS:000426362200471</t>
  </si>
  <si>
    <t>de la Mare, WK</t>
  </si>
  <si>
    <t>de la Mare, William K.</t>
  </si>
  <si>
    <t>Changes in Antarctic sea-ice extent from direct historical observations and whaling records</t>
  </si>
  <si>
    <t>SOUTH; CORE; VARIABILITY; SATELLITE; INSIGHTS; DECLINE; EDGE</t>
  </si>
  <si>
    <t>Changes in the extent of Antarctic sea-ice are difficult to quantify for the pre-satellite era. The available direct data are sparse. A substantially larger set of proxy records based on whaling positions indicated a large shift in whaling positions between the 1930s to 1950s compared with whaling positions in the 1970s to mid 1980s. However, these findings have been questioned. Further analyses here using historic ice charts, direct sea-ice observations and whaling positions agree that a substantial southward shift in the ice-edge did occur. The analyses indicate the average change is around 1.89A degrees to 2.80A degrees of latitude with a reasonable mid-range estimate of 2.41A degrees. Regional analyses show that the largest changes occurred in the South Atlantic, but change is also detected across the Indian Ocean to the Ross Sea; a 220A degrees span of longitude. A recently published proposition that the shift in ice-edges is an artefact caused by bias in the satellite derived records is not supported.</t>
  </si>
  <si>
    <t>[de la Mare, William K.] Simon Fraser Univ, Sch Resource &amp; Environm Management, Burnaby, BC V5A 1S6, Canada</t>
  </si>
  <si>
    <t>Simon Fraser University</t>
  </si>
  <si>
    <t>de la Mare, WK (corresponding author), CSIRO, Div Marine &amp; Atmospher Res, POB 163, Cleveland, Qld 4163, Australia.</t>
  </si>
  <si>
    <t>bill.delamare@csiro.au</t>
  </si>
  <si>
    <t>10.1007/s10584-008-9473-2</t>
  </si>
  <si>
    <t>397GC</t>
  </si>
  <si>
    <t>WOS:000262649900009</t>
  </si>
  <si>
    <t>Kim, M; Ahn, IY; Cheon, J; Park, H</t>
  </si>
  <si>
    <t>Kim, Meesun; Ahn, In-Young; Cheon, Jina; Park, Hyun</t>
  </si>
  <si>
    <t>Molecular cloning and thermal stress-induced expression of a pi-class glutathione S-transferase (GST) in the Antarctic bivalve Laternula elliptica</t>
  </si>
  <si>
    <t>Antarctic; Laternula elliptica; Pi class glutathione S-transferases; Recombinant GST; Thermal stress</t>
  </si>
  <si>
    <t>OXIDATIVE STRESS; MYTILUS-GALLOPROVINCIALIS; IDENTIFICATION; TEMPERATURE; RAT; PROTEINS; KINASE; THETA; GENE; P1-1</t>
  </si>
  <si>
    <t>Glutathione S-transferases (GSTs) are multifunctional phase II detoxification enzymes that catalyze the attachment of electrophilic substrates to glutathione. The pi-class GST cDNA (leGSTp) was cloned from the cold-adapted Antarctic bivalve Laternula elliptica. We used degenerated primers designed based on highly conserved regions of known mollusk GSTs to amplify the corresponding L. elliptica mRNA. Full-length cDNA was obtained by rapid amplification of cDNA ends (RACE). The full sequence of the GST cDNA was 1189 bp in length, with a 5' untranslated region (UTR) of 74 bp, a 3' UTR of 485 bp, and an open reading frame of 630 bp encoding 209 amino acid residues with an estimated molecular mass of 23.9 kDa and an estimated isoelectric point of 8.3. Quantitative RT-PCR confirmed basal expression of leGSTp, which was up-regulated upon heat treatment (10 degrees C for different time periods) by a factor of 2.3 (at 24 h) and 2.7 (at 48 h) in the digestive gland and gill tissues, respectively. The recombinant leGSTp expressed in Escherichia coli was purified by affinity chromatography and characterized. The purified leGSTp exhibited high activity towards the substrates ethacrynic acid (ECA) and 1-chloro-2,4-dinitrobenzene (CDNB). The recombinant leGSTp had a maximum activity at approximately pH 8.0, and its optimum temperature was 35 degrees C. (C) 2008 Elsevier Inc. All rights reserved.</t>
  </si>
  <si>
    <t>[Kim, Meesun; Ahn, In-Young; Cheon, Jina; Park, Hyun] Korea Polar Res Inst, KORDI, Inchon 406840, South Korea</t>
  </si>
  <si>
    <t>Park, H (corresponding author), Korea Polar Res Inst, KORDI, Songdo Dong 7-50, Inchon 406840, South Korea.</t>
  </si>
  <si>
    <t>hpark@kopri.re.kr</t>
  </si>
  <si>
    <t>Park, Hyun/0000-0002-8055-2010</t>
  </si>
  <si>
    <t>Korea Polar Research Institute (KOPRI) of the Korea Ocean Research &amp; Development Institute (KORDI). [PE08040]</t>
  </si>
  <si>
    <t>Korea Polar Research Institute (KOPRI) of the Korea Ocean Research &amp; Development Institute (KORDI).</t>
  </si>
  <si>
    <t>This study was supported by Status and Changes of Polar Indicator Species and Coastal/Terrestrial Ecosystems grant (PE08040) funded by the Korea Polar Research Institute (KOPRI) of the Korea Ocean Research &amp; Development Institute (KORDI).</t>
  </si>
  <si>
    <t>360 PARK AVE SOUTH, NEW YORK, NY 10010-1710 USA</t>
  </si>
  <si>
    <t>10.1016/j.cbpa.2008.09.028</t>
  </si>
  <si>
    <t>400MU</t>
  </si>
  <si>
    <t>WOS:000262873100012</t>
  </si>
  <si>
    <t>Udintsev, GB; Kurentsova, NA; Kol'tsova, AV; Domaratskaya, LG</t>
  </si>
  <si>
    <t>Udintsev, G. B.; Kurentsova, N. A.; Kol'tsova, A. V.; Domaratskaya, L. G.</t>
  </si>
  <si>
    <t>Bottom plateau basalt magmatism in Western Antarctic seas of the Southern Ocean</t>
  </si>
  <si>
    <t>DOKLADY EARTH SCIENCES</t>
  </si>
  <si>
    <t>PART</t>
  </si>
  <si>
    <t>[Udintsev, G. B.; Kurentsova, N. A.; Kol'tsova, A. V.; Domaratskaya, L. G.] Russian Acad Sci, Vernadsky Inst Geochem &amp; Analyt Chem GEOKhI, Moscow 117975, Russia</t>
  </si>
  <si>
    <t>Russian Academy of Sciences; Vernadsky Institute of Geochemistry &amp; Analytical Chemistry</t>
  </si>
  <si>
    <t>Udintsev, GB (corresponding author), Russian Acad Sci, Vernadsky Inst Geochem &amp; Analyt Chem GEOKhI, Ul Kosygina 19, Moscow 117975, Russia.</t>
  </si>
  <si>
    <t>1028-334X</t>
  </si>
  <si>
    <t>DOKL EARTH SCI</t>
  </si>
  <si>
    <t>Dokl. Earth Sci.</t>
  </si>
  <si>
    <t>10.1134/S1028334X09010218</t>
  </si>
  <si>
    <t>446ZM</t>
  </si>
  <si>
    <t>WOS:000266161400021</t>
  </si>
  <si>
    <t>[Anonymous]</t>
  </si>
  <si>
    <t>SCIENTIFIC OPINION Safety of 'Lipid extract from Euphausia superba' as a novel food ingredient1 Scientific Opinion of the Panel on Dietetic Products, Nutrition and Allergies (Question No EFSA-Q-2008-027) Adopted on 22 January 2009</t>
  </si>
  <si>
    <t>EFSA JOURNAL</t>
  </si>
  <si>
    <t>Euphausia superba; Antartic Krill; lipid extract; eicosapentaenoic acid (EPA); docosahexaenoic acid (DHA); phospholipids</t>
  </si>
  <si>
    <t>Following a request from the European Commission, the Panel on Dietetic Products, Nutrition and Allergies was asked to deliver a scientific opinion on the safety of, Lipid extract from Euphausia superba' as food ingredient. The novel food ingredient is an oil obtained by extraction of the crustacean Euphausia superba (Antarctic Krill) with acetone. Proteins and krill material are removed from the lipid extract by filtration. The acetone and residual water are removed by subsequent evaporation steps. The name proposed is Neptune Krill Oil (NKO (TM)). One of the main features of NKO (TM) is the low content of triglycerides and the high content of phospholipids (38 - 50 g/100g). Another characteristic property is the high content of polyunsaturated fatty acids, in particular eicosapentaenoic acid (EPA, C20:5n-3; 15 - 19 g/100g) and docosahexaenoic acid (DHA, C22:6n-3; 7-16 g/100g). The major amounts of these fatty acids are present in phospholipids. Compositional data on major components of NKO (TM) as well as on minor components (e.g. unsaponifiable matter) have been provided and a broad spectrum of potential contaminants has been analysed. The parameters presented sufficiently characterise the product and demonstrate its consistency and stability. The applicant reviewed data on absorption, distribution and elimination, data from toxicity studies and data from clinical human studies performed with the major components of NKO (TM), i.e. phospholipids, EPA and DHA, and with the carotenoid astaxanthin. The toxicological data provided for NKO (TM) are limited to a repeat-dose study ( six months) conducted with C57BL/6 nude congenic mice (B6NU-T heterozygotes) in order to examine potential effects of oral, topical and topical/oral administration of NKO (TM) on UVB radiation-induced skin cancer. The animals treated orally received a diet containing 16.6 % NKO (TM). According to the study report, the histopathological examination of selected organs and tissues revealed no relevant differences between the treatment and control group, which received soybean oil. Body weight development, haematology, clinical chemistry and urine analyses as well as organ weight determinations were not performed. Twenty-five healthy male and female volunteers consumed six 1g NKO (TM) gel capsules (6 g of NKO (TM)) daily for a period of two months. Haematology and clinical chemistry analyses were performed at baseline, and after 1 and 2 months. One female withdrew from the study due to a known salt intolerance. Two other females withdrew because of rapidly increasing greasiness of their facial skin. No adverse effects were reported in the remaining 22 subjects. In a trial designed to examine the effect of NKO (TM) on the clinical course of hyperlipidaemia, 120 patients (mean age 51 years) were administered up to 3 g NKO (TM)/day for a period of 12 weeks, with one group continuing for an additional 90 days with a consumption of 500 mg NKO (TM)/day. No adverse effects were reported. The effects of NKO (TM) on the premenstrual syndrome and on dysmenorrhea were examined in a clinical trial. Seventy female adults of reproductive age consumed either NKO (TM) or fish oil (during the first month of the trial two 1 g capsules once daily; during the second and third month of the trial two 1 g capsules once daily for 8 days prior to menstruation and 2 days during menstruation). No adverse effects were reported by the subjects during the trial. The effects of NKO (TM) on markers of chronic inflammation were examined in a clinical trial in which 300 mg NKO (TM)/day or 100 mg of placebo were administered to 90 subjects. The subjects ranging from 50 to 68 years were diagnosed with cardiovascular disease or rheumatoid arthritis and osteoarthritis, and were reported to have C-reactive protein levels of &gt; 1.0 mg/dL. No adverse effects associated with the consumption of NKO (TM) were reported. NKO (TM) contains residual protein (0.8 - 3.0 g/100 g), the nature of which has not been further elucidated. In accordance with the Labelling Directive 2003/89/EC, all products containing NKO (TM) must be labelled as contains crustaceans and fish. For food supplements, the applicant proposed the following additional warning to be put on all products containing NKO (TM) : Persons with coagulopathy or who are taking anticoagulants or other medications should discuss their situation with their doctor and submit to tests before taking nutritional supplements. The applicant provided data on the use of Antarctic krill as human food and data on the sales of capsules containing NKO (TM) outside the EU. The food groups to which NKO (TM) is intended to be added and the maximum levels of DHA and EPA proposed by the applicant are in accordance with the Commission Decision of 5 June 2003 on the use of oil rich in DHA from the microalga Schizochytrium. The maximum use levels of EPA and DHA as proposed by the applicant and food consumption data obtained from the National Diet and Nutrition Survey (NDNS) program in the United Kingdom were used as a basis to estimate the daily intakes of EPA and DHA. Mean estimated daily intakes of EPA and DHA range from 210 mg/person/day for children to 363 mg/person/day for male adults. The 97.5th percentile intakes range from 490 mg/person/day for children to 976 mg/person/day for male adults. The toxicological and clinical data provided for NKO (TM) are limited. However, in combination with the data available for the main constituents, they support the safety of the novel food ingredient under the proposed conditions of use. The Panel concludes that the lipid extract from Euphausia superba (Antartic Krill, NKO (TM)) as a novel food ingredient is safe under the specified conditions of use.</t>
  </si>
  <si>
    <t>EUROPEAN FOOD SAFETY AUTHORITY-EFSA</t>
  </si>
  <si>
    <t>PARMA</t>
  </si>
  <si>
    <t>EUROPEAN FOOD SAFETY AUTHORITY-EFSA, PARMA, 00000, ITALY</t>
  </si>
  <si>
    <t>1831-4732</t>
  </si>
  <si>
    <t>EFSA J</t>
  </si>
  <si>
    <t>EFSA J.</t>
  </si>
  <si>
    <t>10.2903/j.efsa.2009.938</t>
  </si>
  <si>
    <t>V9F4I</t>
  </si>
  <si>
    <t>WOS:000422262700014</t>
  </si>
  <si>
    <t>Rodríguez-Martínez, R; Labrenz, M; del Campo, J; Forn, I; Jürgens, K; Massana, R</t>
  </si>
  <si>
    <t>Rodriguez-Martinez, Raquel; Labrenz, Matthias; del Campo, Javier; Forn, Irene; Juergens, Klaus; Massana, Ramon</t>
  </si>
  <si>
    <t>Distribution of the uncultured protist MAST-4 in the Indian Ocean, Drake Passage and Mediterranean Sea assessed by real-time quantitative PCR</t>
  </si>
  <si>
    <t>RIBOSOMAL-RNA GENE; EUKARYOTIC PICOPLANKTON; PROCHLOROCOCCUS ECOTYPES; SIZE DISTRIBUTION; RAPID DETECTION; DNA EXTRACTION; SARGASSO SEA; QUANTIFICATION; DIVERSITY; ASSEMBLAGES</t>
  </si>
  <si>
    <t>Molecular surveys of marine picoeukaryotes have revealed a large number of sequences unrelated to cultured organisms, such as those forming the marine stramenopile (MAST)-4 clade. Recent FISH (fluorescent in situ hybridization) data have shown that MAST-4 cells are uncultured heterotrophic flagellates of 2-3 mu m in size that have a global distribution in non-polar marine waters. However, FISH is time-consuming and hard to apply to the many samples generated during oceanographic cruises, so we developed a real-time quantitative polymerase chain reaction (Q-PCR) protocol to determine rapidly the abundance of this group using environmental DNA. We designed a primer set targeting the 18S rRNA genes (rDNA) of MAST-4 and optimized and calibrated the Q-PCR protocol using a plasmid with the target sequence as insert. The Q-PCR was then applied to quantify MAST-4 rDNA molecules along three marine transects, longitudinal in the Indian Ocean, latitudinal in the Drake Passage and coastal-offshore in the Mediterranean Sea, and to a temporal study in a Mediterranean Sea coastal station. MAST-4 was detected in all samples processed (averaged abundances between 500 and 1000 rDNA molecules ml(-1)) except in mesopelagic and Antarctic samples, where it was virtually absent. In general, it was more abundant in the coast than offshore and in the deep chlorophyll maximum than at surface. A comparison of Q-PCR and FISH signals in well-controlled microbial incubations indicated that MAST-4 cells have around 30 copies of the rDNA operon. This Q-PCR assay quickly yielded quantitative data of uncultured MAST-4 cells and confirmed their wide distribution and putative ecological importance.</t>
  </si>
  <si>
    <t>[Rodriguez-Martinez, Raquel; del Campo, Javier; Forn, Irene; Massana, Ramon] CMIMA CSIC, Inst Ciencies Mar, Barcelona 08003, Spain; [Labrenz, Matthias; Juergens, Klaus] Leibniz Inst Balt Sea Res, D-18119 Rostock, Germany</t>
  </si>
  <si>
    <t>Consejo Superior de Investigaciones Cientificas (CSIC); CSIC - Centro Mediterraneo de Investigaciones Marinas y Ambientales (CMIMA); CSIC - Instituto de Ciencias del Mar (ICM); Leibniz Institut fur Ostseeforschung Warnemunde</t>
  </si>
  <si>
    <t>Rodríguez-Martínez, R (corresponding author), CMIMA CSIC, Inst Ciencies Mar, Passeig Maritim Barceloneta 37-49, Barcelona 08003, Spain.</t>
  </si>
  <si>
    <t>raquelr@icm.csic.es; ramonm@icm.csic.es</t>
  </si>
  <si>
    <t>Massana, Ramon/F-4205-2016; Rodríguez-Martínez, Raquel/AAC-3979-2022; del Campo, Javier/B-5233-2008</t>
  </si>
  <si>
    <t>del Campo, Javier/0000-0002-5292-1421; Massana, Ramon/0000-0001-9172-5418; Rodriguez-Martinez, Raquel/0000-0002-7987-1700; Jurgens, Klaus/0000-0002-7999-9368</t>
  </si>
  <si>
    <t>TRANSINDICO [REN2000-1471-CO2-01/MAR]; ESTRAMAR [CTM2004-12631/MAR]; PROTAL [HA2004-088]; Spanish Ministry of Education and Science</t>
  </si>
  <si>
    <t>TRANSINDICO; ESTRAMAR; PROTAL; Spanish Ministry of Education and Science(Spanish Government)</t>
  </si>
  <si>
    <t>We thank the captains and crews of Research Vessels HespErides and Melville and the chief scientists (T. Calafat, C. Pedros-Alio and D. Blackman) for providing an optimal environment for sampling. This study was supported by projects TRANSINDICO (REN2000-1471-CO2-01/MAR), ESTRAMAR (CTM2004-12631/MAR, MEC) and PROTAL (HA2004-088, MCyT) to R.M. and by an F.P.I. fellowship from the Spanish Ministry of Education and Science to R.R.M. We thank R. Martinez-GutiErrez, F. Not, H Brockmoller and I. Ontoria for laboratory assistance, V. BalaguE and C. Cardelus for maintaining the Blanes Bay sampling station, M. Pastor for ODV advice, M. Ribes for statistic help and F. Unrein for useful comments.</t>
  </si>
  <si>
    <t>10.1111/j.1462-2920.2008.01779.x</t>
  </si>
  <si>
    <t>395HS</t>
  </si>
  <si>
    <t>WOS:000262515800010</t>
  </si>
  <si>
    <t>Laluraj, CM; Krishnan, KP; Thamban, M; Mohan, R; Naik, SS; D'Souza, W; Ravindra, R; Chaturvedi, A</t>
  </si>
  <si>
    <t>Laluraj, C. M.; Krishnan, K. P.; Thamban, M.; Mohan, R.; Naik, S. S.; D'Souza, W.; Ravindra, R.; Chaturvedi, A.</t>
  </si>
  <si>
    <t>Origin and characterisation of microparticles in an ice core from the Central Dronning Maud Land, East Antarctica</t>
  </si>
  <si>
    <t>ENVIRONMENTAL MONITORING AND ASSESSMENT</t>
  </si>
  <si>
    <t>Tephra; Dust; Microbe; Nanobe; Ice core; East Antarctica</t>
  </si>
  <si>
    <t>EXPLOSIVE VOLCANISM; RECORD; GREENLAND; ERUPTION; CLIMATE; LIFE; ASH</t>
  </si>
  <si>
    <t>The scanning electron microscopy-energy dispersive spectroscopic (SEM-EDS) study of selected samples from an ice core collected from Central Dronning Maud Land (CDML), East Antarctica, revealed several microparticles. They are mainly siliceous and carbonaceous particles and have distinct variations in their shape and composition. The morphology and major element chemistry of the particles suggest their origin from either volcanic eruptions or continental dust. The EDS analysis revealed that the volcanic particles are enriched in silica (average SiO2 62%), compared to the continental dust particle (average SiO2 56%). We found that the tephra relating to Agung (1963) and Karkatau (1883) volcanic eruptions, as recorded, in the ice core harbored microbial cells (both coocoid and rods). The occurrence of organic and inorganic particles which bear relation to volcanic eruption and continental dust implies significant environmental changes in the recent past.</t>
  </si>
  <si>
    <t>[Laluraj, C. M.; Krishnan, K. P.; Thamban, M.; Mohan, R.; Naik, S. S.; D'Souza, W.; Ravindra, R.] Natl Ctr Antarctic &amp; Ocean Res, Vasco Da Gama, Goa, India; [Chaturvedi, A.] Geol Survey India, Antarctic Div, Faridabad, India</t>
  </si>
  <si>
    <t>Ministry of Earth Sciences (MoES) - India; National Centre for Polar and Ocean Research (NCPOR); Geological Survey India</t>
  </si>
  <si>
    <t>Laluraj, CM (corresponding author), Natl Ctr Antarctic &amp; Ocean Res, Vasco Da Gama, Goa, India.</t>
  </si>
  <si>
    <t>lalucm@ncaor.org</t>
  </si>
  <si>
    <t>Naik, Sushant/B-3512-2011; P, Krishnan K/ABF-8783-2020</t>
  </si>
  <si>
    <t>, K. P. Krishnan/0000-0003-1101-657X; Thamban, Meloth/0000-0003-3379-8189</t>
  </si>
  <si>
    <t>We thank the Ministry of Earth Sciences, Government of India for the financial support. We are grateful to Dr. A. Rajakumar, B. L. Redkar, Sarita Kerkar, Ashish Painguinkar and Keshav Naik, NCAOR for their support in the laboratory.</t>
  </si>
  <si>
    <t>0167-6369</t>
  </si>
  <si>
    <t>1573-2959</t>
  </si>
  <si>
    <t>ENVIRON MONIT ASSESS</t>
  </si>
  <si>
    <t>Environ. Monit. Assess.</t>
  </si>
  <si>
    <t>10.1007/s10661-008-0212-y</t>
  </si>
  <si>
    <t>404NL</t>
  </si>
  <si>
    <t>WOS:000263159800035</t>
  </si>
  <si>
    <t>Hill, NA; King, CK; Perrett, LA; Johnston, EL</t>
  </si>
  <si>
    <t>Hill, Nicole A.; King, Catherine K.; Perrett, Lisa A.; Johnston, Emma L.</t>
  </si>
  <si>
    <t>CONTAMINATED SUSPENDED SEDIMENTS TOXIC TO AN ANTARCTIC FILTER FEEDER: AQUEOUS- AND PARTICULATE-PHASE EFFECTS</t>
  </si>
  <si>
    <t>Spirorbid; Resuspended; Heavy metals; Total suspended solids; Aqueous</t>
  </si>
  <si>
    <t>MARINE-INVERTEBRATES; METAL CONTAMINATION; HARBOR SEDIMENTS; HEAVY-METALS; ZEBRA MUSSEL; COPPER; CADMIUM; BIOAVAILABILITY; AMPHIPOD; ZINC</t>
  </si>
  <si>
    <t>Disturbances such as dredging, storms, and bioturbation result in the resuspension of sediments. This may affect sessile organisms that live on hard substrates directly above the sediment. Localized sediment contamination exists around many Antarctic research stations, often resulting in elevated contamination loads in marine sediments. To our knowledge, the potential impact of resuspended contaminated sediments on sessile fauna has not been considered, so in the present study, we assessed the sensitivity of Antarctic spirorbid polychaetes to aqueous metals and to metal-contaminated sediments that had been experimentally resuspended. Worms were first exposed to aqueous metals, both singly and in combination, over 10 d. Spirorbid mortality was tolerant to copper (median lethal concentration [LC50], 570 mu g/L), zinc (LC50, &gt;4,910 mu g/L), and lead (LC50, &gt;2,905 mu g/L); however, spirorbid behavior responded to copper concentrations as low as 20 mu g/L. When in combination, zinc significantly reduced mortality caused by copper. A novel technique was used to resuspend sediments spiked with four concentrations of three metals (up to 450 mu g/g dry wt of copper, 525 mu g/g dry wt of lead, and 2,035 mu g/g dry wt of zinc). The response of spirorbids to unfiltered suspended sediment solutions and filtered solutions (aqueous metal exposure) was measured. Suspended sediments were toxic to filter-feeding spirorbids at concentrations approximating those found in contaminated Antarctica areas. Toxicity resulted both from aqueous metals and from metals associated with the suspended sediments, although suspended clean sediments had no impact. To our knowledge, the present study is the first to show that resuspension of contaminated sediments can be an important pathway for toxicity to Antarctic hard substrate organisms. Based on the present results, current sediment-quality guidelines used in the evaluation of Australian sediments may be applicable to Antarctic ecosystems.</t>
  </si>
  <si>
    <t>[Hill, Nicole A.; Perrett, Lisa A.; Johnston, Emma L.] Univ New S Wales, Sch Biol Earth &amp; Environm Sci, Evolut &amp; Ecol Res Ctr, Kensington, NSW 2052, Australia; [Hill, Nicole A.; King, Catherine K.] Australian Antarctic Div, Kingston, Tas 7050, Australia</t>
  </si>
  <si>
    <t>University of New South Wales Sydney; Australian Antarctic Division</t>
  </si>
  <si>
    <t>Hill, NA (corresponding author), Univ New S Wales, Sch Biol Earth &amp; Environm Sci, Evolut &amp; Ecol Res Ctr, Kensington, NSW 2052, Australia.</t>
  </si>
  <si>
    <t>n.hill@unsw.edu.au</t>
  </si>
  <si>
    <t>Hill, Nicole/AAI-7323-2021; King, Catherine K/G-7059-2017; Johnston, Emma/AAC-2878-2022</t>
  </si>
  <si>
    <t>Hill, Nicole/0000-0001-9329-6717; King, Catherine K/0000-0003-3356-0381; Johnston, Emma/0000-0002-2117-366X</t>
  </si>
  <si>
    <t>Australian Antarctic Science [2691]; Australian Research Council; Australian Postgraduate Award</t>
  </si>
  <si>
    <t>Australian Antarctic Science; Australian Research Council(Australian Research Council); Australian Postgraduate Award(Australian Government)</t>
  </si>
  <si>
    <t>The authors would like to thank the 2005-2006 and 2006-2007 Casey Station boating teams and, in particular, M. Fitzpatrik and S. Templeman for field support; S. Simpson at the Centre for Environmental Contaminants Research, Commonwealth Scientific and Industrial Research Organisation Land and Water, Lucas Heights, Australia, for generous access to analytical equipment and advice on sediment spiking; C. Jarolimek for inductively coupled plasma technical support; and R. Wilson at Museum Victoria for spirorbid identification. This project was supported by Australian Antarctic Science grant 2691 and an Australian Research Council grant awarded to E. L. Johnston and an Australian Postgraduate Award to N.A. Hill.</t>
  </si>
  <si>
    <t>10.1897/08-328.1</t>
  </si>
  <si>
    <t>398HN</t>
  </si>
  <si>
    <t>WOS:000262723300024</t>
  </si>
  <si>
    <t>Koulis, T; Thompson, ME; LeDrew, E</t>
  </si>
  <si>
    <t>Koulis, T.; Thompson, M. E.; LeDrew, E.</t>
  </si>
  <si>
    <t>A spatio-temporal model for Antarctic sea ice formation</t>
  </si>
  <si>
    <t>ENVIRONMETRICS</t>
  </si>
  <si>
    <t>spatial growth; nearest neighbour; simulation estimation; functional data analysis</t>
  </si>
  <si>
    <t>CLIMATE-CHANGE SIMULATION; GREENHOUSE-GAS</t>
  </si>
  <si>
    <t>The temporal variability of polar sea ice is complex and closely linked to global climate. The amount of sea ice over an area can have a significant effect on the energies transferred between the atmosphere and the ocean. Statistics derived from sea ice observations are therefore of great interest to scientists. We showcase a new method of analysis which may be used to examine the annual variability in sea ice formation. We demonstrate our method using sea ice concentration images derived from Earth-orbiting satellites that span several decades. The growth and melt of Antarctic sea ice is modelled using a simple two parameter spatial nearest neighbour process that treats ice and water as two species competing for territory. Simulations of the model are used to estimate two time series representing rates of competition. With techniques of functional data analysis, these series may be used to detect both amplitude and phase variation, and to isolate major modes of annual variation in sea ice formation. Copyright (C) 2008 John Wiley &amp; Sons, Ltd.</t>
  </si>
  <si>
    <t>[Koulis, T.] McGill Univ, Montreal, PQ H3A 2T5, Canada; [Thompson, M. E.] Univ Waterloo, Dept Stat &amp; Actuarial Sci, Waterloo, ON N2L 3G1, Canada; [LeDrew, E.] Univ Waterloo, Dept Geog, Waterloo, ON N2L 3G1, Canada</t>
  </si>
  <si>
    <t>McGill University; University of Waterloo; University of Waterloo</t>
  </si>
  <si>
    <t>Koulis, T (corresponding author), McGill Univ, Montreal, PQ H3A 2T5, Canada.</t>
  </si>
  <si>
    <t>theodoro.koulis@elf.mcgill.ca</t>
  </si>
  <si>
    <t>Natural Sciences and Engineering Research Council of Canada (NSERC); Meteorological Service of Canada</t>
  </si>
  <si>
    <t>Natural Sciences and Engineering Research Council of Canada (NSERC)(Natural Sciences and Engineering Research Council of Canada (NSERC)); Meteorological Service of Canada</t>
  </si>
  <si>
    <t>The authors would like to thank Dr J. Ramsay and Dr D. Levitin of McGill University for their helpful discussions and advice, as well as the reviewers for their comments and suggestions which helped improve the paper. This work was supported in part by the Natural Sciences and Engineering Research Council of Canada (NSERC), and the CRYSYS programme of the Meteorological Service of Canada. The preparation of this report was funded by a grant from Valorisation-Recherche Quebec to D. J. Levitin and the Centre for Interdisciplinary Research in Music Media and Technology. The National Snow and Ice data Center (NSIDC) provided the Bootstrap Sea Ice Data Set used in this research. Any source code used for simulation and analysis is available upon request to the authors.</t>
  </si>
  <si>
    <t>1180-4009</t>
  </si>
  <si>
    <t>1099-095X</t>
  </si>
  <si>
    <t>Environmetrics</t>
  </si>
  <si>
    <t>10.1002/env.912</t>
  </si>
  <si>
    <t>Environmental Sciences; Mathematics, Interdisciplinary Applications; Statistics &amp; Probability</t>
  </si>
  <si>
    <t>Environmental Sciences &amp; Ecology; Mathematics</t>
  </si>
  <si>
    <t>463DD</t>
  </si>
  <si>
    <t>WOS:000267408200005</t>
  </si>
  <si>
    <t>Sutherland, DL; Hawes, I</t>
  </si>
  <si>
    <t>Sutherland, Donna L.; Hawes, Ian</t>
  </si>
  <si>
    <t>Annual growth layers as proxies of past growth conditions for benthic microbial mats in a perennially ice-covered Antarctic lake</t>
  </si>
  <si>
    <t>FEMS MICROBIOLOGY ECOLOGY</t>
  </si>
  <si>
    <t>Antarctica; biomass indicators; cyanobacteria; carbonate precipitate; hindcasting growth</t>
  </si>
  <si>
    <t>MCMURDO DRY VALLEYS; JAMES-ROSS-ISLAND; NORTHERN PART; DIATOM FLORA; FRESH-WATER; ALGAL MATS; HOARE; PHOTOSYNTHESIS; DIVERSITY; CALCIFICATION</t>
  </si>
  <si>
    <t>Perennial microbial mats can be the dominant autotrophic community in Antarctic lakes. Their seasonal growth results in clearly discernible annual growth layering. We examined features of live microbial mats from a range of depths in Lake Hoare, Antarctica, that are likely to be preserved in these layers to determine their potential as proxies of past growth performance. Cyanobacteria dominated the mat for all but the deepest depth sampled. Changes in areal concentrations of phycobilin pigments, organic matter and extracellular polysaccharide and in species composition did not correspond to changes in various water column properties, but showed a linear relationship with irradiance. Carbonate accumulation in the mats correlated with biomass markers and may be inferred as an index of mat performance. We examined the carbonate content of annual layers laid down from 1958-1959 to 1994-1995 in sediment cores from 12 m depth. The carbonate content in the layer showed a significant correlation with the mean summer air temperature. These data suggest a link between air temperature and microbial mat growth performance, and suggest that it is mediated via irradiance. Laminated microbial mats in Antarctic lakes have the potential to act as fine-resolution records of environmental conditions in the recent past, although interpretation is complex.</t>
  </si>
  <si>
    <t>[Sutherland, Donna L.] Natl Inst Water &amp; Atmospher Res, Christchurch, New Zealand; [Hawes, Ian] Aquat Res Solut Ltd, Cambridge, New Zealand</t>
  </si>
  <si>
    <t>Sutherland, DL (corresponding author), Natl Inst Water &amp; Atmospher Res, POB 8602, Christchurch, New Zealand.</t>
  </si>
  <si>
    <t>d.sutherland@niwa.co.nz</t>
  </si>
  <si>
    <t>Sutherland, Donna/0000-0002-2119-1120; Hawes, Ian/0000-0003-2471-6903</t>
  </si>
  <si>
    <t>New Zealand Foundation for Research, Science and Technology [CO1605]; McMurdo Dry Valley Long-Term Ecological Research Program of the US National Science Foundation [OPP-9814972]</t>
  </si>
  <si>
    <t>New Zealand Foundation for Research, Science and Technology(New Zealand Foundation for Research, Science and Technology); McMurdo Dry Valley Long-Term Ecological Research Program of the US National Science Foundation(National Science Foundation (NSF))</t>
  </si>
  <si>
    <t>This study was supported by the New Zealand Foundation for Research, Science and Technology (CO1605), Antarctica New Zealand, and the McMurdo Dry Valley Long-Term Ecological Research Program of the US National Science Foundation (OPP-9814972) funded and provided facilities and support for the field research. We thank Marie Uhle for assistance in the field and Kathy Walter for compiling Scott Base temperatures. Clive Howard-Williams and two anonymous reviewers provided useful comments on earlier drafts.</t>
  </si>
  <si>
    <t>0168-6496</t>
  </si>
  <si>
    <t>1574-6941</t>
  </si>
  <si>
    <t>FEMS MICROBIOL ECOL</t>
  </si>
  <si>
    <t>FEMS Microbiol. Ecol.</t>
  </si>
  <si>
    <t>10.1111/j.1574-6941.2008.00621.x</t>
  </si>
  <si>
    <t>387OQ</t>
  </si>
  <si>
    <t>WOS:000261961900010</t>
  </si>
  <si>
    <t>Newsham, KK; Upson, R; Read, DJ</t>
  </si>
  <si>
    <t>Newsham, K. K.; Upson, R.; Read, D. J.</t>
  </si>
  <si>
    <t>Mycorrhizas and dark septate root endophytes in polar regions</t>
  </si>
  <si>
    <t>Antarctic; Arbuscular mycorrhizas (AM); Arbutoid mycorrhizas; Arctic; Dark sterile (DS) fungi; Ectomycorrhizas (ECM); Ericoid mycorrhizas (ERM); Orchid mycorrhizas</t>
  </si>
  <si>
    <t>ARBUSCULAR MYCORRHIZAL; DESCHAMPSIA-ANTARCTICA; ALTITUDINAL GRADIENT; TUNDRA ECOSYSTEMS; LEAFY LIVERWORT; ARCTIC PLANTS; ALPINE TUNDRA; FUNGI; NITROGEN; DIVERSITY</t>
  </si>
  <si>
    <t>We review the distributions and functions of mycorrhizas and dark septate root endophytes in polar regions. Arbuscular mycorrhizas (AM) are present in the Arctic and Antarctic to 82 degrees N and 63 degrees S, respectively, with fine endophyte being the dominant form of AM in roots at higher latitudes. Ecto- (ECM) and ericoid (ERM) mycorrhizas both occur in the Arctic to 79 degrees N, owing to the presence of species of Salix, Dryas, Vaccinium and Cassiope to this latitude. ECM and ERM are not present in Antarctic ecosystems, owing to an absence of suitable hosts. Arbutoid and orchid mycorrhizas are infrequent in the Arctic, whilst the latter are present at one location in the sub-Antarctic. Data from studies of AM, ECM and ERM colonisation along a latitudinal transect through the Arctic indicate that the frequency of plant species not colonised by mycorrhizas increases at higher latitudes, largely owing to an increase in non-mycorrhizal and a decrease in obligately mycorrhizal plant families at more northerly locations. A separate group of root- and rhizoid-associated fungi, the dark septate root endophytes (DSE), are widespread to 82 degrees N and 77 degrees S, and are apparently more frequent than mycorrhizal fungi in polar regions. The functions of DSE are largely unclear, but studies suggest beneficial effects on plant growth under defined conditions. We advocate further research into the effects of DSE on their host plants in polar regions. (C) 2008 Elsevier Ltd and The British Mycological Society. All rights reserved.</t>
  </si>
  <si>
    <t>[Newsham, K. K.] British Antarctic Survey, Nat Environm Res Council, Div Biol Sci, High Cross,Madingley Rd, Cambridge CBE 0ET, England; [Upson, R.] Falklands Conservat, Stanley, Fiqq 1ZZ Falkla, England; [Read, D. J.] Univ Sheffield, Dept Anim &amp; Plant Sci, Sheffield S10 2TN, S Yorkshire, England</t>
  </si>
  <si>
    <t>UK Research &amp; Innovation (UKRI); Natural Environment Research Council (NERC); NERC British Antarctic Survey; University of Sheffield</t>
  </si>
  <si>
    <t>Newsham, KK (corresponding author), British Antarctic Survey, Nat Environm Res Council, Div Biol Sci, High Cross,Madingley Rd, Cambridge CBE 0ET, England.</t>
  </si>
  <si>
    <t>kne@bas.ac.uk</t>
  </si>
  <si>
    <t>Read, David J/C-2454-2013; Newsham, Kevin K/C-4192-2011</t>
  </si>
  <si>
    <t>Natural Environment Research Council; Antarctic Funding initiative [NER/G/S/2000/00318]; Isabella Warren (Scott Polar Research Institute); Peter Enderlein and Nicola Munro (BAS) translated Russian; Natural Environment Research Council [bas010020] Funding Source: researchfish; NERC [bas010020] Funding Source: UKRI</t>
  </si>
  <si>
    <t>Natural Environment Research Council(UK Research &amp; Innovation (UKRI)Natural Environment Research Council (NERC)); Antarctic Funding initiative; Isabella Warren (Scott Polar Research Institute); Peter Enderlein and Nicola Munro (BAS) translated Russian; Natural Environment Research Council(UK Research &amp; Innovation (UKRI)Natural Environment Research Council (NERC)); NERC(UK Research &amp; Innovation (UKRI)Natural Environment Research Council (NERC))</t>
  </si>
  <si>
    <t>Funding was provided by the Natural Environment Research Council through BAS's Long Term Monitoring and Survey programme and the Antarctic Funding initiative (award no. NER/G/S/2000/00318). Isabella Warren (Scott Polar Research Institute), Peter Enderlein and Nicola Munro (BAS) translated Russian, German and Swedish text, Cathy Cripps (Montana State University) supplied literature, and Peter Fretwell (BAS) helped to prepare Figures. Two anonymous referees supplied helpful comments. All are gratefully acknowledged.</t>
  </si>
  <si>
    <t>10.1016/j.funeco.2008.10.005</t>
  </si>
  <si>
    <t>443YL</t>
  </si>
  <si>
    <t>WOS:000265946600002</t>
  </si>
  <si>
    <t>Georgiev, N; Henry, B; Jordanova, N; Froitzheim, N; Jordanova, D; Ivanov, Z; Dimov, D</t>
  </si>
  <si>
    <t>Georgiev, Neven; Henry, Bernard; Jordanova, Neli; Froitzheim, Nikolaus; Jordanova, Diana; Ivanov, Zivko; Dimov, Dimo</t>
  </si>
  <si>
    <t>The emplacement mode of Upper Cretaceous plutons from the southwestern part of the Sredna Gora Zone (Bulgaria) structural and AMS study</t>
  </si>
  <si>
    <t>GEOLOGICA CARPATHICA</t>
  </si>
  <si>
    <t>Late Cretaceous; Sredna Gora - Bulgaria; tectonics; magma emplacement; strike-slip setting; AMS</t>
  </si>
  <si>
    <t>MAGNETIC-SUSCEPTIBILITY; GRANITE; SREDNOGORIE; ANISOTROPY; MAGMATISM; EVOLUTION; FABRICS; MINERALIZATION; DEFORMATION; CONSTRAINTS</t>
  </si>
  <si>
    <t>Several plutons located in the southwestern part of the Sredna Gora Zone - Bulgaria are examples of the Apusetti-Banat-Timok-Sredna Gora type of granites emplaced during Late Cretaceous (86-75 Ma) times. The studied intrusive bodies are spatially related to and deformed by the dextral Iskar-Yavoritsa shear zone. The deformation along the shear zone ceased at the time of emplacement of the undeformed Upper Cretaceous Gutsal pluton, which has intruded the lskar-Yavoritsa mylonites. A clear transition from magmatic foliation to high-, moderate- and low-temperature superimposed foliation and lineation in the vicinity of the Iskar-Yavoritsa and related shear zones gives evidence for simultaneous tectonics and plutonism. Away froth the shear zones, the granitoids appear macroscopically isotropic and were investigated using measurements of anisotropy of magnetic susceptibility at 113 stations. The studied samples show magnetic lineation and foliation, in agreement with the magmatic structures observed at a few sites. Typical features of the internal structure of the plutons are several sheet-like mafic bodies accompanied by swarms of mafic microgranular enclaves. Field observations indicate spatial relationships between mafic bodies and shear zones as well as mingling processes in the magma chamber which suggest simultaneous shearing and magma emplacement. Structural investigations as well as anisotropy of magnetic susceptibility (AMS) data attest to the controlling role of the NW-SE trending lskar-Yavoritsa shear zone and to the syntectonic emplacement of the plutons with deformation in both igneous rocks and their hosts. The tectonic situation may be explained by partitioning of oblique plate convergence into plate-boundary-normal thrusting in the Rhodopes and plate-boundary-parallel transcurrent shearing in the hinterland (Sredna Gora).</t>
  </si>
  <si>
    <t>[Georgiev, Neven; Ivanov, Zivko; Dimov, Dimo] Univ Sofia, Dept Geol &amp; Paleontol, Sofia 1000, Bulgaria; [Henry, Bernard] IPGP, Paleomagnetisme, F-94107 St Maur, France; [Henry, Bernard] CNRS, F-94107 St Maur, France; [Jordanova, Neli; Jordanova, Diana] Bulgarian Acad Sci, Inst Geophys, BU-1113 Sofia, Bulgaria; [Froitzheim, Nikolaus] Univ Bonn, Steinmann Inst, D-53115 Bonn, Germany</t>
  </si>
  <si>
    <t>University of Sofia; Universite Paris Cite; Centre National de la Recherche Scientifique (CNRS); Bulgarian Academy of Sciences; University of Bonn</t>
  </si>
  <si>
    <t>Georgiev, N (corresponding author), Univ Sofia, Dept Geol &amp; Paleontol, St Kliment Ohridski 15 Tzar Osvoboditel Bd, Sofia 1000, Bulgaria.</t>
  </si>
  <si>
    <t>neven@gea.uni-sofia.bg</t>
  </si>
  <si>
    <t>Jordanova, Diana/V-4794-2019; Jordanova, Neli/W-5621-2019; Froitzheim, Nikolaus/K-2639-2012; Georgiev, Neven/L-4310-2016</t>
  </si>
  <si>
    <t>Jordanova, Diana/0000-0003-0595-3153; Jordanova, Neli/0000-0002-9959-4456; Henry, Bernard/0000-0003-2715-8636; Georgiev, Neven/0000-0003-2849-5845</t>
  </si>
  <si>
    <t>NATO [CRG.LG973943]; DFG [FR 700/10-1]; DAAD Project PPP Bulgaria; Bulgarian Antarctic Institute</t>
  </si>
  <si>
    <t>NATO(NATO (North Atlantic Treaty Organisation)); DFG(German Research Foundation (DFG)); DAAD Project PPP Bulgaria; Bulgarian Antarctic Institute</t>
  </si>
  <si>
    <t>This work was supported by the NATO Collaborative Research Grant No. CRG.LG973943. N.F. was supported by DFG Grant FR 700/10-1 and DAAD Project PPP Bulgaria. We would like to thank F. Hrouda, M. Putis and I. Petrik for careful and constructive reviews. N.G. also thanks Z. Cherneva, A. Lazarova and I. Gerdjikov for fruitful discussions and to Prof. Ch. Pimpirev and the Bulgarian Antarctic Institute for responsiveness, technical and financial support.</t>
  </si>
  <si>
    <t>SLOVAK ACAD SCIENCES GEOLOGICAL INST</t>
  </si>
  <si>
    <t>BRATISLAVA</t>
  </si>
  <si>
    <t>DUBRAVSKA CESTA 9, BRATISLAVA, 840 05, SLOVAKIA</t>
  </si>
  <si>
    <t>1335-0552</t>
  </si>
  <si>
    <t>1336-8052</t>
  </si>
  <si>
    <t>GEOL CARPATH</t>
  </si>
  <si>
    <t>Geol. Carpath.</t>
  </si>
  <si>
    <t>10.2478/v10096-009-0001-8</t>
  </si>
  <si>
    <t>420LT</t>
  </si>
  <si>
    <t>WOS:000264292000002</t>
  </si>
  <si>
    <t>de Groot-Hedlin, C; Blackman, DK; Jenkins, CS</t>
  </si>
  <si>
    <t>de Groot-Hedlin, C.; Blackman, Donna K.; Jenkins, C. Scott</t>
  </si>
  <si>
    <t>Effects of variability associated with the Antarctic circumpolar current on sound propagation in the ocean</t>
  </si>
  <si>
    <t>Seismic monitoring and test-ban treaty verification; Acoustic properties; Antarctica</t>
  </si>
  <si>
    <t>RANGE ACOUSTIC DATA; HYDROACOUSTIC SIGNALS; UNDERWATER EXPLOSIONS; SEA; ICEBERGS; MODEL</t>
  </si>
  <si>
    <t>A series of small depth charges was detonated along a transect from New Zealand to Antarctica over a period of 3 days in late December of 2006. The hydroacoustic signals were recorded by a hydrophone deployed near the source and at a sparse network of permanent hydrophone stations operated by the International Monitoring System (IMS), at distances up to 9600 km. Our purpose was to determine how well signal characteristics could be predicted by the World Ocean Atlas 2005 (WOA05) climatological database for sources within the Antarctic circumpolar current (ACC). Waveforms were examined in the 1-100 Hz frequency band, and it was found that for clear transmission paths, the shot signals exceeded the noise only at frequencies above 20-30 Hz. Comparisons of signal spectra for recordings near the source and at the IMS stations show that transmission loss is nearly uniform as a function of frequency. Where recorded signal-to-noise ratios are high, observed and predicted traveltimes and signal dispersion agree to within 2 s under the assumption that propagation is adiabatic and follows a geodesic path. The deflection of the transmission path by abrupt spatial variations in sound speed at the northern ACC boundary is predicted to decrease traveltimes to the IMS stations by several seconds, depending on the path. Acoustic velocities within the ACC are predicted to vary monthly, hence the accuracy of source location estimates based only on arrival times at IMS stations depends on the monthly or seasonal database used to predict traveltimes and on whether we account for path deflection. However, estimates of source locations within the ACC that are based only on observed waveforms at IMS hydrophones are highly dependent on the configuration of the IMS network; a set of shots observed only at an IMS station in the Indian Ocean and another in the South Pacific was located to within 10 km in longitude, but was poorly constrained in latitude. Several sets of shots observed only at IMS hydrophones in the Indian Ocean were constrained to within 55 km in latitude but were poorly constrained in longitude.</t>
  </si>
  <si>
    <t>[de Groot-Hedlin, C.; Blackman, Donna K.] Univ Calif San Diego, SIO, San Diego, CA 92103 USA</t>
  </si>
  <si>
    <t>University of California System; University of California San Diego</t>
  </si>
  <si>
    <t>de Groot-Hedlin, C (corresponding author), Univ Calif San Diego, SIO, San Diego, CA 92103 USA.</t>
  </si>
  <si>
    <t>chedlin@ucsd.edu</t>
  </si>
  <si>
    <t>de Groot-Hedlin, Catherine/A-4919-2013</t>
  </si>
  <si>
    <t>de Groot-Hedlin, Catherine/0000-0002-3063-2805</t>
  </si>
  <si>
    <t>U.S. Army, Space and Missile Defense Command [W9113M-05-1-0019]</t>
  </si>
  <si>
    <t>U.S. Army, Space and Missile Defense Command</t>
  </si>
  <si>
    <t>This work was supported by the U.S. Army, Space and Missile Defense Command, under Contract No. W9113M-05-1-0019. The content does not necessarily reflect the position or the policy of the federal government, and no official endorsement is to be inferred. Brian Dushaw provided helpful suggestions and provided the WOA05 monthly data and code to read the profiles. We thank Steve Cande and JoAnn Stock for allowing us to piggyback the experiment on their research cruise aboard the RVIB Nathaniel B Palmer, during which crew support for our work was excellent. Finally, thanks to Monika Breitzke and an anonymous reviewer for their careful reviews and recommendations for improving the manuscript.</t>
  </si>
  <si>
    <t>10.1111/j.1365-246X.2008.04007.x</t>
  </si>
  <si>
    <t>394TJ</t>
  </si>
  <si>
    <t>WOS:000262470500011</t>
  </si>
  <si>
    <t>Begg, GC; Griffin, WL; Natapov, LM; O'Reilly, SY; Grand, SP; O'Neill, CJ; Hronsky, JMA; Djomani, YP; Swain, CJ; Deen, T; Bowden, P</t>
  </si>
  <si>
    <t>Begg, G. C.; Griffin, W. L.; Natapov, L. M.; O'Reilly, Suzanne Y.; Grand, S. P.; O'Neill, C. J.; Hronsky, J. M. A.; Djomani, Y. Poudjom; Swain, C. J.; Deen, T.; Bowden, P.</t>
  </si>
  <si>
    <t>The lithospheric architecture of Africa: Seismic tomography, mantle petrology, and tectonic evolution</t>
  </si>
  <si>
    <t>GEOSPHERE</t>
  </si>
  <si>
    <t>U-PB ZIRCON; GRANULITE-FACIES METAMORPHISM; EPISODIC CONTINENTAL GROWTH; ZAMBEZI OROGENIC BELT; SOUTH-CENTRAL AFRICA; HIGH-GRADE GNEISSES; RE-OS SYSTEMATICS; LIMPOPO BELT; MOZAMBIQUE BELT; CRUSTAL GROWTH</t>
  </si>
  <si>
    <t>We present a new analysis of the lithospheric architecture of Africa, and its evolution from ca. 3.6 Ga to the present. Upper-lithosphere domains, generated or reworked in different time periods, have been delineated by integrating regional tectonics and geochronology with geophysical data ( magnetic, gravity, and seismic). The origins and evolution of lower-lithosphere domains are interpreted from a high-resolution global shear-wave tomographic model, using thermal/compositional modeling and xenolith/xenocryst data from volcanic rocks. These data are integrated to map the distribution of ancient highly depleted subcontinental lithospheric mantle (SCLM), zones of younger or strongly modified SCLM and zones of active mantle upwelling, and to relate these to the evolution of the upper lithosphere domains. The lithospheric architecture of Africa consists of several Archean cratons and smaller cratonic fragments, stitched together and flanked by younger fold belts; the continental assembly as we see it has only existed since lower Paleozoic time. The larger cratons are underlain by geochemically depleted, rigid, and mechanically robust SCLM; these cratonic roots have steep sides, extending in some cases to &gt;= 300-km depth. Beneath smaller cratons ( e. g., Kaapvaal) extensive refertilization has reduced the lateral and vertical extent of strongly depleted SCLM. Some cratonic roots extend &gt;= 300 km into the Atlantic Ocean, suggesting that the upper lithosphere may detach during continental breakup, leaving fragments of SCLM scattered in the ocean basin. The cratonic margins, and some intracratonic domain boundaries, have played a major role in the tectonics of Africa. They have repeatedly focused ascending magmas, leading to refertilization and weakening of the SCLM. These boundaries have localized successive cycles of extension, rifting, and renewed accretion; the ongoing development of the East Africa Rift and its branches is only the latest stage in this process. The less depleted SCLM that underlies some accretionary belts may have been generated in Archean time, and repeatedly refertilized by the passage of magmas during younger tectonic events. Our analysis indicates that originally Archean SCLM is far more extensive beneath Africa than previously recognized, and implies that post-Archean SCLM rarely survives the collision/accretion process. Where continental crust and SCLM have remained connected, there is a strong linkage between the tectonic evolution of the crust and the composition and modification of its underlying SCLM.</t>
  </si>
  <si>
    <t>[Begg, G. C.] Minerals Targeting Int, Perth, WA 6005, Australia; [Begg, G. C.; Griffin, W. L.; Natapov, L. M.; O'Reilly, Suzanne Y.; O'Neill, C. J.; Djomani, Y. Poudjom; Deen, T.] Macquarie Univ, Dept Earth &amp; Planetary Sci, GEMOC ARC Natl Key Ctr, N Ryde, NSW 2109, Australia; [Grand, S. P.] Univ Texas Austin, Jackson Sch Geosci, Austin, TX 78712 USA; [Hronsky, J. M. A.] Western Min Serv Australia, Perth, WA 6005, Australia; [Djomani, Y. Poudjom] Geol Survey New S Wales, Maitland, NSW 2320, Australia; [Swain, C. J.] Curtin Univ Technol, Western Australian Ctr Geodesy, Perth, WA 6845, Australia; [Deen, T.] British Antarctic Survey, Cambridge CB3 0ET, England; [Bowden, P.] Univ St Etienne, Dept Geol Petrol Geochem, F-42023 St Etienne, France</t>
  </si>
  <si>
    <t>Macquarie University; University of Texas System; University of Texas Austin; NSW Department of Primary Industries; Curtin University; UK Research &amp; Innovation (UKRI); Natural Environment Research Council (NERC); NERC British Antarctic Survey; Universite Jean Monnet</t>
  </si>
  <si>
    <t>Begg, GC (corresponding author), Minerals Targeting Int, 26-17 Prowse St, Perth, WA 6005, Australia.</t>
  </si>
  <si>
    <t>Grand, Stephen/B-4238-2011; Begg, Graham/HLX-6174-2023; Martin, Tara J/F-2570-2017; Poudjom Djomani, Yvette/IAN-3554-2023; GAU, geochemist/H-1985-2016; Martin, Tara/K-9174-2016; Griffin, William L/F-7713-2011; O'Reilly, Suzanne Y/A-1315-2008</t>
  </si>
  <si>
    <t>Martin, Tara/0000-0002-3620-1141; Griffin, William L/0000-0002-0980-2566; Begg, Graham/0000-0002-9231-2954; O'Reilly, Suzanne Y/0000-0002-3883-5498; O'Neill, Craig/0000-0002-6034-1881</t>
  </si>
  <si>
    <t>BHP Billiton Ltd; Australian Research Council; Macquarie University Collaborative Research</t>
  </si>
  <si>
    <t>BHP Billiton Ltd; Australian Research Council(Australian Research Council); Macquarie University Collaborative Research</t>
  </si>
  <si>
    <t>We thank Tim Craske for his early contributions in the area of lithospheric mapping and the Senior Management of the former WMC Resources, Ltd, without whose support this work would not have been possible. We also thank BHP Billiton Ltd for their continued support of the project. We are grateful to Norman Pearson for extensive discussions over many years, and to the staff of the GEMOC Geochemical Analysis Unit for helping to generate the large volumes of geochemical data that underlie this work. We thank Albidon Limited for use of their geochronology data from southeast Tanzania. This work has been supported by Discovery, SPIRT, and Linkage grants from the Australian Research Council (S.Y. O'Reilly and W. L. Griffin) and Macquarie University Collaborative Research Grants. Jean-Yves Cottin organized a seminal workshop at Universite Jean Monnet (Saint-Etienne), and M. Abdelsalam provided many useful contributions. We thank Mark Schmitz and an anonymous referee for thoughtful reviews that helped us to improve the presentation. This is contribution 547 from the ARC National Key Centre for Geochemical Evolution and Metallogeny of Continents (www.es.mq.edu.au/GEMOC).</t>
  </si>
  <si>
    <t>1553-040X</t>
  </si>
  <si>
    <t>Geosphere</t>
  </si>
  <si>
    <t>10.1130/GES00179.1</t>
  </si>
  <si>
    <t>406XE</t>
  </si>
  <si>
    <t>WOS:000263327400002</t>
  </si>
  <si>
    <t>Turnbull, JD; Robinson, SA</t>
  </si>
  <si>
    <t>Turnbull, Johanna D.; Robinson, Sharon A.</t>
  </si>
  <si>
    <t>Accumulation of DNA damage in Antarctic mosses: correlations with ultraviolet-B radiation, temperature and turf water content vary among species</t>
  </si>
  <si>
    <t>GLOBAL CHANGE BIOLOGY</t>
  </si>
  <si>
    <t>Antarctica; Bryum pseudotriquetrum; Ceratodon purpureus; cyclobutane pyrimidine dimers; Grimmia antarctici; ozone hole; Schistidium antarctici; UV-B</t>
  </si>
  <si>
    <t>STRATOSPHERIC OZONE DEPLETION; SOLAR UV-B; GUNNERA-MAGELLANICA; PIGMENT COMPOSITION; CLIMATE-CHANGE; GROWTH; REPAIR; TOLERANCE; ACCLIMATION; BRYOPHYTES</t>
  </si>
  <si>
    <t>The susceptibility of three East Antarctic moss species to UV-B radiation was examined by measuring accumulation of cyclobutane pyrimidine dimers under natural sunlight during the austral summer season of 2002/03. The 2002/03 season was characterized by unusually low springtime ozone depletion and as such our results likely underestimate the DNA damage possible in a more typical UV-B radiation season. Despite this all three species accumulated significant DNA photoproducts. We also found a positive association between photoproduct accumulation and incident UV-B radiation in the two cosmopolitan species, Bryum pseudotriquetrum and Ceratodon purpureus, with more DNA damage in samples collected early in the season compared with later in the summer. For B. pseudotriquetrum, negative associations were also observed between photoproduct accumulation and both turf water content and the 10-day mean air temperature. Photoproduct accumulation in the endemic species Schistidium antarctici was similarly high across the season and no significant association with environmental variables was found. Our results are consistent with the two cosmopolitan species having somewhat higher UV-B-screening capabilities and possibly more efficient mechanisms for repairing DNA damage than the endemic S. antarctici.</t>
  </si>
  <si>
    <t>[Turnbull, Johanna D.; Robinson, Sharon A.] Univ Wollongong, Inst Conservat Biol, Wollongong, NSW 2522, Australia</t>
  </si>
  <si>
    <t>Robinson, SA (corresponding author), Univ Wollongong, Inst Conservat Biol, Wollongong, NSW 2522, Australia.</t>
  </si>
  <si>
    <t>sharonr@uow.edu.au</t>
  </si>
  <si>
    <t>Robinson, Sharon/B-2683-2008</t>
  </si>
  <si>
    <t>Robinson, Sharon/0000-0002-7130-9617; Turnbull, Johanna/0000-0002-4214-1675</t>
  </si>
  <si>
    <t>Australian Antarctic Division; Australian Antarctic Data Centre (IDN Node AMD/AU)</t>
  </si>
  <si>
    <t>This research was supported by grant funding, permits and logistic support from the Australian Antarctic Division. We would like to thank Jane Wasley for field assistance in Antarctica, Professor Osumu Nikaido for kindly providing the TDM-2 monoclonal antibodies and Laurence Clarke, Nicole Grant and the anonymous referees for suggesting improvements to the manuscript. Some of the environmental data used within this paper was obtained from the Australian Antarctic Data Centre (IDN Node AMD/AU), a part of the Australian Antarctic Division (Commonwealth of Australia). The data are described in the State of the Environment indicators 1 'Monthly mean air temperatures at Australian Antarctic Stations' and 10 'Daily broad-band ultra-violet radiation observations using biologically effective UVR detectors'. Data were accessed in 2006/07.</t>
  </si>
  <si>
    <t>1354-1013</t>
  </si>
  <si>
    <t>1365-2486</t>
  </si>
  <si>
    <t>GLOBAL CHANGE BIOL</t>
  </si>
  <si>
    <t>Glob. Change Biol.</t>
  </si>
  <si>
    <t>10.1111/j.1365-2486.2008.01739.x</t>
  </si>
  <si>
    <t>Biodiversity Conservation; Ecology; Environmental Sciences</t>
  </si>
  <si>
    <t>395FR</t>
  </si>
  <si>
    <t>WOS:000262510500003</t>
  </si>
  <si>
    <t>Pérez-Espona, S; Pérez-Barbería, FJ; Goodall-Copestake, WP; Jiggins, CD; Gordon, IJ; Pemberton, JM</t>
  </si>
  <si>
    <t>Perez-Espona, S.; Perez-Barberia, F. J.; Goodall-Copestake, W. P.; Jiggins, C. D.; Gordon, I. J.; Pemberton, J. M.</t>
  </si>
  <si>
    <t>Genetic diversity and population structure of Scottish Highland red deer (Cervus elaphus) populations: a mitochondrial survey</t>
  </si>
  <si>
    <t>HEREDITY</t>
  </si>
  <si>
    <t>mitochondrial DNA; control region; red deer; introgression; population structure; human influence</t>
  </si>
  <si>
    <t>CAPREOLUS-CAPREOLUS POPULATIONS; DNA PHYLOGEOGRAPHY; STATISTICAL TESTS; CONTROL REGION; GENUS CERVUS; HYBRID ZONE; DIFFERENTIATION; GROWTH; COALESCENT; PHYLOGENY</t>
  </si>
  <si>
    <t>The largest population of red deer (Cervus elaphus) in Europe is found in Scotland. However, human impacts through hunting and introduction of foreign deer stock have disturbed the population's genetics to an unknown extent. In this study, we analysed mitochondrial control region sequences of 625 individuals to assess signatures of human and natural historical influence on the genetic diversity and population structure of red deer in the Scottish Highlands. Genetic diversity was high with 74 haplotypes found in our study area (115 x 87 km). Phylogenetic analyses revealed that none of the individuals had introgressed mtDNA from foreign species or subspecies of deer and only suggested a very few localized red deer translocations among British localities. A haplotype network and population analyses indicated significant genetic structure (Phi(ST) = 0.3452, F(ST) = 0.2478), largely concordant with the geographical location of the populations. Mismatch distribution analysis and neutrality tests indicated a significant population expansion for one of the main haplogroups found in the study area, approximately dated c. 8200 or 16 400 years ago when applying a fast or slow mutation rate, respectively. Contrary to general belief, our results strongly suggest that native Scottish red deer mtDNA haplotypes have persisted in the Scottish Highlands and that the population retains a largely natural haplotype diversity and structure in our study area.</t>
  </si>
  <si>
    <t>[Perez-Espona, S.; Jiggins, C. D.; Pemberton, J. M.] Univ Edinburgh, Inst Evolutionary Biol, Sch Biol Sci, Edinburgh, Midlothian, Scotland; [Perez-Barberia, F. J.] Macaulay Inst, Aberdeen, Scotland; [Goodall-Copestake, W. P.] British Antarctic Survey, NERC, Cambridge CB3 0ET, England; [Jiggins, C. D.] Univ Cambridge, Dept Zool, Cambridge, England; [Gordon, I. J.] CSIRO, Davies Lab, Aitkenvale, Qld 4814, Australia</t>
  </si>
  <si>
    <t>University of Edinburgh; James Hutton Institute; UK Research &amp; Innovation (UKRI); Natural Environment Research Council (NERC); NERC British Antarctic Survey; University of Cambridge; Commonwealth Scientific &amp; Industrial Research Organisation (CSIRO)</t>
  </si>
  <si>
    <t>Pérez-Espona, S (corresponding author), Univ Bristol, Sch Biol Sci, Woodland Rd, Bristol BS8 1US, Avon, England.</t>
  </si>
  <si>
    <t>silvia.perezespona@bristol.ac.uk</t>
  </si>
  <si>
    <t>Perez-Espona, Silvia/G-2294-2010; Perez-Barberia, Javier/M-9847-2017; Pérez-Espona, Sílvia/AAB-1433-2019; Gordon, Iain/S-8076-2019; Jiggins, Chris/T-4296-2019; Pemberton, Josephine M/F-3100-2010; Jiggins, Chris D/B-9960-2008; Gordon, Iain J/K-8636-2012; Goodall-Copestake, William P/C-1061-2011; Goodall-Copestake, William/CAF-6866-2022</t>
  </si>
  <si>
    <t>Perez-Barberia, Javier/0000-0001-7513-5418; Gordon, Iain/0000-0001-9704-0946; Jiggins, Chris/0000-0002-7809-062X; Goodall-Copestake, Will/0000-0003-3586-9091</t>
  </si>
  <si>
    <t>Macaulay Development Trust; SEERAD-Scottish Executive</t>
  </si>
  <si>
    <t>We are grateful to all managers and deer stalkers from the estates of Ardgour, Ardverikie, Ben Alder, Clunes, Conaglen, Corrour, Forest Lodge, Glencoe, Glencreran, Glenkinglass, Glenstrae, Kintail, Mamore and South Affric for the collection of samples. Dan Nussey is thanked for fruitful discussions about red deer. Kirsten Frew is thanked for help with some of the sequencing during her BSc Honours project. We also thank the team from the sequencing services at IEB. Comments from the subject editor and anonymous referees helped to improve a past version of the paper. This study was part of SPE's PhD thesis and was funded by The Macaulay Development Trust. SEERAD-Scottish Executive supported FJP-B.</t>
  </si>
  <si>
    <t>0018-067X</t>
  </si>
  <si>
    <t>Heredity</t>
  </si>
  <si>
    <t>10.1038/hdy.2008.111</t>
  </si>
  <si>
    <t>Ecology; Evolutionary Biology; Genetics &amp; Heredity</t>
  </si>
  <si>
    <t>Environmental Sciences &amp; Ecology; Evolutionary Biology; Genetics &amp; Heredity</t>
  </si>
  <si>
    <t>395VB</t>
  </si>
  <si>
    <t>WOS:000262550500013</t>
  </si>
  <si>
    <t>Jones, PD; Briffa, KR; Osborn, TJ; Lough, JM; van Ommen, TD; Vinther, BM; Luterbacher, J; Wahl, ER; Zwiers, FW; Mann, ME; Schmidt, GA; Ammann, CM; Buckley, BM; Cobb, KM; Esper, J; Goosse, H; Graham, N; Jansen, E; Kiefer, T; Kull, C; Küttel, M; Mosley-Thompson, E; Overpeck, JT; Riedwyl, N; Schulz, M; Tudhope, AW; Villalba, R; Wanner, H; Wolff, E; Xoplaki, E</t>
  </si>
  <si>
    <t>Jones, P. D.; Briffa, K. R.; Osborn, T. J.; Lough, J. M.; van Ommen, T. D.; Vinther, B. M.; Luterbacher, J.; Wahl, E. R.; Zwiers, F. W.; Mann, M. E.; Schmidt, G. A.; Ammann, C. M.; Buckley, B. M.; Cobb, K. M.; Esper, J.; Goosse, H.; Graham, N.; Jansen, E.; Kiefer, T.; Kull, C.; Kuettel, M.; Mosley-Thompson, E.; Overpeck, J. T.; Riedwyl, N.; Schulz, M.; Tudhope, A. W.; Villalba, R.; Wanner, H.; Wolff, E.; Xoplaki, E.</t>
  </si>
  <si>
    <t>High-resolution palaeoclimatology of the last millennium: a review of current status and future prospects</t>
  </si>
  <si>
    <t>HOLOCENE</t>
  </si>
  <si>
    <t>Palaeoclimatology; high-resolution; last millennium; tree rings; dendroclimatology; chronology; uncertainty; corals; ice-cores; speleothems; documentary evidence; instrumental records; varves; borehole temperature; marine sediments; composite plus scaling; CPS; climate field reconstruction; CFR; pseudo-proxy approach; time series; climate forcing</t>
  </si>
  <si>
    <t>SEA-SURFACE TEMPERATURE; TREE-RING-WIDTH; NORTH-ATLANTIC OSCILLATION; STABLE-ISOTOPE RECORDS; LATE-HOLOCENE CLIMATE; INTERTROPICAL CONVERGENCE ZONE; PROXY-BASED RECONSTRUCTIONS; CORAL-BASED RECONSTRUCTION; GENERAL-CIRCULATION MODEL; MAXIMUM LATEWOOD DENSITY</t>
  </si>
  <si>
    <t>This review of late-Holocene palaeoclimatology represents the results from a PAGES/CLIVAR Intersection Panel meeting that took place in June 2006. The review is in three parts: the principal high-resolution proxy disciplines (trees, corals, ice cores and documentary evidence), emphasizing current issues in their e for climate reconstruction; the various approaches that have been adopted to combine multiple climate us proxy records to provide estimates of past annual-to-decadal timescale Northern Hemisphere surface temperatures and other climate variables, such as large-scale circulation indices; and the forcing histories used in climate model simulations of the past millennium. We discuss the need to develop a framework through which current and new approaches to interpreting these proxy data may be rigorously assessed using pseudo-proxies derived from climate model runs, where the 'answer' is known. The article concludes with a list of recommendations. First, more raw proxy data are required from the diverse disciplines and from more locations, as well as replication, for all proxy sources, of the basic raw measurements to improve absolute dating, and to better distinguish the proxy climate signal from noise. Second, more effort is required to improve the understanding of what individual proxies respond to, supported by more site measurements and process studies. These activities should also be mindful of the correlation structure of instrumental data, indicating which adjacent proxy records ought to be in agreement and which not. Third, large-scale climate reconstructions should be attempted using a wide variety of techniques, emphasizing those for which quantified errors can be estimated at specified timescales. Fourth, a greater use of climate model simulations is needed to guide the choice of reconstruction techniques (the pseudo-proxy concept) and possibly help determine where, given limited resources, future sampling should be concentrated.</t>
  </si>
  <si>
    <t>[Jones, P. D.; Briffa, K. R.; Osborn, T. J.] Univ E Anglia, Sch Environm Sci, Climat Res Unit, Norwich NR4 7TJ, Norfolk, England; [Lough, J. M.] Australian Inst Marine Sci, Townsville, Qld 4810, Australia; [van Ommen, T. D.] Australian Antarctic Div, Hobart Tasmania 7001, Australia; [van Ommen, T. D.] ACE CRC, Hobart Tasmania 7001, Australia; [Vinther, B. M.] Univ Copenhagen, Niels Bohr Inst, Ctr Ice &amp; Climate, DK-2100 Copenhagen, Denmark; [Luterbacher, J.; Kuettel, M.; Riedwyl, N.; Wanner, H.; Xoplaki, E.] Univ Bern, Oeschger Ctr Climate Change Res, CH-3012 Bern, Switzerland; [Luterbacher, J.; Kuettel, M.; Riedwyl, N.; Wanner, H.; Xoplaki, E.] Univ Bern, NCCR Climate, CH-3012 Bern, Switzerland; [Luterbacher, J.; Kuettel, M.; Riedwyl, N.; Wanner, H.; Xoplaki, E.] Univ Bern, Inst Geog Climatol &amp; Meteorol, CH-3012 Bern, Switzerland; [Wahl, E. R.] Alfred Univ, Div Environm Studies &amp; Geol, NOAA Paleoclimatol, Boulder, CO 80305 USA; [Zwiers, F. W.] Environm Canada, Div Climate Res, Toronto, ON M3H 5T4, Canada; [Mann, M. E.] Penn State Univ, Dept Meteorol, Ctr Earth Syst Sci, University Pk, PA 16802 USA; [Schmidt, G. A.] NASA, Goddard Inst Space Studies, New York, NY 10025 USA; [Ammann, C. M.] Natl Ctr Atmospher Res, Climate &amp; Global Dynam Div, Boulder, CO 80307 USA; [Buckley, B. M.] Lamont Doherty Earth Observ, Tree Ring Lab, Palisades, NY 10964 USA; [Cobb, K. M.] Georgia Inst Technol, Sch Earth &amp; Atmospher Sci, Atlanta, GA 30332 USA; [Esper, J.] Swiss Fed Res Inst WSL, CH-8903 Birmensdorf, Switzerland; [Goosse, H.] Catholic Univ Louvain, Inst Astron &amp; Geophys G Lemaitre, B-1348 Louvain, Belgium; [Graham, N.] Hydrol Res Ctr, La Jolla, CA 92130 USA; [Jansen, E.] Univ Bergen, Dept Geol, Bjerknes Ctr Climate Res, NO-5007 Bergen, Norway; [Kiefer, T.] PAGES Int Project Off, CH-3007 Bern, Switzerland; [Kull, C.] Advisory Body Climate Change, CH-3007 Bern, Switzerland; [Mosley-Thompson, E.] Ohio State Univ, Dept Geog, Columbus, OH 43210 USA; [Mosley-Thompson, E.] Ohio State Univ, Byrd Polar Res Ctr, Columbus, OH 43210 USA; [Overpeck, J. T.] Univ Arizona, Inst Study Planet Earth, Tucson, AZ 85721 USA; [Schulz, M.] Univ Bremen, MARUM Ctr Marine Environm Sci, D-28334 Bremen, Germany; [Schulz, M.] Univ Bremen, Fac Geosci, D-28334 Bremen, Germany; [Tudhope, A. W.] Univ Edinburgh, Sch Geosci, Edinburgh EH9 3JW, Midlothian, Scotland; [Villalba, R.] IANIGLA CRICYT, Argentinean Inst Snow Ice &amp; Environm Sci, RA-5500 Mendoza, Argentina; [Wolff, E.] British Antarctic Survey, Div Phys Sci, Cambridge CB3 0ET, England</t>
  </si>
  <si>
    <t>University of East Anglia; Australian Institute of Marine Science; Australian Antarctic Division; University of Copenhagen; Niels Bohr Institute; University of Bern; University of Bern; University of Bern; National Oceanic Atmospheric Admin (NOAA) - USA; Environment &amp; Climate Change Canada; Pennsylvania Commonwealth System of Higher Education (PCSHE); Pennsylvania State University; Pennsylvania State University - University Park; National Aeronautics &amp; Space Administration (NASA); NASA Goddard Space Flight Center; Goddard Institute for Space Studies; National Center Atmospheric Research (NCAR) - USA; Columbia University; University System of Georgia; Georgia Institute of Technology; Swiss Federal Institutes of Technology Domain; Swiss Federal Institute for Forest, Snow &amp; Landscape Research; Universite Catholique Louvain; University of Bergen; Bjerknes Centre for Climate Research; University System of Ohio; Ohio State University; University System of Ohio; Ohio State University; University of Arizona; University of Bremen; University of Bremen; University of Edinburgh; UK Research &amp; Innovation (UKRI); Natural Environment Research Council (NERC); NERC British Antarctic Survey</t>
  </si>
  <si>
    <t>Jones, PD (corresponding author), Univ E Anglia, Sch Environm Sci, Climat Res Unit, Norwich NR4 7TJ, Norfolk, England.</t>
  </si>
  <si>
    <t>p.jones@uea.ac.uk</t>
  </si>
  <si>
    <t>Schmidt, Gavin/D-4427-2012; Briffa, Keith R/C-8834-2009; Mosley-Thompson, Ellen S/Z-2100-2018; Jones, Philip Douglas/C-8718-2009; Osborn, Timothy/AAK-9279-2020; Lough, Janice M/L-1682-2013; Ammann, Caspar M/A-4899-2011; Mann, Michael E/B-8472-2017; Stuart, Andrew/C-4445-2016; Xoplaki, Elena/AAF-1901-2020; Wolff, Eric W/D-7925-2014; IPO, PAGES/JXY-7546-2024; van Ommen, Tas/B-5020-2012; Esper, Jan/O-3127-2018; Schulz, Michael/P-7276-2016</t>
  </si>
  <si>
    <t>Schmidt, Gavin/0000-0002-2258-0486; Jones, Philip Douglas/0000-0001-5032-5493; Osborn, Timothy/0000-0001-8425-6799; Lough, Janice M/0000-0002-3789-1009; Mann, Michael E/0000-0003-3067-296X; Xoplaki, Elena/0000-0002-2745-2467; Wolff, Eric W/0000-0002-5914-8531; Luterbacher, Juerg/0000-0002-8569-0973; Cobb, Kim/0000-0002-2125-9164; Briffa, Keith/0000-0003-3323-3639; Buckley, Brendan/0000-0003-1544-8003; van Ommen, Tas/0000-0002-2463-1718; Esper, Jan/0000-0003-3919-014X; Schulz, Michael/0000-0001-6500-2697; Vinther, Bo/0000-0002-6078-771X; Villalba, Ricardo/0000-0001-8183-0310</t>
  </si>
  <si>
    <t>Office of Science (BER); US Department of Energy [DE-FG0298ER62601]; UK Natural Environment Research Council [NER/T/S/2002/00440]; EC project Millennium [017008]; Australian Government's Cooperative Research Centres Programme; Antarctic Ecosystems and Climate CRC; US National Science Foundation [0542356]; National Center for Atmospheric Research; Natural Environment Research Council [NER/T/S/2002/00982, NER/T/S/2002/00440, NER/T/S/2002/00443, bas010016] Funding Source: researchfish; NERC [bas010016] Funding Source: UKRI; Directorate For Geosciences; Div Atmospheric &amp; Geospace Sciences [0542356] Funding Source: National Science Foundation</t>
  </si>
  <si>
    <t>Office of Science (BER)(United States Department of Energy (DOE)); US Department of Energy(United States Department of Energy (DOE)); UK Natural Environment Research Council(UK Research &amp; Innovation (UKRI)Natural Environment Research Council (NERC)); EC project Millennium; Australian Government's Cooperative Research Centres Programme(Australian GovernmentDepartment of Industry, Innovation and ScienceCooperative Research Centres (CRC) Programme); Antarctic Ecosystems and Climate CRC(Australian GovernmentDepartment of Industry, Innovation and ScienceCooperative Research Centres (CRC) Programme); US National Science Foundation(National Science Foundation (NSF)); National Center for Atmospheric Research; Natural Environment Research Council(UK Research &amp; Innovation (UKRI)Natural Environment Research Council (NERC)); NERC(UK Research &amp; Innovation (UKRI)Natural Environment Research Council (NERC)); Directorate For Geosciences; Div Atmospheric &amp; Geospace Sciences(National Science Foundation (NSF)NSF - Directorate for Geosciences (GEO))</t>
  </si>
  <si>
    <t>The workshop that was the genesis of this paper, entitled 'Past Millennia Climate Variability - Synthesis and Outlook' was held in Wengen, Switzerland from 7 to 10 June 2006 and was organized by the international joint PAGES (Past Global Changes)/CLIVAR (Climate Variability and Predictability) intersection working group in concert with the PAGES office in Bern, Switzerland. The workshop, which was funded by EPRI (Electric Power Research Institute), PAGES, the Swiss NCCR-Climate Programme and CLIVAR, represented the continued efforts of the international PAGES/CLIVAR intersection to identify the key priority areas for future international collaborative research to advance understanding of the nature of natural climate variability and the extent to which human activities are causing change. The authors thank Henry Diaz, Frank Oldfield and an anonymous reviewer for thorough reviews. PDJ has been supported by the Office of Science (BER), US Department of Energy, Grant No. DE-FG0298ER62601). KRB and TJO also acknowledge funding from UK Natural Environment Research Council (NER/T/S/2002/00440). JE acknowledges funding from EC project Millennium (Grant No. 017008). TDvO acknowledges the support of the Australian Government's Cooperative Research Centres Programme, through the Antarctic Ecosystems and Climate CRC. HG is a research associate with Fonds National de la Recherche Scientific, Belgium. MEM acknowledges support from the US National Science Foundation (Grant No. 0542356). ERW acknowledges support for new research included in this paper from the National Center for Atmospheric Research (funded by the National Science Foundation) and Alfred University, USA.</t>
  </si>
  <si>
    <t>SAGE PUBLICATIONS LTD</t>
  </si>
  <si>
    <t>1 OLIVERS YARD, 55 CITY ROAD, LONDON EC1Y 1SP, ENGLAND</t>
  </si>
  <si>
    <t>0959-6836</t>
  </si>
  <si>
    <t>1477-0911</t>
  </si>
  <si>
    <t>Holocene</t>
  </si>
  <si>
    <t>10.1177/0959683608098952</t>
  </si>
  <si>
    <t>399PU</t>
  </si>
  <si>
    <t>WOS:000262812600001</t>
  </si>
  <si>
    <t>Bentley, MJ; Hodgson, DA; Smith, JA; Cofaigh, CO; Domack, EW; Larter, RD; Roberts, SJ; Brachfeld, S; Leventer, A; Hjort, C; Hillenbrand, CD; Evans, J</t>
  </si>
  <si>
    <t>Bentley, M. J.; Hodgson, D. A.; Smith, J. A.; Cofaigh, C. O.; Domack, E. W.; Larter, R. D.; Roberts, S. J.; Brachfeld, S.; Leventer, A.; Hjort, C.; Hillenbrand, C-D; Evans, J.</t>
  </si>
  <si>
    <t>Mechanisms of Holocene palaeoenvironmental change in the Antarctic Peninsula region</t>
  </si>
  <si>
    <t>Antarctic Peninsula; Southern Ocean; palaeoclimate; Southern Westerlies; ENSO; climate models; Circumpolar Deep Water; Holocene</t>
  </si>
  <si>
    <t>LAST GLACIAL MAXIMUM; SEA-ICE EXTENT; EL-NINO/SOUTHERN-OSCILLATION; SOUTH-SHETLAND-ISLANDS; HIGH-LATITUDE; PALMER-DEEP; SURFACE TEMPERATURES; CLIMATE VARIABILITY; CONTINENTAL-SHELF; ENVIRONMENTAL VARIABILITY</t>
  </si>
  <si>
    <t>The Antarctic Peninsula is one of the three fastest warming regions on Earth. Here we review Holocene proxy records of marine and terrestrial palaeoclimate in the region, and discuss possible forcing mechanisms underlying past change, with a specific focus on past warm periods. Our aim is to critically evaluate the mechanisms by which palaeoclimate changes might have occurred, in order to provide a longer-term context for assessing the drivers of recent warming. Two warm events are well recorded in the Holocene palaeoclimate record, namely the early Holocene warm period, and the 'Mid Holocene Hypsithermal' (MHH), whereas there are fewer proxy data for the 'Mediaeval Warm Period' (MWP) and the 'Recent Rapid Regional' (RRR) warming. We show that the early Holocene warm period and MHH might be explained by relatively abrupt shifts in position of the Southern Westerlies, superimposed on slower solar insolation changes. A key finding of our synthesis is that the marine and terrestrial records in the AP appear to show markedly different behaviour during the MHH. This might be partly explained by contrasts in the seasonal insolation forcing between these records. Circumpolar Deep Water (CDW) has been implicated in several of the prominent changes through the Holocene but there are still differences in interpretation of the proxy record that make its influence difficult to assess. Further work is required to investigate contrasts between marine and terrestrial proxy records, east west contrasts in palaeoclimate, the history of CDW, to retrieve a long onshore high resolution record of the Holocene, and determine the role of sea ice in driving or modulating palaeoclimate change, along with further efforts to study the proxy record of the RRR and the MWP.</t>
  </si>
  <si>
    <t>[Bentley, M. J.; Cofaigh, C. O.] Univ Durham, Dept Geog, Durham DH1 3LE, England; [Bentley, M. J.; Hodgson, D. A.; Smith, J. A.; Larter, R. D.; Roberts, S. J.; Hillenbrand, C-D] British Antarctic Survey, Nat Environm Res Council, Cambridge CB3 0ET, England; [Domack, E. W.] Hamilton Coll, Dept Geosci, Clinton, NY 13323 USA; [Brachfeld, S.] Montclair State Univ, Dept Earth &amp; Environm Studies, Montclair, NJ 07043 USA; [Leventer, A.] Colgate Univ, Dept Geol, Hamilton, NY 13346 USA; [Hjort, C.] GeoBiosphere Sci Ctr, S-22362 Lund, Sweden; [Evans, J.] Loughborough Univ Technol, Dept Geog, Loughborough LE11 3TU, Leics, England</t>
  </si>
  <si>
    <t>Durham University; UK Research &amp; Innovation (UKRI); Natural Environment Research Council (NERC); NERC British Antarctic Survey; Hamilton College; Montclair State University; Colgate University; Loughborough University</t>
  </si>
  <si>
    <t>Bentley, MJ (corresponding author), Univ Durham, Dept Geog, South Rd, Durham DH1 3LE, England.</t>
  </si>
  <si>
    <t>m.j.bentley@durham.ac.uk</t>
  </si>
  <si>
    <t>Bentley, Michael J/F-7386-2011; Evans, Jeffrey/F-5548-2010; IPO, PAGES/JXY-7546-2024; Ó Cofaigh, Colm/D-9131-2012; Smith, James A/N-1836-2013</t>
  </si>
  <si>
    <t>Bentley, Michael J/0000-0002-2048-0019; Larter, Robert/0000-0002-8414-7389; Leventer, Amy/0000-0001-9401-0987; Roberts, Stephen/0000-0003-3407-9127; Brachfeld, Stefanie/0000-0003-4612-2866</t>
  </si>
  <si>
    <t>British Antarctic Survey; Scott Polar Research Institute; NERC [bas010016] Funding Source: UKRI; Natural Environment Research Council [bas010016] Funding Source: researchfish</t>
  </si>
  <si>
    <t>British Antarctic Survey; Scott Polar Research Institute; NERC(UK Research &amp; Innovation (UKRI)Natural Environment Research Council (NERC)); Natural Environment Research Council(UK Research &amp; Innovation (UKRI)Natural Environment Research Council (NERC))</t>
  </si>
  <si>
    <t>This paper was initially stimulated by discussions at the Antarctic Peninsula Climate Variability workshop, held in Cambridge, September 2004, organized by David Vaughan, John King and Mike Bentley. We are grateful to all participants for their involvement, Kathy Salisbury for her organization, and to British Antarctic Survey and the Scott Polar Research Institute for their support for the workshop. We thank the reviewers for constructive comments that helped improve the paper.</t>
  </si>
  <si>
    <t>10.1177/0959683608096603</t>
  </si>
  <si>
    <t>WOS:000262812600002</t>
  </si>
  <si>
    <t>Scott, CE; Saros, JE; Williamson, CE; Salm, CR; Peters, SC; Mitchell, DL</t>
  </si>
  <si>
    <t>Scott, Caren E.; Saros, Jasmine E.; Williamson, Craig E.; Salm, Courtney R.; Peters, Stephen C.; Mitchell, David L.</t>
  </si>
  <si>
    <t>Effects of nutrients and dissolved organic matter on the response of phytoplankton to ultraviolet radiation: experimental comparison in spring versus summer</t>
  </si>
  <si>
    <t>Phytoplankton; Ultraviolet radiation; Seasonal effects; Nutrients</t>
  </si>
  <si>
    <t>INDUCED DNA-DAMAGE; UV-RADIATION; ANTARCTIC PHYTOPLANKTON; TEMPERATURE-DEPENDENCE; SPECIES COMPOSITION; AMINO-ACIDS; B RADIATION; LAKE; GROWTH; ASSEMBLAGES</t>
  </si>
  <si>
    <t>The effects of nutrients and dissolved organic matter (DOM) on the response of phytoplankton community structure to ultraviolet radiation (UVR) was studied using natural phytoplankton assemblages from Lake Giles (Northeastern Pennsylvania), a temperate, oligotrophic, highly UVR-transparent lake. Microcosm experiments were conducted in 1-l bags in the spring and summer. A factorial design was used, with two UVR treatments (ambient and reduced), two nutrient treatments (control with no nutrients added, and nitrogen and phosphorus addition together), and two DOM treatments (control of 1 mg l(-1) and doubled). In April, UVR affected the overall phytoplankton community structure, causing a shift in the dominant species. Significant interactive effects of UVR x nutrients and UVR x DOM were found on total phytoplankton biovolumes. In July, all taxa responded positively to the N + P addition, and were affected differentially by the UVR treatments. The initial communities varied in April and July, but Synura sp. and Chroomonas sp. were present in both seasons. Synura sp. responded positively to the addition of DOM in April and the reduction of UVR in July. Chroomonas sp. responded positively to the reduction of UVR in April and the addition of nutrients in July. The differential sensitivity of these two species suggests that changing environmental factors between spring and summer promoted differences in the relative importance of UVR in changing phytoplankton community structure.</t>
  </si>
  <si>
    <t>[Saros, Jasmine E.; Salm, Courtney R.] Univ Maine, Climate Change Inst, Sch Biol &amp; Ecol, Orono, ME 04469 USA; [Scott, Caren E.] Univ Wisconsin, Dept Biol, La Crosse, WI 54601 USA; [Scott, Caren E.] Univ Wisconsin, River Studies Ctr, La Crosse, WI 54601 USA; [Williamson, Craig E.] Miami Univ, Dept Zool, Oxford, OH 45056 USA; [Peters, Stephen C.] Lehigh Univ, Dept Earth &amp; Environm Sci, Bethlehem, PA 18015 USA; [Mitchell, David L.] Univ Texas MD Anderson Canc Ctr, Dept Carcinogenesis, Smithville, TX 78957 USA</t>
  </si>
  <si>
    <t>University of Maine System; University of Maine Orono; University of Wisconsin System; University of Wisconsin System; University System of Ohio; Miami University; Lehigh University; University of Texas System; UTMD Anderson Cancer Center</t>
  </si>
  <si>
    <t>Saros, JE (corresponding author), Univ Maine, Climate Change Inst, Sch Biol &amp; Ecol, Orono, ME 04469 USA.</t>
  </si>
  <si>
    <t>jasmine.saros@maine.edu</t>
  </si>
  <si>
    <t>Peters, Stephen/0000-0002-9709-1847</t>
  </si>
  <si>
    <t>National Science Foundation [DEB-0210972, DBI-0216204]; University of Wisconsin-La Crosse</t>
  </si>
  <si>
    <t>National Science Foundation(National Science Foundation (NSF)); University of Wisconsin-La Crosse</t>
  </si>
  <si>
    <t>We thank Patrick Neale of the Smithsonian Environmental Research Center for the incident UV data, and Jason Porter and Don Morris for supplying the DOC concentrate. We are grateful for the field assistance of Kristen Pitts, Jason Porter, Tim Guida, and Kirsten Kessler, and the lab assistance of Jason Veldboom. This research was supported by funding from the National Science Foundation (DEB-0210972 and DBI-0216204) and a graduate research grant from the University of Wisconsin-La Crosse.</t>
  </si>
  <si>
    <t>1573-5117</t>
  </si>
  <si>
    <t>10.1007/s10750-008-9608-5</t>
  </si>
  <si>
    <t>384NH</t>
  </si>
  <si>
    <t>WOS:000261751000012</t>
  </si>
  <si>
    <t>Beers, JM; Sidell, BD</t>
  </si>
  <si>
    <t>Beers, J. M.; Sidell, B. D.</t>
  </si>
  <si>
    <t>Nitric Oxide Synthase Activity Correlates with Hemoglobin Content in Antarctic Notothenioid Fishes</t>
  </si>
  <si>
    <t>INTEGRATIVE AND COMPARATIVE BIOLOGY</t>
  </si>
  <si>
    <t>Annual Meeting of the Society-for-Integrative-and-Comparative-Biology</t>
  </si>
  <si>
    <t>JAN 03-07, 2009</t>
  </si>
  <si>
    <t>Boston, MA</t>
  </si>
  <si>
    <t>[Beers, J. M.; Sidell, B. D.] Univ Maine, Orono, ME USA</t>
  </si>
  <si>
    <t>University of Maine System; University of Maine Orono</t>
  </si>
  <si>
    <t>jody.beers@maine.edu</t>
  </si>
  <si>
    <t>1540-7063</t>
  </si>
  <si>
    <t>INTEGR COMP BIOL</t>
  </si>
  <si>
    <t>Integr. Comp. Biol.</t>
  </si>
  <si>
    <t>E198</t>
  </si>
  <si>
    <t>481KL</t>
  </si>
  <si>
    <t>WOS:000268808800787</t>
  </si>
  <si>
    <t>Borley, KA; Sidell, BD</t>
  </si>
  <si>
    <t>Borley, K. A.; Sidell, B. D.</t>
  </si>
  <si>
    <t>Nitric Oxide-mediated Angiogenesis in Antarctic Icefish?</t>
  </si>
  <si>
    <t>[Borley, K. A.; Sidell, B. D.] Univ Maine, Orono, ME 04469 USA</t>
  </si>
  <si>
    <t>kimberly.borley@maine.edu</t>
  </si>
  <si>
    <t>E203</t>
  </si>
  <si>
    <t>WOS:000268808800807</t>
  </si>
  <si>
    <t>Elnitsky, MA; Benoit, JB; Denlinger, DL; Lee, RE</t>
  </si>
  <si>
    <t>Elnitsky, M. A.; Benoit, J. B.; Denlinger, D. L.; Lee, R. E.</t>
  </si>
  <si>
    <t>Desiccation tolerance and drought acclimation in the Antarctic collembolan Cryptopygus antarcticus</t>
  </si>
  <si>
    <t>[Elnitsky, M. A.; Benoit, J. B.; Denlinger, D. L.; Lee, R. E.] Miami Univ, Ohio State Univ, Mercyhurst Coll, Oxford, OH 45056 USA</t>
  </si>
  <si>
    <t>University System of Ohio; Miami University; Ohio State University</t>
  </si>
  <si>
    <t>melnitsky@mercyhurst.edu</t>
  </si>
  <si>
    <t>E225</t>
  </si>
  <si>
    <t>WOS:000268808800897</t>
  </si>
  <si>
    <t>Hunter, RL; Halanych, KM</t>
  </si>
  <si>
    <t>Hunter, Rebecca L.; Halanych, Kenneth M.</t>
  </si>
  <si>
    <t>Contrasting phylogeographic patterns among three Antarctic brittle star species</t>
  </si>
  <si>
    <t>JAN 03-07, 2011</t>
  </si>
  <si>
    <t>Salt Lake, UT</t>
  </si>
  <si>
    <t>[Hunter, Rebecca L.; Halanych, Kenneth M.] Auburn Univ, Auburn, AL 36849 USA</t>
  </si>
  <si>
    <t>Auburn University System; Auburn University</t>
  </si>
  <si>
    <t>belchrl@auburn.edu</t>
  </si>
  <si>
    <t>Halanych, Kenneth/A-9480-2009</t>
  </si>
  <si>
    <t>Halanych, Kenneth/0000-0002-8658-9674</t>
  </si>
  <si>
    <t>1557-7023</t>
  </si>
  <si>
    <t>E81</t>
  </si>
  <si>
    <t>WOS:000268808800322</t>
  </si>
  <si>
    <t>Koplovitz, G; McClintock, JB; Amsler, CD; Baker, BJ</t>
  </si>
  <si>
    <t>Koplovitz, G.; McClintock, J. B.; Amsler, C. D.; Baker, B. J.</t>
  </si>
  <si>
    <t>Palatability and anti-predatory chemical defenses in a suite of ascidians from the Western Antarctic Peninsula</t>
  </si>
  <si>
    <t>Univ Alabama, Birmingham, AL USA; Univ S Florida, Tampa, FL 33620 USA</t>
  </si>
  <si>
    <t>University of Alabama System; University of Alabama Birmingham; State University System of Florida; University of South Florida</t>
  </si>
  <si>
    <t>gilkop@uab.edu</t>
  </si>
  <si>
    <t>Baker, Bill/N-4312-2019</t>
  </si>
  <si>
    <t>E94</t>
  </si>
  <si>
    <t>WOS:000268808800373</t>
  </si>
  <si>
    <t>Mcclintock, JB; Angus, RA; Mcdonald, MR; Amsler, CD</t>
  </si>
  <si>
    <t>Mcclintock, James B.; Angus, Robert A.; Mcdonald, Michelle R.; Amsler, Charles D.</t>
  </si>
  <si>
    <t>Ocean acidification and calcified Antarctic seafloor macroorganisms: The perfect storm</t>
  </si>
  <si>
    <t>[Mcclintock, James B.; Angus, Robert A.; Mcdonald, Michelle R.; Amsler, Charles D.] Univ Alabama, Birmingham, AL USA</t>
  </si>
  <si>
    <t>University of Alabama System; University of Alabama Birmingham</t>
  </si>
  <si>
    <t>mcclinto@uab.edu</t>
  </si>
  <si>
    <t>E269</t>
  </si>
  <si>
    <t>WOS:000268808801071</t>
  </si>
  <si>
    <t>Moran, AL; Woods, HA</t>
  </si>
  <si>
    <t>Moran, A. L.; Woods, H. A.</t>
  </si>
  <si>
    <t>Polar Gigantism in Antarctic Invertebrates: Sizing up the Role of Temperature-Oxygen Interactions</t>
  </si>
  <si>
    <t>Clemson Univ, Clemson, SC 29631 USA; Univ Montana, Missoula, MT 59812 USA</t>
  </si>
  <si>
    <t>Clemson University; University of Montana System; University of Montana</t>
  </si>
  <si>
    <t>Moran, Amy L/F-7072-2011</t>
  </si>
  <si>
    <t>E119</t>
  </si>
  <si>
    <t>WOS:000268808800474</t>
  </si>
  <si>
    <t>Murphy, DW; Webster, DR; Kawaguchi, S; King, R; Yen, J</t>
  </si>
  <si>
    <t>Murphy, D. W.; Webster, D. R.; Kawaguchi, S.; King, R.; Yen, J.</t>
  </si>
  <si>
    <t>Locomotory Biomechanics of Antarctic Krill</t>
  </si>
  <si>
    <t>[Murphy, D. W.; Webster, D. R.; Kawaguchi, S.; King, R.; Yen, J.] Georgia Inst Technol, Australian Antarctic Div, Atlanta, GA 30332 USA</t>
  </si>
  <si>
    <t>Australian Antarctic Division; University System of Georgia; Georgia Institute of Technology</t>
  </si>
  <si>
    <t>dwmurphy@gatech.edu</t>
  </si>
  <si>
    <t>E121</t>
  </si>
  <si>
    <t>WOS:000268808800481</t>
  </si>
  <si>
    <t>Zamzow, JP; Amsler, CD; Mcclintock, JB; Baker, BJ</t>
  </si>
  <si>
    <t>Zamzow, J. P.; Amsler, C. D.; Mcclintock, J. B.; Baker, B. J.</t>
  </si>
  <si>
    <t>Hiding in the bushes: Structural and chemical determinants of habitat choice in Antarctic amphipods</t>
  </si>
  <si>
    <t>jzamzow@gmail.com</t>
  </si>
  <si>
    <t>E189</t>
  </si>
  <si>
    <t>WOS:000268808800752</t>
  </si>
  <si>
    <t>Lozal, N; Montes, MJ; Miñana-Galbis, D; Manresa, A; Mercadé, E</t>
  </si>
  <si>
    <t>Lozal, Nuria; Jesus Montes, M.; Minana-Galbis, David; Manresa, Angeles; Mercade, Elena</t>
  </si>
  <si>
    <t>Shewanella vesiculosa sp nov., a psychrotolerant bacterium isolated from an Antarctic coastal area</t>
  </si>
  <si>
    <t>INTERNATIONAL JOURNAL OF SYSTEMATIC AND EVOLUTIONARY MICROBIOLOGY</t>
  </si>
  <si>
    <t>DEOXYRIBONUCLEIC-ACID; FRIGIDIMARINA; HYBRIDIZATION; DNA</t>
  </si>
  <si>
    <t>Two strains of psychrotolerant bacteria, designated M7(T) and M5, isolated from Antarctic coastal marine environments were studied to determine their taxonomic position. The organisms comprised Gram-negative, rod-shaped, facultatively anaerobic cells that were motile by means of single polar flagella. Neither of the bacterial isolates had a requirement for Na+. These two psychrotolerant strains grew at temperatures ranging from -4 to 30 degrees C. Both strains were capable of producing H2S from thiosulfate and were able to use sodium nitrate and trimethylamine N-oxide as terminal electron acceptors during anaerobic growth. 16S rRNA gene sequence analysis placed M7(T) and M5 within the genus Shewanella; the strains showed the highest similarity (99.9 and 99.2% respectively) with respect to the type strains of Shewanella livingstonensis and Shewanella frigidimarina. However the levels of gyrB sequence similarity between strain M7(T) and the type strains of S. livingstonensis and S. frigidimarina were 87.6 and 87.4%, respectively, DNA-DNA hybridization experiments performed between the Antarctic isolate M7(T) and S. fivingstonensis LMG 19866(T) and S. frigidimarina LMG 19475(T) revealed levels of relatedness of 32 and 35%, respectively. Strain M5 showed 100% DNA relatedness with respect to strain M7(T). The DNA G + C content of these bacteria was 42 mol%. Several phenotypic characteristics, the cellular fatty acid compositions and the quinone content of strains M7(T) and M5 served to differentiate them from related shewanellae. On the basis of the data from this polyphasic taxonomic study, M7(T) and M5 constitute a single genospecies. They represent a novel species of the genus Shewanella, for which the name Shewanella vesiculosa sp. nov. is proposed. The type strain is M7(T) (=LMG 24424(T) =CECT 7339(T)).</t>
  </si>
  <si>
    <t>[Lozal, Nuria; Jesus Montes, M.; Minana-Galbis, David; Manresa, Angeles; Mercade, Elena] Univ Barcelona, Fac Farm, Microbiol Lab, E-08028 Barcelona, Spain</t>
  </si>
  <si>
    <t>University of Barcelona</t>
  </si>
  <si>
    <t>Mercadé, E (corresponding author), Univ Barcelona, Fac Farm, Microbiol Lab, Av Joan XXIII S-N, E-08028 Barcelona, Spain.</t>
  </si>
  <si>
    <t>mmercade@ub.edu</t>
  </si>
  <si>
    <t>Montes, Mª Jesús/L-6430-2014; DE FEBRER, NURIA N.B.F. BOZAL/L-7456-2014; Mercade, Elena/L-5218-2014; Minana-Galbis, David/B-6991-2008</t>
  </si>
  <si>
    <t>Manresa, Angeles/0000-0003-2337-9060; Mercade, Elena/0000-0001-7828-2210; Minana-Galbis, David/0000-0003-2281-0402</t>
  </si>
  <si>
    <t>MICROBIOLOGY SOC</t>
  </si>
  <si>
    <t>14-16 MEREDITH ST, LONDON, ENGLAND</t>
  </si>
  <si>
    <t>1466-5026</t>
  </si>
  <si>
    <t>1466-5034</t>
  </si>
  <si>
    <t>INT J SYST EVOL MICR</t>
  </si>
  <si>
    <t>Int. J. Syst. Evol. Microbiol.</t>
  </si>
  <si>
    <t>10.1099/ijs.0.000737-0</t>
  </si>
  <si>
    <t>410KS</t>
  </si>
  <si>
    <t>WOS:000263576500020</t>
  </si>
  <si>
    <t>Rose, JM; Vora, NM; Countway, PD; Gast, RJ; Caron, DA</t>
  </si>
  <si>
    <t>Rose, Julie M.; Vora, Neil M.; Countway, Peter D.; Gast, Rebecca J.; Caron, David A.</t>
  </si>
  <si>
    <t>Effects of temperature on growth rate and gross growth efficiency of an Antarctic bacterivorous protist</t>
  </si>
  <si>
    <t>Antarctic protist; bacterivory; gross growth efficiency; growth rate; heterotrophic protist; temperature</t>
  </si>
  <si>
    <t>MICROFLAGELLATE FOOD-CHAIN; HETEROTROPHIC NANOFLAGELLATE; OMNIVOROUS MICROFLAGELLATE; NUTRIENT REGENERATION; FLOW-CYTOMETRY; SIZE RANGE; BODY-SIZE; MARINE; PROTOZOA; PARAPHYSOMONAS</t>
  </si>
  <si>
    <t>The effects of temperature on the growth rate and gross growth efficiency (GGE) of the heterotrophic nanoflagellate, Paraphysomonas imperforata, cultured from the Ross Sea, Antarctica were investigated using five experimental temperatures (range 0-20 degrees C). This bacterivorous protist exhibited measurable growth over the temperature range examined, although temperature exerted a significant effect on its growth rate. There was no evidence for an effect of temperature on GGE. The growth rates and GGE of our Antarctic P. imperforata isolate were compared to values reported for other cultures of species from this genus. A wide range of growth efficiencies have been reported for different strains of Paraphysomonas spp., but our estimates were comparable to mean/median values reported in the literature. The growth rates of our Antarctic P. imperforata were similar to rates obtained for an Arctic conspecific at low temperatures (0-5 degrees C), among the highest reported rates for any Paraphysomonas species at intermediate temperatures (10-15 degrees C) and similar to rates reported for temperate congeners and conspecifics at 20 degrees C. Q(10) values of 15, 2.2, 3.6 and 0.93 were calculated for growth rates at 5 degrees C intervals between 0 and 20 degrees C, respectively. Results indicated that our Antarctic P. imperforata grew at rates comparable to other polar isolates at ambient polar temperatures, but these low temperatures may be outside the physiological optimum for the isolate.</t>
  </si>
  <si>
    <t>[Rose, Julie M.; Gast, Rebecca J.] Woods Hole Oceanog Inst, Dept Biol, Woods Hole, MA 02543 USA; [Rose, Julie M.; Vora, Neil M.; Countway, Peter D.; Caron, David A.] Univ So Calif, Dept Biol Sci, Los Angeles, CA 90089 USA</t>
  </si>
  <si>
    <t>Woods Hole Oceanographic Institution; University of Southern California</t>
  </si>
  <si>
    <t>Rose, JM (corresponding author), Woods Hole Oceanog Inst, Dept Biol, MS 32,Redfield 324, Woods Hole, MA 02543 USA.</t>
  </si>
  <si>
    <t>jrose@whoi.edu</t>
  </si>
  <si>
    <t>Vora, Neil Manhar/AAJ-7269-2021</t>
  </si>
  <si>
    <t>Vora, Neil Manhar/0000-0002-4989-3108; Gast, Rebecca J/0000-0003-3875-3975; Rose, Julie/0000-0001-9796-9974</t>
  </si>
  <si>
    <t>National Science Foundation [OPP-0125437, MCB0084231, ANT-0528715]</t>
  </si>
  <si>
    <t>We gratefully acknowledge V Sippel for assistance during the second bacterivory experiment. We are also grateful to M Dennett for collection of the Antarctic water samples, D Moran for isolation of the Antarctic flagellate culture and A Thompson for assistance with the transmission electron microscopy. Funding was provided by the National Science Foundation Grants OPP-0125437, MCB0084231 and ANT- 0528715.</t>
  </si>
  <si>
    <t>10.1038/ismej.2008.96</t>
  </si>
  <si>
    <t>405ZD</t>
  </si>
  <si>
    <t>WOS:000263261800012</t>
  </si>
  <si>
    <t>Xie, XL; Huang, QS; Gong, M; Du, J; Yang, Y; Chen, QX</t>
  </si>
  <si>
    <t>Xie, Xiao-Lan; Huang, Qian-Sheng; Gong, Min; Du, Juan; Yang, Yi; Chen, Qing-Xi</t>
  </si>
  <si>
    <t>Inhibitory Kinetics of β-N-Acetyl-D-glucosaminidase from Prawn (Litopenaeus vannamei) by Zinc Ion</t>
  </si>
  <si>
    <t>IUBMB LIFE</t>
  </si>
  <si>
    <t>beta-N-acetyl-D-glucosaminidase; Litopenaeus vannamei; kinetics; zinc ions; inhibition</t>
  </si>
  <si>
    <t>ANTARCTIC KRILL; ENZYME; PURIFICATION; HEPATOPANCREAS; DENATURATION; INACTIVATION; PHOSPHATASE; CHITOBIASE; CHITINASES; EXPRESSION</t>
  </si>
  <si>
    <t>Prawn (Litopenaeus vannamei) beta-N-acetyl-D-glucosaminidase (NAGase, EC 3.2.1.52) is involved in the digestion and molting, processes. Zinc is one of the most important metals often found in the pollutant. In this article, the effects of Zn2+ on prawn NAGase activity for the hydrolysis of pNP-NAG have been investigated. The results showed that Zn2+ could reversibly and noncompetitively inhibit the enzyme activity at appropriate concentrations and its IC50 value was estimated to be 6.00 +/- 0.25 mM. The inhibition model was set up, and the inhibition kinetics of the enzyme by Zn2+ has been studied using the kinetic method of the substrate reaction. The inhibition constant was determined to he 11.96 mM and the microscopic rate constants were also determined for inactivation and reactivation. The rate constant of the inactivation (k(+0)) is much larger than that of the reactivation (k(-0)). Therefore, when the Zn2+ concentration is sufficiently large, the enzyme is completely inactivated. On increasing the concentration of Zn2+, the fluorescence emission peak and the UV absorbance peak are not position shifted, but the intensity decreased, indicating that the conformation of Zn2+-bound inactive NAGase is stable and different front that of native NAGase. We presumed that Zn2+ made changes in the activity and conformation of prawn NAGase by binding with the histidine or cysteine residues of the enzyme. (c) 2008 IUBMB</t>
  </si>
  <si>
    <t>[Xie, Xiao-Lan; Huang, Qian-Sheng; Gong, Min; Du, Juan; Chen, Qing-Xi] Xiamen Univ, Sch Life Sci, Key Lab Minist Educ Cell Biol &amp; Tumor Cell Engn, Xiamen 361005, Peoples R China; [Xie, Xiao-Lan] Quanzhou Normal Univ, Sch Chem &amp; Life Sci, Quanzhou, Peoples R China; [Yang, Yi] E China Univ Sci &amp; Technol, Sch Pharm, Shanghai 200237, Peoples R China</t>
  </si>
  <si>
    <t>Xiamen University; Quanzhou Normal University; East China University of Science &amp; Technology</t>
  </si>
  <si>
    <t>Chen, QX (corresponding author), Xiamen Univ, Sch Life Sci, Key Lab Minist Educ Cell Biol &amp; Tumor Cell Engn, Xiamen 361005, Peoples R China.</t>
  </si>
  <si>
    <t>chenqx@xmu.edu.cn</t>
  </si>
  <si>
    <t>Chen, QX/G-4600-2010; Min, Gong/AAW-2473-2021; huang, biogua/F-4622-2016; Yang, Yi/C-1297-2013</t>
  </si>
  <si>
    <t>huang, biogua/0000-0002-3788-3164; Yang, Yi/0000-0001-7896-1184</t>
  </si>
  <si>
    <t>Natural Science Foundation of China [30500102]; Science and Technology Foundation of Fujian Province [2006N0067]; China Postdoctoral Science Foundation [20070410806]</t>
  </si>
  <si>
    <t>Natural Science Foundation of China(National Natural Science Foundation of China (NSFC)); Science and Technology Foundation of Fujian Province(Natural Science Foundation of Fujian Province); China Postdoctoral Science Foundation(China Postdoctoral Science Foundation)</t>
  </si>
  <si>
    <t>This investigation was supported by the grant 30500102 of the Natural Science Foundation of China, the grant 2006N0067 of the Science and Technology Foundation of Fujian Province, and the grant 20070410806 of the China Postdoctoral Science Foundation.</t>
  </si>
  <si>
    <t>1521-6543</t>
  </si>
  <si>
    <t>1521-6551</t>
  </si>
  <si>
    <t>IUBMB Life</t>
  </si>
  <si>
    <t>10.1002/iub.140</t>
  </si>
  <si>
    <t>403HX</t>
  </si>
  <si>
    <t>WOS:000263074800008</t>
  </si>
  <si>
    <t>Cheng, CHC; di Prisc, G; Verde, C</t>
  </si>
  <si>
    <t>Cheng, C. -H. Christina; di Prisc, Guido; Verde, Cinzia</t>
  </si>
  <si>
    <t>The Icefish Paradox. Which Is the Task of Neuroglobin in Antarctic Hemoglobin-Less Icefish?</t>
  </si>
  <si>
    <t>MITOCHONDRIAL BIOGENESIS; CLIMATE-CHANGE; NITRIC-OXIDE; GLOBIN-GENE; MYOGLOBIN; OXYGEN; FISH; EXPRESSION; ADAPTATION; PHYLOGENY</t>
  </si>
  <si>
    <t>[di Prisc, Guido; Verde, Cinzia] CNR, Inst Prot Biochem, I-80131 Naples, Italy; [Cheng, C. -H. Christina] Univ Illinois, Dept Anim Biol, Urbana, IL 61801 USA</t>
  </si>
  <si>
    <t>10.1002/iub.138</t>
  </si>
  <si>
    <t>WOS:000263074800011</t>
  </si>
  <si>
    <t>Bergstrom, DM; Lucieer, A; Kiefer, K; Wasley, J; Belbin, L; Pedersen, TK; Chown, SL</t>
  </si>
  <si>
    <t>Bergstrom, Dana M.; Lucieer, Arko; Kiefer, Kate; Wasley, Jane; Belbin, Lee; Pedersen, Tore K.; Chown, Steven L.</t>
  </si>
  <si>
    <t>Indirect effects of invasive species removal devastate World Heritage Island</t>
  </si>
  <si>
    <t>JOURNAL OF APPLIED ECOLOGY</t>
  </si>
  <si>
    <t>invasive species; cats; rabbits; sub-Antarctic; trophic cascade</t>
  </si>
  <si>
    <t>ANTARCTIC MACQUARIE ISLAND; ORYCTOLAGUS-CUNICULUS; INTRODUCED PREDATORS; PLANT-COMMUNITIES; FERAL CAT; RABBIT; VEGETATION; RATS; ERADICATION; ECOLOGY</t>
  </si>
  <si>
    <t>1. Owing to the detrimental impacts of invasive alien species, their control is often a priority for conservation management. Whereas the potential for unforeseen consequences of management is recognized, their associated complexity and costs are less widely appreciated. 2. We demonstrate that theoretically plausible trophic cascades associated with invasive species removal not only take place in reality, but can also result in rapid and drastic landscape-wide changes to ecosystems. 3. Using a combination of population data from of an invasive herbivore, plot-scale vegetation analyses, and satellite imagery, we show how a management intervention to eradicate a mesopredator has inadvertently and rapidly precipitated landscape-wide change on sub-Antarctic Macquarie Island. This happened despite the eradication being positioned within an integrated pest management framework. Following eradication of cats Felis catus in 2001, rabbit Oryctolagus cuniculus numbers increased substantially although a control action was in place (Myxoma virus), resulting in island-wide ecosystem effects. 4. Synthesis and applications. Our results highlight an important lesson for conservation agencies working to eradicate invasive species globally; that is, risk assessment of management interventions must explicitly consider and plan for their indirect effects, or face substantial subsequent costs. On Macquarie Island, the cost of further conservation action will exceed AU$24 million.</t>
  </si>
  <si>
    <t>[Bergstrom, Dana M.; Kiefer, Kate; Wasley, Jane; Pedersen, Tore K.] Australian Antarctic Div, Dept Environm Water Heritage &amp; Arts, Kingston, Tas 7050, Australia; [Lucieer, Arko; Pedersen, Tore K.] Univ Tasmania, Sch Geog &amp; Environm Studies, Hobart, Tas 7001, Australia; [Belbin, Lee] Blatant Fabricat Pty Ltd, Hobart, Tas, Australia; [Chown, Steven L.] Univ Stellenbosch, Dept Bot &amp; Zool, Ctr Invas Biol, ZA-7602 Matieland, South Africa</t>
  </si>
  <si>
    <t>Australian Antarctic Division; University of Tasmania; Stellenbosch University</t>
  </si>
  <si>
    <t>Bergstrom, DM (corresponding author), Australian Antarctic Div, Dept Environm Water Heritage &amp; Arts, 203 Channel Highway, Kingston, Tas 7050, Australia.</t>
  </si>
  <si>
    <t>dana.bergstrom@aad.gov.au</t>
  </si>
  <si>
    <t>Chown, Steven/ABD-7646-2021; Lucieer, Arko/F-1247-2013; Bergstrom, Dana/AAC-2837-2022; Wasley, Jane/KHX-4880-2024; Bond, Alexander L/A-3786-2010; Chown, Steven/H-3347-2011</t>
  </si>
  <si>
    <t>Lucieer, Arko/0000-0002-9468-4516; Bergstrom, Dana/0000-0001-8484-8954; Wasley, Jane/0000-0001-9379-664X; Belbin, Lee/0000-0001-8900-6203; Chown, Steven/0000-0001-6069-5105</t>
  </si>
  <si>
    <t>0021-8901</t>
  </si>
  <si>
    <t>1365-2664</t>
  </si>
  <si>
    <t>J APPL ECOL</t>
  </si>
  <si>
    <t>J. Appl. Ecol.</t>
  </si>
  <si>
    <t>10.1111/j.1365-2664.2008.01601.x</t>
  </si>
  <si>
    <t>394UY</t>
  </si>
  <si>
    <t>WOS:000262477800009</t>
  </si>
  <si>
    <t>Southwell, C; Low, M</t>
  </si>
  <si>
    <t>Southwell, Colin; Low, Matthew</t>
  </si>
  <si>
    <t>Black and white or shades of grey? Detectability of AdElie penguins during shipboard surveys in the Antarctic pack-ice</t>
  </si>
  <si>
    <t>Antarctica; detectability; distance sampling; double observers; line transect; mark-recapture; point independence; population estimation; seabird; Southern Ocean</t>
  </si>
  <si>
    <t>LINE TRANSECT SURVEYS; SEA; ABUNDANCE; SEABIRDS; DISTANCE; BIRDS</t>
  </si>
  <si>
    <t>Estimates of penguin abundance are important for developing marine ecosystem models and assessing potential competition between penguins and fisheries operations. Most shipboard surveys of penguins use strip transect (ST) or conventional distance sampling (CDS) methods to estimate abundance, but the assumptions of these methods are largely untested. To test their validity for surveys of AdElie penguins in the Antarctic pack-ice, we recorded mark-recapture line-transect data and estimated detectability using a point-independence (PI) analysis. Contrary to ST assumptions, detectability declined markedly with distance from the transect line and varied with group size, substrate and observer position. Estimated detection probabilities across a 300-m strip width, which has frequently been used in shipboard surveys, ranged from 0.09 for single penguins in water to 0.91 for groups of &gt; 5 penguins on ice floes. Contrary to CDS assumptions, only two-thirds of detections close to the transect line by one observer team were detected by the second team. Estimated detection probabilities on the transect line ranged from 0.30 for single penguins in water to 0.92 for large groups of penguins on ice. Synthesis and applications. Most shipboard surveys have not accounted for incomplete detection, potentially resulting in large negative biases that may vary between surveys. Recent theoretical improvements provide the potential for these biases to be addressed, but this requires application of more sophisticated and rigorous survey protocols. Application of PI analysis to mark-recapture line transect data demonstrated that substantial improvement to abundance estimates could be achieved for penguins compared with previously used methods. The protocols required for PI estimation can be applied to shipboard surveys of slow-moving species such as penguins and seals, but may be difficult to apply to species moving faster than the survey platform, such as flying seabirds. The benefits of multiple observers are maximized only if they operate independently. For multi-species surveys, it would be beneficial to have multiple teams of observers, each focussing on a species group. Improved estimation of marine predator abundance will facilitate the development of more realistic ecosystem models and allow improved management of the impact of fisheries operations on non-target species.</t>
  </si>
  <si>
    <t>[Southwell, Colin; Low, Matthew] Australian Antarctic Div, Dept Environm Water Heritage &amp; Arts, Kingston, Tas 7050, Australia</t>
  </si>
  <si>
    <t>Southwell, C (corresponding author), Australian Antarctic Div, Dept Environm Water Heritage &amp; Arts, 203 Channel Highway, Kingston, Tas 7050, Australia.</t>
  </si>
  <si>
    <t>colin.southwell@aad.gov.au</t>
  </si>
  <si>
    <t>Low, Matthew/D-2292-2013</t>
  </si>
  <si>
    <t>Low, Matthew/0000-0002-7345-6063</t>
  </si>
  <si>
    <t>10.1111/j.1365-2664.2008.01584.x</t>
  </si>
  <si>
    <t>WOS:000262477800016</t>
  </si>
  <si>
    <t>Asthana, RK; Deepali, A; Tripathi, MK; Srivastava, A; Singh, AP; Singh, SP; Nath, G; Srivastava, R; Srivastava, BS</t>
  </si>
  <si>
    <t>Asthana, Ravi K.; Deepali, A.; Tripathi, Manoj K.; Srivastava, Arunima; Singh, Akhilesh P.; Singh, Sureshwar P.; Nath, Gopal; Srivastava, Ranjana; Srivastava, Brahm S.</t>
  </si>
  <si>
    <t>Isolation and identification of a new antibacterial entity from the Antarctic cyanobacterium Nostoc CCC 537</t>
  </si>
  <si>
    <t>JOURNAL OF APPLIED PHYCOLOGY</t>
  </si>
  <si>
    <t>Antimicrobial activity; Antarctic cyanobacterium; Nostoc CCC 537; Active principle</t>
  </si>
  <si>
    <t>MEMBRANE-LIPIDS; CYANOVIRIN-N; FISCHERELLA; STRAIN; TEMPERATURE; COMMUNE; NOSTOCARBOLINE; BIOSYNTHESIS; METABOLITES; EXPRESSION</t>
  </si>
  <si>
    <t>The present study was aimed at the isolation, purification and structural elucidation of an antibacterial entity/lead molecule from the Antarctic cyanobacterium Nostoc CCC 537. A methanolic extract of the cyanobacterium was bioassayed with Enterobacter aerogenes as a target. The extract was purified by TLC, and the most active band was subjected to HPLC. The fraction (retention time 15.7 min) designated as the active principle was antibacterial towards Gram positive Mycobacterium tuberculosis H37Rv, Staphylococcus aureus ATCC 25923, Gram negative Salmonella typhi MTCC 3216, Pseudomonas aeruginosa ATCC 27853, Escherichia coli ATCC 25992, Enterobacter aerogenes MTCC 2822 and multi-drug resistant strains of Escherichia coli GS 2003/01, 02, 03. Based on UV, IR, (1)H NMR, EIMS, and ESIMS data, the structure of the active principle is proposed as 4-[(5-carboxy-2-hydroxy)-benzyl]-1,10-dihydroxy-3,4,7,11,11-pentamethyloctahydrocyclopenta &lt; a &gt; naphthalene (Mr 428, Mp 243-249A degrees C). This intracellular biomolecule is similar to anthraquinone and indane derivatives of a diterpenoid. The rate of production of the active principle currently corresponds to 1.70 mg g(-1) biomass dry weight. The inherent property of Nostoc sp. to synthesise niche-specific biomolecules/lead molecules may be exploited for future drug development.</t>
  </si>
  <si>
    <t>[Asthana, Ravi K.; Deepali, A.; Tripathi, Manoj K.; Srivastava, Arunima; Singh, Akhilesh P.; Singh, Sureshwar P.] Banaras Hindu Univ, Ctr Adv Study Bot, Varanasi 221005, Uttar Pradesh, India; [Nath, Gopal] Banaras Hindu Univ, Inst Med Sci, Dept Microbiol, Varanasi 221005, Uttar Pradesh, India; [Srivastava, Ranjana; Srivastava, Brahm S.] Cent Drug Res Inst, Div Microbiol, Lucknow 226001, Uttar Pradesh, India</t>
  </si>
  <si>
    <t>Banaras Hindu University (BHU); Banaras Hindu University (BHU); Council of Scientific &amp; Industrial Research (CSIR) - India; CSIR - Central Drug Research Institute (CDRI)</t>
  </si>
  <si>
    <t>Asthana, RK (corresponding author), Banaras Hindu Univ, Ctr Adv Study Bot, Varanasi 221005, Uttar Pradesh, India.</t>
  </si>
  <si>
    <t>asthana_ravi@rediffmail.com</t>
  </si>
  <si>
    <t>Tripathi, MANOJ Kumar/ADT-4812-2022; NATH, GOPAL/GSN-5212-2022</t>
  </si>
  <si>
    <t>NATH, GOPAL/0000-0003-2722-1308</t>
  </si>
  <si>
    <t>Departments of Chemistry (NMR); Chemical Engineering, IT (HPLC); Banaras Hindu University; Head; RSIC; CDRI; Lucknow (EIMS and ESIMS)</t>
  </si>
  <si>
    <t>We are grateful to the Head and Programme Coordinator, CAS in Botany, for laboratory facilities, the Departments of Chemistry (NMR) and Chemical Engineering, IT (HPLC), Banaras Hindu University, Head, RSIC, CDRI, and Lucknow (EIMS and ESIMS), for financial support to Deepali (UGC), Arunima Srivastava (CSIR). We are also grateful to Dr. A. P. Singh (DST, India) and Dr. M. S. Singh, Department of Chemistry, for help with nomenclature of the active principle.</t>
  </si>
  <si>
    <t>0921-8971</t>
  </si>
  <si>
    <t>J APPL PHYCOL</t>
  </si>
  <si>
    <t>J. Appl. Phycol.</t>
  </si>
  <si>
    <t>10.1007/s10811-008-9328-2</t>
  </si>
  <si>
    <t>Biotechnology &amp; Applied Microbiology; Marine &amp; Freshwater Biology</t>
  </si>
  <si>
    <t>414PF</t>
  </si>
  <si>
    <t>WOS:000263877000010</t>
  </si>
  <si>
    <t>The Control of Polar Haloclines by Along-Isopycnal Diffusion in Climate Models</t>
  </si>
  <si>
    <t>OCEAN CIRCULATION MODELS; ATLANTIC THERMOHALINE CIRCULATION; FLUX-CORRECTED TRANSPORT; TRACER TRANSPORTS; SENSITIVITY; RADIOCARBON; STABILITY</t>
  </si>
  <si>
    <t>Increasing the value of along-isopycnal diffusivity in a coupled model is shown to lead to enhanced stability of North Atlantic Deep Water (NADW) formation with respect to freshwater (FW) perturbations. This is because the North Atlantic (NA) surface salinity budget is dominated by upward salt fluxes resulting from winter convection for low values of along-isopycnal diffusivity, whereas along-isopycnal diffusion exerts a strong control on NA surface salinity at higher diffusivity values. Shutdown of wintertime convection in response to a FW pulse allows the development of a halocline responsible for the suppression of deep sinking. In contrast to convection, isopycnal salt diffusion proves a more robust mechanism for preventing the formation of a halocline, as surface freshening leads only to a flattening of isopycnals, leaving at least some diffusive removal of anomalous surface FW in place. As a result, multiple equilibria are altogether absent for sufficiently high values of isopycnal diffusivity. Furthermore, the surface salinity budget of the North Pacific is also dominated by along-isopycnal diffusion when diffusivity values are sufficiently high, leading to a breakdown of the permanent halocline there and the associated onset of deep-water formation.</t>
  </si>
  <si>
    <t>[Sijp, Willem P.; England, Matthew H.] Univ New S Wales, CCRC, Fac Sci, Sydney, NSW 2052, Australia</t>
  </si>
  <si>
    <t>Sijp, WP (corresponding author), Univ New S Wales, CCRC, Fac Sci, Sydney, NSW 2052, Australia.</t>
  </si>
  <si>
    <t>Australian Research Council; Australian Antarctic Science Program</t>
  </si>
  <si>
    <t>Australian Research Council(Australian Research Council); Australian Antarctic Science Program</t>
  </si>
  <si>
    <t>We thank the University of Victoria staff for support in the use of their coupled climate model. This research was supported by the Australian Research Council and the Australian Antarctic Science Program. We also thank Steve Griffios for his helpful comments.</t>
  </si>
  <si>
    <t>10.1175/2008JCLI2513.1</t>
  </si>
  <si>
    <t>415AZ</t>
  </si>
  <si>
    <t>WOS:000263908000002</t>
  </si>
  <si>
    <t>Screen, JA; Gillett, NP; Stevens, DP; Marshall, GJ; Roscoe, HK</t>
  </si>
  <si>
    <t>Screen, James A.; Gillett, Nathan P.; Stevens, David P.; Marshall, Gareth J.; Roscoe, Howard K.</t>
  </si>
  <si>
    <t>The Role of Eddies in the Southern Ocean Temperature Response to the Southern Annular Mode</t>
  </si>
  <si>
    <t>ANTARCTIC CIRCUMPOLAR CURRENT; KINETIC-ENERGY; VARIABILITY; CIRCULATION; HEAT; FLUX; SIMULATION; ATMOSPHERE; LAYER</t>
  </si>
  <si>
    <t>The role of eddies in modulating the Southern Ocean response to the southern annular mode (SAM) is examined, using an ocean model run at multiple resolutions from coarse to eddy resolving. The high-resolution versions of the model show an increase in eddy kinetic energy that peaks 2-3 yr after a positive anomaly in the SAM index. Previous work has shown that the instantaneous temperature response to the SAM is characterized by predominant cooling south of 45 degrees S and warming to the north. At all resolutions the model captures this temperature response. This response is also evident in the coarse-resolution implementation of the model with no eddy mixing parameterization, showing that eddies do not play an important role in the instantaneous response. On the longer time scales, an intensification of the mesoscale eddy field occurs, which causes enhanced poleward heat flux and drives warming south of the oceanic Polar Front. This warming is of greater magnitude and occurs for a longer period than the initial cooling response. The results demonstrate that this warming is surface intensified and strongest in the mixed layer. Non-eddy-resolving models are unable to capture the delayed eddy-driven temperature response to the SAM. The authors therefore question the ability of coarse-resolution models, such as those commonly used in climate simulations, to accurately represent the full impacts of the SAM on the Southern Ocean.</t>
  </si>
  <si>
    <t>[Screen, James A.; Gillett, Nathan P.] Univ E Anglia, Climat Res Unit, Sch Environm Sci, Norwich NR4 7TJ, Norfolk, England; [Stevens, David P.] Univ E Anglia, Sch Math, Norwich NR4 7TJ, Norfolk, England; [Marshall, Gareth J.; Roscoe, Howard K.] British Antarctic Survey, Cambridge CB3 0ET, England</t>
  </si>
  <si>
    <t>University of East Anglia; University of East Anglia; UK Research &amp; Innovation (UKRI); Natural Environment Research Council (NERC); NERC British Antarctic Survey</t>
  </si>
  <si>
    <t>Screen, JA (corresponding author), Univ E Anglia, Climat Res Unit, Sch Environm Sci, Norwich NR4 7TJ, Norfolk, England.</t>
  </si>
  <si>
    <t>j.screen@uea.ac.uk</t>
  </si>
  <si>
    <t>Screen, James A/D-7588-2013; Stevens, David/F-2509-2010</t>
  </si>
  <si>
    <t>Stevens, David/0000-0002-7283-4405; Screen, James/0000-0003-1728-783X</t>
  </si>
  <si>
    <t>NERC [bas010020, bas0100023] Funding Source: UKRI; Natural Environment Research Council [bas010020, bas0100023] Funding Source: researchfish</t>
  </si>
  <si>
    <t>10.1175/2008JCLI2416.1</t>
  </si>
  <si>
    <t>Green Submitted, Bronze, Green Accepted</t>
  </si>
  <si>
    <t>WOS:000263908000021</t>
  </si>
  <si>
    <t>Sandblom, E; Axelsson, M; Davison, W</t>
  </si>
  <si>
    <t>Sandblom, Erik; Axelsson, Michael; Davison, William</t>
  </si>
  <si>
    <t>Circulatory function at sub-zero temperature: venous responses to catecholamines and angiotensin II in the Antarctic fish Pagothenia borchgrevinki</t>
  </si>
  <si>
    <t>Adrenaline; Cardiac output; Central venous blood pressure; Mean circulatory filling pressure; Stroke volume</t>
  </si>
  <si>
    <t>TROUT ONCORHYNCHUS-MYKISS; RAINBOW-TROUT; ADRENERGIC CONTROL; CARDIOVASCULAR-RESPONSES; RENIN-ANGIOTENSIN; SYSTEM; PRESSURE; TELEOST; CAPACITANCE; PERSPECTIVE</t>
  </si>
  <si>
    <t>Catecholamines increase arterial pressure by increasing cardiac output (Q) and stroke volume (V (s)), while angiotensin II (ang II) also increases vascular resistance (R (sys)) in the Antarctic fish Pagothenia borchgrevinki. Adrenaline, phenylephrine and ang II (Asn(1), Val(5)) were injected into P. borchgrevinki. Cardiovascular variables, including central venous pressure (P (cv)) and mean circulatory filling pressure (P (mcf); an index of venous capacitance), were recorded to investigate if venous vasoconstriction can explain the increased V (s) and Q and the arterial pressor response in this species. Routine P (cv) and P (mcf) were 0.11 +/- A 0.01 and 0.18 +/- A 0.02 kPa, respectively. All of the drugs caused moderate increases in P (cv) and P (mcf) and the responses were attenuated after alpha-adrenergic blockade with prazosin. Although dorsal aortic pressure (P (da)) also increased in response to all agonists, the mechanisms differed. Adrenaline caused sustained increases in V (s) and Q, while R (sys) only rose transiently. Ang II had a slower effect than adrenaline and increased both R (sys) and Q, while phenylephrine only increased R (sys). This study demonstrates that P (cv) is positive and controlled by an alpha-adrenergic mechanism in P. borchgrevinki. However, given the relatively small venous response to adrenaline it seems more likely that the increases in V (s) and Q from this agonist are due to direct effects on the heart.</t>
  </si>
  <si>
    <t>[Sandblom, Erik; Axelsson, Michael] Univ Gothenburg, Dept Zool, S-40530 Gothenburg, Sweden; [Davison, William] Univ Canterbury, Sch Biol Sci, Christchurch 1, New Zealand</t>
  </si>
  <si>
    <t>University of Gothenburg; University of Canterbury</t>
  </si>
  <si>
    <t>Sandblom, E (corresponding author), Univ British Columbia, Fac Land &amp; Food Syst, Vancouver, BC V6T 1ZA, Canada.</t>
  </si>
  <si>
    <t>erik.sandblom@zool.gu.se</t>
  </si>
  <si>
    <t>Axelsson, Michael/D-1412-2009</t>
  </si>
  <si>
    <t>Axelsson, Michael/0000-0002-7839-3233</t>
  </si>
  <si>
    <t>Swedish research council</t>
  </si>
  <si>
    <t>Swedish research council(Swedish Research Council)</t>
  </si>
  <si>
    <t>The authors would like to thank Antarctica New Zealand and base staff of Scott Base for logistics support and the ability to visit and work in Antarctica. M. A. was financially supported by research grants from the Swedish research council and E. S. was supported by a travel grant from the Swedish research council.</t>
  </si>
  <si>
    <t>10.1007/s00360-008-0299-z</t>
  </si>
  <si>
    <t>396FO</t>
  </si>
  <si>
    <t>WOS:000262577800006</t>
  </si>
  <si>
    <t>Murthy, BS; Latha, R; Sukumaran, C; Shivaji, A; Sivaramakrishnan, S</t>
  </si>
  <si>
    <t>Murthy, B. S.; Latha, R.; Sukumaran, Cini; Shivaji, A.; Sivaramakrishnan, S.</t>
  </si>
  <si>
    <t>On the influence of spatial heterogeneity on an internal boundary layer at a short fetch</t>
  </si>
  <si>
    <t>JOURNAL OF EARTH SYSTEM SCIENCE</t>
  </si>
  <si>
    <t>Wind spectra; heterogeneity; sea-land interface; IBL</t>
  </si>
  <si>
    <t>STEP CHANGE</t>
  </si>
  <si>
    <t>Surface layer meteorological data collected at a coastal site, at Vasco-Da-Gama (15A degrees 21'N, 73A degrees 51'E, 58.5m MSL) (13-18 July, 2002) with prevailing southwesterly surface winds are analyzed to study the characteristics of internal boundary layer at a short fetch using an instrumented tower (9 m). The spectral and turbulence characteristics of wind are compared with earlier measurements made at a comparatively homogeneous terrain and the standards available in literature. The study show the smaller eddies in the vertical velocity spectrum attains equilibrium with the underlying surface at a short fetch itself and follows spectral similarity. However, this is not followed by longitudinal and transverse velocity spectra under unstable as well as stable conditions.</t>
  </si>
  <si>
    <t>[Murthy, B. S.; Latha, R.; Sukumaran, Cini; Sivaramakrishnan, S.] Indian Inst Trop Meteorol, Pune 411008, Maharashtra, India; [Shivaji, A.] Natl Ctr Antarctic &amp; Ocean Res, Vasco Da Gama, Goa, India</t>
  </si>
  <si>
    <t>Ministry of Earth Sciences (MoES) - India; Indian Institute of Tropical Meteorology (IITM); Ministry of Earth Sciences (MoES) - India; National Centre for Polar and Ocean Research (NCPOR)</t>
  </si>
  <si>
    <t>Murthy, BS (corresponding author), Indian Inst Trop Meteorol, Dr Homi Bhabha Rd,NCL Post, Pune 411008, Maharashtra, India.</t>
  </si>
  <si>
    <t>murthy@tropmet.res.in</t>
  </si>
  <si>
    <t>S, M/JTT-7083-2023; S, Murthy B/ABH-2729-2020; R, Latha/K-7871-2015</t>
  </si>
  <si>
    <t>R, Latha/0000-0002-1822-565X</t>
  </si>
  <si>
    <t>Department of Science &amp; Technology (DST); Government of India</t>
  </si>
  <si>
    <t>Department of Science &amp; Technology (DST)(Department of Science &amp; Technology (India)); Government of India</t>
  </si>
  <si>
    <t>The authors undoubtedly thank the unknown reviewers for their constructive guidance that has helped a long way in improving the manuscript. The authors would like to thank the Department of Science &amp; Technology (DST), Government of India for funding this project. We extend our thanks to the Director, IITM and the Director, NCAOR, Goa, for extending the infrastructure facilities. We thank Dr Bhaskar Rao, NCAOR for the kind co-operation during the field campaign. We are also thankful to IMD, Pune for extending their instrument calibration facility.</t>
  </si>
  <si>
    <t>INDIAN ACAD SCIENCES</t>
  </si>
  <si>
    <t>BANGALORE</t>
  </si>
  <si>
    <t>C V RAMAN AVENUE, SADASHIVANAGAR, P B #8005, BANGALORE 560 080, INDIA</t>
  </si>
  <si>
    <t>2347-4327</t>
  </si>
  <si>
    <t>0973-774X</t>
  </si>
  <si>
    <t>J EARTH SYST SCI</t>
  </si>
  <si>
    <t>J. Earth Syst. Sci.</t>
  </si>
  <si>
    <t>10.1007/s12040-009-0006-9</t>
  </si>
  <si>
    <t>Geosciences, Multidisciplinary; Multidisciplinary Sciences</t>
  </si>
  <si>
    <t>Geology; Science &amp; Technology - Other Topics</t>
  </si>
  <si>
    <t>442HZ</t>
  </si>
  <si>
    <t>WOS:000265833600006</t>
  </si>
  <si>
    <t>Campbell, H; Davison, W; Fraser, KPP; Peck, LS; Egginton, S</t>
  </si>
  <si>
    <t>Campbell, H.; Davison, W.; Fraser, K. P. P.; Peck, L. S.; Egginton, S.</t>
  </si>
  <si>
    <t>Heart rate and ventilation in Antarctic fishes are largely determined by ecotype</t>
  </si>
  <si>
    <t>heart rate variability; oxygen consumption; power spectral analysis</t>
  </si>
  <si>
    <t>METABOLIC-RATE; CARDIOVASCULAR-RESPONSES; PAGOTHENIA-BORCHGREVINKI; EVOLUTION; STRESS; SEA; TEMPERATURE; BERNACCHII; INDICATOR; TELEOSTS</t>
  </si>
  <si>
    <t>Extrinsic neural and humoral influences on heart rate (fH) and ventilation frequency (fV) were examined following varying periods of post-surgical recovery in eight related Antarctic fish species inhabiting an array of inshore niches. Resting fH after recovery from handling was lower than previous reports, and the novel measurement of routine fH in free-swimming Dissostichus mawsoni (6.14 beats min(-1), bpm) is the lowest recorded for any fish. The extent of cardio-depressive cholinergic (vagal) tonus explained the large range of fH among species and varied with behavioural repertoire, being lower in the more active species, apart from Notothenia coriiceps. Adrenergic tonus was low compared with cholinergic tonus, with the exception of Trematomus newnesi. Hence, high cardiac cholinergic tonus may be a genotypic trait of the notothenioids that diverged with ecotype. Power spectral analysis showed that the vagal influence produced comparable spectra among species of similar morphology and ecotype. Removal of autonomic tonus resulted in a remarkably similar intrinsic fH between species. Simultaneous measurements of cardio-respiratory variables and oxygen consumption ((M) over dot O-2) were made in the benthic Trematomus bernacchii and cryopelagic Pagothenia borchgrevinki. The slopes of the relationship between fH and (M) over dot O-2 were similar. Trematomus bernacchii, however, had a higher (M) over dot O-2 for a given fH than P. borchgrevinki, and P. borchgrevinki required a two-fold larger range in fH to reach a similar maximum (M) over dot O-2, suggesting that there is a difference in cardiovascular fitness between the two species. Overall, the data suggest that cardio-respiratory control in Antarctic nototheniids is largely determined by activity levels associated with a given ecotype. (C) 2009 The Authors</t>
  </si>
  <si>
    <t>[Campbell, H.; Egginton, S.] Univ Birmingham, Dept Physiol, Birmingham B15 2TT, W Midlands, England; [Davison, W.] Univ Canterbury, Sch Biol Sci, Christchurch 1, New Zealand; [Fraser, K. P. P.; Peck, L. S.] British Antarctic Survey, Cambridge CB3 0ET, England</t>
  </si>
  <si>
    <t>University of Birmingham; University of Canterbury; UK Research &amp; Innovation (UKRI); Natural Environment Research Council (NERC); NERC British Antarctic Survey</t>
  </si>
  <si>
    <t>Egginton, S (corresponding author), Univ Queensland, Sch Integrat Biol, Brisbane, Qld 4121, Australia.</t>
  </si>
  <si>
    <t>s.egginton@bham.ac.uk</t>
  </si>
  <si>
    <t>Campbell, Hamish/0000-0003-1428-1686; Egginton, Stuart/0000-0002-3084-9692</t>
  </si>
  <si>
    <t>Natural Environment Research Council [GR3/AFI2/43]; NERC [dml011000, bas010015] Funding Source: UKRI; Natural Environment Research Council [bas010015, dml011000] Funding Source: researchfish</t>
  </si>
  <si>
    <t>This study was supported by Natural Environment Research Council (GR3/AFI2/43). The hospitality of Antarctica New Zealand, Scott Base, is gratefully acknowledged; similarly, hospitality of the marine staff at the British Antarctic Survey Rothera research station is appreciated; and we thank A. DeVries of the United States Antarctic Programme, McMurdo station for supplying some of the fishes.</t>
  </si>
  <si>
    <t>10.1111/j.1095-8649.2008.02141.x</t>
  </si>
  <si>
    <t>402VB</t>
  </si>
  <si>
    <t>WOS:000263040100004</t>
  </si>
  <si>
    <t>Aryal, SK; Bates, BC; Campbell, EP; Li, Y; Palmer, MJ; Viney, NR</t>
  </si>
  <si>
    <t>Aryal, Santosh K.; Bates, Bryson C.; Campbell, Edward P.; Li, Yun; Palmer, Mark J.; Viney, Neil R.</t>
  </si>
  <si>
    <t>Characterizing and Modeling Temporal and Spatial Trends in Rainfall Extremes</t>
  </si>
  <si>
    <t>JOURNAL OF HYDROMETEOROLOGY</t>
  </si>
  <si>
    <t>PRECIPITATION ANNUAL MAXIMA; AUSTRALIAN RAINFALL; FREQUENCY-ANALYSIS; INDIAN-OCEAN; CLIMATE; VARIABILITY; SURFACE; EVENTS; OSCILLATION; CIRCULATION</t>
  </si>
  <si>
    <t>A hierarchical spatial model for daily rainfall extremes that characterizes their temporal variation due to interannual climatic forcing as well as their spatial pattern is proposed. The model treats the parameters of at-site probability distributions for rainfall extremes as data'' that are likely to be spatially correlated and driven by atmospheric forcing. The method is applied to daily rainfall extremes for summer and winter half years over the Swan-Avon River basin in Western Australia. Two techniques for the characterization of at-site extremes-peaks-over-threshold (POT) analysis and the generalized extreme value (GEV) distribution-and three climatic drivers-the El Nino-Southern Oscillation as measured by the Southern Oscillation index (SOI), the Southern Hemisphere annular mode as measured by an Antarctic Oscillation index (AOI), and solar irradiance (SI)-were considered. The POT analysis of at-site extremes revealed that at-site thresholds lacked spatial coherence, making it difficult to determine a smooth spatial surface for the threshold parameter. In contrast, the GEV-based analysis indicated smooth spatial patterns in daily rainfall extremes that are consistent with the predominant orientation of storm tracks over the study area and the presence of a coastal escarpment near the western edge of the basin. It also indicated a linkage between temporal trends in daily rainfall extremes and those of the SOI and AOI. By applying the spatial models to winter and summer extreme rainfalls separately, an apparent increasing trend in return levels of summer rainfall to the northwest and decreasing trends in return levels of winter rainfall to the southwest of the region are found.</t>
  </si>
  <si>
    <t>[Aryal, Santosh K.; Viney, Neil R.] CSIRO Land &amp; Water, Wembley, WA 6913, Australia; [Bates, Bryson C.] CSIRO Marine &amp; Atmospher Res, Hobart, Tas, Australia; [Campbell, Edward P.; Li, Yun; Palmer, Mark J.] CSIRO Math &amp; Informat Sci, Wembley, WA, Australia</t>
  </si>
  <si>
    <t>Commonwealth Scientific &amp; Industrial Research Organisation (CSIRO); Commonwealth Scientific &amp; Industrial Research Organisation (CSIRO); Commonwealth Scientific &amp; Industrial Research Organisation (CSIRO)</t>
  </si>
  <si>
    <t>Aryal, SK (corresponding author), CSIRO Land &amp; Water, Private Bag 5, Wembley, WA 6913, Australia.</t>
  </si>
  <si>
    <t>santosh.aryal@csiro.au</t>
  </si>
  <si>
    <t>Li, Yun/ABZ-6481-2022; Bates, Bryson C/N-8481-2014; Palmer, Mark/E-6619-2010; Campbell, Edward/F-1509-2010; Li, Yun/E-8569-2010; Aryal, Santosh Kumar/JAC-9559-2023; Aryal, Santosh Kumar/F-2349-2011; Viney, Neil/F-5042-2011</t>
  </si>
  <si>
    <t>Li, Yun/0000-0001-9925-7372; Li, Yun/0000-0001-9925-7372; Aryal, Santosh Kumar/0000-0003-2555-7481; Viney, Neil/0000-0003-3638-9073</t>
  </si>
  <si>
    <t>CSIRO [C2.P2.1]</t>
  </si>
  <si>
    <t>CSIRO(Commonwealth Scientific &amp; Industrial Research Organisation (CSIRO))</t>
  </si>
  <si>
    <t>Rainfall data were obtained from the Patched Point database developed by the Queensland Department of Natural Resources and the Australian Bureau of Meteorology. Partial funding from CSIRO's Water for a Healthy Country Flagship Program (Project C2.P2.1) is also acknowledged.</t>
  </si>
  <si>
    <t>1525-755X</t>
  </si>
  <si>
    <t>1525-7541</t>
  </si>
  <si>
    <t>J HYDROMETEOROL</t>
  </si>
  <si>
    <t>J. Hydrometeorol.</t>
  </si>
  <si>
    <t>10.1175/2008JHM1007.1</t>
  </si>
  <si>
    <t>414GX</t>
  </si>
  <si>
    <t>WOS:000263853000015</t>
  </si>
  <si>
    <t>McGaughran, A; Redding, GP; Stevens, MI; Convey, P</t>
  </si>
  <si>
    <t>McGaughran, A.; Redding, G. P.; Stevens, M. I.; Convey, P.</t>
  </si>
  <si>
    <t>Temporal metabolic rate variation in a continental Antarctic springtail</t>
  </si>
  <si>
    <t>Activity; Collembola; Energy budget; Metabolism</t>
  </si>
  <si>
    <t>CRYPTOPYGUS-ANTARCTICUS; COLD ADAPTATION; VICTORIA LAND; ROSS ISLAND; TOLERANCE; COLLEMBOLA; DIVERSITY; LIFE; ACCLIMATION; RESPIRATION</t>
  </si>
  <si>
    <t>Terrestrial systems in Antarctica are characterized by substantial spatial and temporal variation. However, few studies have addressed the paucity of data on metabolic responses to the unpredictable Antarctic environment, particularly with regard to terrestrial biota. This study measured metabolic rate variation for individual springtails at a continental Antarctic site using a fiber-optic closed respirometry system incorporating a custom-made respiration chamber. Concurrent measures of (behavioural) activity were made via daily pitfall counts. Metabolic rate of Gomphiocephalus hodgsoni measured at constant temperature varied systematically with progression through the austral summer, and was greatest mid-season. This finding of clear intraseasonal and temperature-independent variation in mass-specific metabolic rate in G. hodgsoni is one of very few such reports for a terrestrial invertebrate (and the only such study for Antarctica), and parallels physiological studies in the Antarctic marine environment linking metabolic rate elevation with biological function rather than temperature adaptation per se. However, response to temperature at relatively short time-scales is also likely to be an important part of the life history strategy of Antarctic terrestrial invertebrates such as G. hodgsoni, which appears capable of both physiologically and behaviourally 'tuning' in to short-term thermal variability to respond appropriately to the local unpredictable Antarctic habitat. (c) 2008 Elsevier Ltd. All rights reserved.</t>
  </si>
  <si>
    <t>[McGaughran, A.; Stevens, M. I.] Massey Univ, Allan Wilson Ctr Mol Ecol &amp; Evolut, Palmerston North, New Zealand; [Redding, G. P.] Massey Univ, Inst Technol &amp; Engn, Palmerston North, New Zealand; [Stevens, M. I.] S Australian Museum, Adelaide, SA 5000, Australia; [Stevens, M. I.] Flinders Univ S Australia, Sch Biol Sci, Adelaide, SA 5001, Australia; [Convey, P.] British Antarctic Survey, NERC, Cambridge CB3 0ET, England</t>
  </si>
  <si>
    <t>Massey University; Massey University; Flinders University South Australia; UK Research &amp; Innovation (UKRI); Natural Environment Research Council (NERC); NERC British Antarctic Survey</t>
  </si>
  <si>
    <t>McGaughran, A (corresponding author), Massey Univ, Allan Wilson Ctr Mol Ecol &amp; Evolut, Private Bag 11-222, Palmerston North, New Zealand.</t>
  </si>
  <si>
    <t>a.mcgaughran@massey.ac.nz</t>
  </si>
  <si>
    <t>Convey, Peter/AAV-5728-2020; McGaughran, Angela/C-5916-2014</t>
  </si>
  <si>
    <t>Convey, Peter/0000-0001-8497-9903; McGaughran, Angela/0000-0002-3429-8699</t>
  </si>
  <si>
    <t>NERC [bas010015] Funding Source: UKRI; Natural Environment Research Council [bas010015] Funding Source: researchfish</t>
  </si>
  <si>
    <t>10.1016/j.jinsphys.2008.10.009</t>
  </si>
  <si>
    <t>412BU</t>
  </si>
  <si>
    <t>WOS:000263699000006</t>
  </si>
  <si>
    <t>Iijima, Y; Aoki, S; Kutsuwada, K</t>
  </si>
  <si>
    <t>Iijima, Yuji; Aoki, Shigeru; Kutsuwada, Kunio</t>
  </si>
  <si>
    <t>The Southern Annular Mode and opposite-phased Basin Mode of the Southern Ocean circulation</t>
  </si>
  <si>
    <t>Southern ocean; satellite scatterometer; Southern annular mode; basin mode; barotropic response</t>
  </si>
  <si>
    <t>LOW-FREQUENCY VARIABILITY; SEA-LEVEL VARIABILITY; HEMISPHERE CIRCULATION; BAROTROPIC RESPONSE; OSCILLATION; RESONANCE; ANOMALIES; PACIFIC; WIND</t>
  </si>
  <si>
    <t>Over the Southern Ocean the dominant modes of the atmospheric field are known as the Southern Annular Mode (SAM) or Antarctic Oscillation, and the Pacific South American (PSA) pattern. Statistical analysis of sea surface wind (SSW) from satellite observation revealed two leading modes of SAM-like and PSA patterns. In the high latitudes, the SAM-like pattern of the SSW had a large amplitude over the Bellingshausen Basin and Australian-Antarctic Basin, with opposite phase between the two basins. On the intraseasonal time scale, large-scale sea surface height (SSH) also had notable variability, showing a basin-scale anti-phase mode over the two basins. To explain the response of oceanic variations to these atmospheric modes, we analyzed the relationship between the dominant modes of wind stress and large-scale SSH on the intraseasonal time scale. The SAM-like pattern of wind stress was correlated with the SSH variation over the two basins. The SSH basin mode was most simply explained by a simple barotropic response to the SAM-like mode of wind stress, with the curl of opposite phase between the two basins. We conclude that the zonal asymmetry of the wind field of the SAM plays an important role in driving the antiphase SSH basin modes.</t>
  </si>
  <si>
    <t>[Iijima, Yuji] Hokkaido Univ, Grad Sch Environm Sci, Kita Ku, Sapporo, Hokkaido 0600810, Japan; [Aoki, Shigeru] Hokkaido Univ, Inst Low Temp Sci, Kita Ku, Sapporo, Hokkaido 0600810, Japan; [Kutsuwada, Kunio] Tokai Univ, Sch Marine Sci &amp; Technol, Shimizu Ku, Shizuoka 4248610, Japan</t>
  </si>
  <si>
    <t>Hokkaido University; Hokkaido University; Tokai University</t>
  </si>
  <si>
    <t>Iijima, Y (corresponding author), Hokkaido Univ, Grad Sch Environm Sci, Kita Ku, Sapporo, Hokkaido 0600810, Japan.</t>
  </si>
  <si>
    <t>i-yu-ji@lowtem.hokudai.ac.jp</t>
  </si>
  <si>
    <t>Aoki, Shigeru/D-9105-2012</t>
  </si>
  <si>
    <t>Japan Aerospace Exploration Agency</t>
  </si>
  <si>
    <t>The scatterometer data ( QuikScat/SeaWinds) used in the JOFURO were kindly provided by the NASA Physical Oceanography Distributed Active Archive Center ( PO. DAAC) at the Jet Propulsion Laboratory. This study was supported by Japan Aerospace Exploration Agency and partly by Development of 4D Data Assimilation System and Construction of Data-base for Climate Research for Sustainable Coexistence of Human, Nature and the Earth ( PI: Prof. Toshiyuki Awaji in Kyoto University).</t>
  </si>
  <si>
    <t>10.1007/s10872-009-0005-0</t>
  </si>
  <si>
    <t>387NC</t>
  </si>
  <si>
    <t>WOS:000261957900005</t>
  </si>
  <si>
    <t>Dailey, MD</t>
  </si>
  <si>
    <t>Dailey, Murray D.</t>
  </si>
  <si>
    <t>A NEW SPECIES OF PARAFILAROIDES (NEMATODA: FILAROIDIDAE) IN THREE SPECIES OF FUR SEALS (CARNIVORA: OTARIIDAE) FROM THE SOUTHERN HEMISPHERE</t>
  </si>
  <si>
    <t>JOURNAL OF PARASITOLOGY</t>
  </si>
  <si>
    <t>METASTRONGYLOIDEA; RAILLIET</t>
  </si>
  <si>
    <t>Blocks of frozen lungs of 2 Australian fur seals (Arctocephalus pusillus doriferus Wood Jones, 1925), 2 New Zealand fur seals (A. forsteri [Lesson, 1828]), and 1 sub-Antarctic fur seal (A. tropicalis [Gray, 1872]) from 3 different locations (Australia, New Zealand, and South Africa, respectively) were examined and found to contain lung parasites. This represents the first thorough description and identification of a new species. Parafilaroides normani, from an eared seal (Otariidae) in the Southern Hemisphere. The new species is described, illustrated, and differentiated from the 6 recognized species in the genus by body size, spicule shape and size, vulva to anus length, and vaginal sphincter musculature.</t>
  </si>
  <si>
    <t>Marine Mammal Ctr, Sausalito, CA USA</t>
  </si>
  <si>
    <t>Dailey, MD (corresponding author), Marine Mammal Ctr, 1065 Ft Cronkhite, Sausalito, CA USA.</t>
  </si>
  <si>
    <t>daileym@mcn.org</t>
  </si>
  <si>
    <t>ALLEN PRESS INC</t>
  </si>
  <si>
    <t>LAWRENCE</t>
  </si>
  <si>
    <t>810 E 10TH ST, LAWRENCE, KS 66044 USA</t>
  </si>
  <si>
    <t>0022-3395</t>
  </si>
  <si>
    <t>1937-2345</t>
  </si>
  <si>
    <t>J PARASITOL</t>
  </si>
  <si>
    <t>J. Parasitol.</t>
  </si>
  <si>
    <t>10.1645/GE-1521.1</t>
  </si>
  <si>
    <t>Parasitology</t>
  </si>
  <si>
    <t>414RO</t>
  </si>
  <si>
    <t>WOS:000263883100025</t>
  </si>
  <si>
    <t>Aumack, CF; Amsler, CD; McClintock, JB; Baker, BJ</t>
  </si>
  <si>
    <t>Aumack, C. F.; Amsler, C. D.; McClintock, J. B.; Baker, B. J.</t>
  </si>
  <si>
    <t>ARE INTERACTIONS BETWEEN DOMINANT MESOGRAZERS AND MACROALGAE IN THE WESTERN ANTARCTIC PENINSULA, IN PART, CHEMICALLY MEDIATED? THE ANTI-GRAZING CAPABILITIES OF SECONDARY METABOLITES PRODUCED IN ANTARCTIC FILAMENTOUS MACROPHYTES</t>
  </si>
  <si>
    <t>JOURNAL OF PHYCOLOGY</t>
  </si>
  <si>
    <t>[Aumack, C. F.; Amsler, C. D.; McClintock, J. B.] Univ Alabama, Dept Biol, Birmingham, AL 35294 USA; [Baker, B. J.] Univ S Florida, Dept Chem, Tampa, FL 33620 USA</t>
  </si>
  <si>
    <t>0022-3646</t>
  </si>
  <si>
    <t>J PHYCOL</t>
  </si>
  <si>
    <t>J. Phycol.</t>
  </si>
  <si>
    <t>Plant Sciences; Marine &amp; Freshwater Biology</t>
  </si>
  <si>
    <t>415BW</t>
  </si>
  <si>
    <t>WOS:000263910300041</t>
  </si>
  <si>
    <t>Bucolo, P; Amsler, CD; McClintock, JB; Baker, BJ</t>
  </si>
  <si>
    <t>Bucolo, P.; Amsler, C. D.; McClintock, J. B.; Baker, B. J.</t>
  </si>
  <si>
    <t>PALATABILITY OF PALMARIA DECIPIENS AND ITS ENDOPHYTE ELACHISTA ANTARCTICA TO FOUR COMMON ANTARCTIC AMPHIPODS</t>
  </si>
  <si>
    <t>[Bucolo, P.; Amsler, C. D.; McClintock, J. B.] Univ Alabama, Birmingham, AL USA; [Baker, B. J.] Univ S Florida, Tampa, FL USA</t>
  </si>
  <si>
    <t>WOS:000263910300042</t>
  </si>
  <si>
    <t>Amsler, CD; Amsler, MO; McClintock, JB; Baker, BJ</t>
  </si>
  <si>
    <t>Amsler, C. D.; Amsler, M. O.; McClintock, J. B.; Baker, B. J.</t>
  </si>
  <si>
    <t>FILAMENTOUS ALGAL ENDOPHYTES IN ANTARCTIC MACROALGAE: INCIDENCE AND PALATABILITY</t>
  </si>
  <si>
    <t>[Amsler, C. D.; Amsler, M. O.; McClintock, J. B.] Univ Alabama, Dept Biol, Birmingham, AL 35294 USA; [Baker, B. J.] Univ S Florida, Dept Chem, Tampa, FL 33620 USA</t>
  </si>
  <si>
    <t>WOS:000263910300067</t>
  </si>
  <si>
    <t>Raymond, JA; Janech, MG; Fritsen, CH</t>
  </si>
  <si>
    <t>Raymond, James A.; Janech, Michael G.; Fritsen, Christian H.</t>
  </si>
  <si>
    <t>NOVEL ICE-BINDING PROTEINS FROM A PSYCHROPHILIC ANTARCTIC ALGA (CHLAMYDOMONADACEAE, CHLOROPHYCEAE)</t>
  </si>
  <si>
    <t>Chlamydomonas; Chloromonas ANT1; cold adaptation; recrystallization inhibition; snow alga; TXT motif</t>
  </si>
  <si>
    <t>SEA-ICE; ANTIFREEZE PROTEINS; DIATOMS; SUBSTANCES</t>
  </si>
  <si>
    <t>Many cold-adapted unicellular plants express ice-active proteins, but at present, only one type of such proteins has been described, and it shows no resemblance to higher plant antifreezes. Here, we describe four isoforms of a second and very active type of extracellular ice-binding protein (IBP) from a unicellular chlamydomonad alga collected from an Antarctic intertidal location. The alga is a euryhaline psychrophile that, based on sequences of the alpha tubulin gene and an IBP gene, appears to be the same as a snow alga collected on Petrel Island, Antarctica. The IBPs, which do not resemble any known antifreezes, have strong recrystallization inhibition activity and have an ability to slow the drainage of brine from sea ice. These properties, by maintaining liquid environments, may increase survival of the cells in freezing environments. The IBPs have a repeating TXT motif, which has previously been implicated in ice binding in insect antifreezes and a ryegrass antifreeze.</t>
  </si>
  <si>
    <t>[Raymond, James A.] Univ Nevada, Sch Life Sci, Las Vegas, NV 89154 USA; [Janech, Michael G.] Med Univ S Carolina, Charleston, SC 29425 USA; [Fritsen, Christian H.] Univ Nevada, Desert Res Inst, Reno, NV 89557 USA</t>
  </si>
  <si>
    <t>Nevada System of Higher Education (NSHE); University of Nevada Las Vegas; Medical University of South Carolina; Nevada System of Higher Education (NSHE); University of Nevada Reno; Desert Research Institute NSHE</t>
  </si>
  <si>
    <t>Raymond, JA (corresponding author), Univ Nevada, Sch Life Sci, Las Vegas, NV 89154 USA.</t>
  </si>
  <si>
    <t>raymond@unlv.nevada.edu</t>
  </si>
  <si>
    <t>janech, michael/AAA-1011-2019</t>
  </si>
  <si>
    <t>Janech, Michael/0000-0002-3202-4811</t>
  </si>
  <si>
    <t>NIH IMBRE [P20 RR-016464]; Young Moo, University of California, Davis; Nevada's NASA EPSCoR cooperative [NCC5-583]; NSF [OPP-9910098, OPP-0421514]</t>
  </si>
  <si>
    <t>NIH IMBRE(United States Department of Health &amp; Human ServicesNational Institutes of Health (NIH) - USA); Young Moo, University of California, Davis(University of California System); Nevada's NASA EPSCoR cooperative; NSF(National Science Foundation (NSF))</t>
  </si>
  <si>
    <t>We thank CCMP for culturing and providing the cells, Dr. Y. Frenot for providing a snow alga sample, Betsy Kreidberg for additional culturing efforts, and Dr. J. Duman and two anonymous reviewers for helpful comments. We thank the Nevada Proteomics Center for 2D electrophoresis, the Nevada Genomics Center for sequencing of PCR products, both of which were supported by an NIH IMBRE grant P20 RR-016464, and Dr. Young Moo, University of California, Davis, for interpreting the MS spectra. This research was partially supported with resources from Nevada's NASA EPSCoR cooperative agreement (NCC5-583), personal funds (J. A. R.) and NSF grants OPP-9910098 and OPP-0421514.</t>
  </si>
  <si>
    <t>10.1111/j.1529-8817.2008.00623.x</t>
  </si>
  <si>
    <t>406ZN</t>
  </si>
  <si>
    <t>WOS:000263333500013</t>
  </si>
  <si>
    <t>Graham, AGC; Lonergan, L; Stoker, MS</t>
  </si>
  <si>
    <t>Graham, Alastair G. C.; Lonergan, Lidia; Stoker, Martyn S.</t>
  </si>
  <si>
    <t>Seafloor glacial features reveal the extent and decay of the last British Ice Sheet, east of Scotland</t>
  </si>
  <si>
    <t>JOURNAL OF QUATERNARY SCIENCE</t>
  </si>
  <si>
    <t>3D seismic; glacial geomorphology; moraines; deglaciation; British Ice Sheet</t>
  </si>
  <si>
    <t>CENTRAL NORTH-SEA; CONTINENTAL-SHELF; TUNNEL-VALLEYS; LEVEL CHANGE; STREAM; HISTORY; DEGLACIATION; DYNAMICS; LANDFORMS; BASIN</t>
  </si>
  <si>
    <t>Three-dimensional (3D) seismic datasets, 2D seismic reflection profiles and shallow cores provide insights into the geometry and composition of glacial features on the continental shelf, offshore eastern Scotland (58' N, 1 2 degrees W). The relic features are related to the activity of the last British Ice Sheet (BIS) in the Outer Moray Firth. A landsystem assemblage consisting of four types of subglacial and ice marginal morphology is mapped at the seafloor. The assemblage comprises: (i) large seabed banks (interpreted as end moraines), coeval with the Bosies Bank moraine; (ii) morainic ridges (hummocky, push and end moraine) formed beneath, and at the margins of the ice sheet; (iii) an incised valley (a subglacial meltwater channel), recording meltwater drainage beneath former ice sheets; and (iv) elongate ridges and grooves (subglacial bedforms) overprinted by transverse ridges (grounding line moraines). The bedforms Suggest that fast-flowing grounded ice advanced eastward of the previously proposed terminus of the offshore Late Weichselian BIS, increasing the size and extent of the ice sheet beyond traditional limits. Complex moraine formation at the margins of less active ice characterised Subsequent retreat, with periodic stillstands and readvances. Observations are consistent with interpretations of a dynamic and oscillating ice margin during BIS deglaciation, and with an extensive ice sheet in the North Sea basin at the Last Glacial Maximum. Final ice margin retreat was rapid, manifested in stagnant ice topography, which aided preservation of the landsystem record. Copyright (C) 2008 John Wiley &amp; Sons, Ltd.</t>
  </si>
  <si>
    <t>[Graham, Alastair G. C.; Lonergan, Lidia] Univ London Imperial Coll Sci Technol &amp; Med, Dept Earth Sci &amp; Engn, London, England; [Stoker, Martyn S.] British Geol Survey, Edinburgh, Midlothian, Scotland</t>
  </si>
  <si>
    <t>Imperial College London; UK Research &amp; Innovation (UKRI); Natural Environment Research Council (NERC); NERC British Geological Survey</t>
  </si>
  <si>
    <t>Graham, AGC (corresponding author), British Antarctic Survey, Geol Sci Div, Madingley Rd, Cambridge CB3 0ET, England.</t>
  </si>
  <si>
    <t>alah@bas.ac.uk</t>
  </si>
  <si>
    <t>Lonergan, Lidia/JMC-5636-2023</t>
  </si>
  <si>
    <t>Graham, Alastair/0000-0002-2880-2908; Lonergan, Lidia/0000-0001-9858-3029; Stoker, Martyn/0000-0002-5314-0950</t>
  </si>
  <si>
    <t>BGS-university consortium; Landmark Graphics University Grant to Imperial College; NERC [bgs05001] Funding Source: UKRI; Natural Environment Research Council [bgs05001] Funding Source: researchfish</t>
  </si>
  <si>
    <t>BGS-university consortium; Landmark Graphics University Grant to Imperial College; NERC(UK Research &amp; Innovation (UKRI)Natural Environment Research Council (NERC)); Natural Environment Research Council(UK Research &amp; Innovation (UKRI)Natural Environment Research Council (NERC))</t>
  </si>
  <si>
    <t>AGCG was funded by a BGS-university consortium grant with Imperial College London. PGS are thanked for generously providing the 3D seismic data used in this research. Software was funded by a Landmark Graphics University Grant to Imperial College. Thanks to officers of the BGS for help during the study. J. Evans and C. Stokes are thanked for their useful and constructive reviews. MSS publishes with the permission of the executive director of BGS (NERC).</t>
  </si>
  <si>
    <t>0267-8179</t>
  </si>
  <si>
    <t>1099-1417</t>
  </si>
  <si>
    <t>J QUATERNARY SCI</t>
  </si>
  <si>
    <t>J. Quat. Sci.</t>
  </si>
  <si>
    <t>10.1002/jqs.1218</t>
  </si>
  <si>
    <t>410GE</t>
  </si>
  <si>
    <t>WOS:000263564700002</t>
  </si>
  <si>
    <t>Sharma, GK; Bora, J</t>
  </si>
  <si>
    <t>Sharma, Girish Kumar; Bora, Jyoti</t>
  </si>
  <si>
    <t>Pleistocene Radiolarians from the Leg 119 Site 745, Sections (1H to 4H) in the Southern Ocean Region</t>
  </si>
  <si>
    <t>Pleistocene; Radiolaria; Biostratigraphy; Antarctic region</t>
  </si>
  <si>
    <t>KERGUELEN PLATEAU; INDIAN-OCEAN; ATLANTIC; PACIFIC; SEDIMENTS; SCALE; CORES</t>
  </si>
  <si>
    <t>This paper presents a detailed record of radiolarian species from the Leg 119 Site 745 (sections 111 to 4H) in the southern ocean region. Forty five species were identified and illustrated from forty six samples. The taxonomy, two radiolarian zones namely NRI and NR2, morphological variations and distribution of taxa have been made froul these sections. Twelve new species are identified but they are not formally named. The study provides the detailed Antarctic Pleistocene radiolarian data, proposed the placement of NRI and NR2 zonal boundary at a shallow depth of 6.63 mbsf and data is used for comparative Studies with other parts of the Antarctic region.</t>
  </si>
  <si>
    <t>[Sharma, Girish Kumar; Bora, Jyoti] Kumaun Univ, Dept Geol, Naini Tal 263002, India</t>
  </si>
  <si>
    <t>Kumaun University</t>
  </si>
  <si>
    <t>Sharma, GK (corresponding author), Kumaun Univ, Dept Geol, Naini Tal 263002, India.</t>
  </si>
  <si>
    <t>gksharma61@yahoo.com</t>
  </si>
  <si>
    <t>Lamont-Doherty Geological Observatory, USA [18214 A]; DST, New Delhi, India [SRIS4/F-S-80/2003]</t>
  </si>
  <si>
    <t>Lamont-Doherty Geological Observatory, USA; DST, New Delhi, India(Department of Science &amp; Technology (India))</t>
  </si>
  <si>
    <t>This study was made possible while one of the authors (GKS) got the samples from the Lamont-Doherty Geological Observatory, USA (Request Number-18214 A). We are highly thankful and grateful to DST, New Delhi, India (Project no. SRIS4/F-S-80/2003) for providing financial support to carry out this work. We are also thankful to Prof. C.C. Pant (Head, Geology Department) for providing facilities in the Department.</t>
  </si>
  <si>
    <t>BARAKHAMBA RD 906-907, AKASH DEEP BUILDING, NEW DELHI, 110 001, INDIA</t>
  </si>
  <si>
    <t>10.1007/s12594-009-0073-1</t>
  </si>
  <si>
    <t>442SX</t>
  </si>
  <si>
    <t>WOS:000265862000002</t>
  </si>
  <si>
    <t>Bak, YS; Yoo, KC; Lee, JD; Yoon, HI</t>
  </si>
  <si>
    <t>Bak, Young-Suk; Yoo, Kyu-Cheul; Lee, Jong-Deock; Yoon, Ho Il</t>
  </si>
  <si>
    <t>High- resolution diatom analysis of a core sediment in the Bransfield strait. Antarctica</t>
  </si>
  <si>
    <t>Bransfield Strait; diatom assemblage analysis; diatom mass influx; regional warming</t>
  </si>
  <si>
    <t>A box core BC02-EB03 obtained in the eastern basin of the Bransfield Strait (West Antarctica) shows high-resolution laminated layers of diatom ooze sediments. The basin is influenced by the warm and less saline Bellingshausen Sea water and the cold and saline Weddell Sea water. The range of diatom valves per gram of dry sediment was from 8.6 to 22.0 x 10(7) in quantitative diatom assemblage analysis. Two facies (upper and lower units) are divided upon the basis of frequency of the diatom taxa and magnetic susceptibility values. The lower unit (22 similar to 60 cm) is characterized by the lower magnetic susceptibility and higher number of diatom valves per gram sediment. It contains diatom mass influx of Chaetoceros resting spores, Corethron criophilum, and Rhizosolenia styliformis which are associated with the stratification of surface water of ice-shelf s edge by the increased meltwater between austral summer and fall. Meanwhile, the upper unit (0 similar to 22 cm) displays relative decrease of critical species and lower diatom abundances according to the relative increase of terrigenous supply during modern warming which reflects the rapid regional warming of the Antarctic Peninsula.</t>
  </si>
  <si>
    <t>[Bak, Young-Suk; Lee, Jong-Deock] Chonbuk Natl Univ, Dept Earth &amp; Environm Sci, Jeonju 561756, South Korea; [Yoo, Kyu-Cheul] Korea Polar Res Inst, Sch Earth &amp; Environm Sci, Incheon 406840, South Korea; [Yoon, Ho Il] Korea Polar Res Inst, Incheon 406840, South Korea</t>
  </si>
  <si>
    <t>Jeonbuk National University; Korea Polar Research Institute (KOPRI); Korea Polar Research Institute (KOPRI)</t>
  </si>
  <si>
    <t>Bak, YS (corresponding author), Chonbuk Natl Univ, Dept Earth &amp; Environm Sci, Jeonju 561756, South Korea.</t>
  </si>
  <si>
    <t>sydin@chonbuk.ac.kr</t>
  </si>
  <si>
    <t>VH6ZF</t>
  </si>
  <si>
    <t>WOS:000453976100001</t>
  </si>
  <si>
    <t>El-Sabaawi, R; Dower, JF; Kainz, M; Mazumder, A</t>
  </si>
  <si>
    <t>El-Sabaawi, Rana; Dower, John F.; Kainz, Martin; Mazumder, Asit</t>
  </si>
  <si>
    <t>Characterizing dietary variability and trophic positions of coastal calanoid copepods: insight from stable isotopes and fatty acids</t>
  </si>
  <si>
    <t>BRITISH-COLUMBIA; ANTARCTIC KRILL; FOOD-CHAIN; NEOCALANUS-PLUMCHRUS; OMNIVORY; CARBON; LIPIDS; ZOOPLANKTON; GEORGIA; STRAIT</t>
  </si>
  <si>
    <t>The spring zooplankton community in the Strait of Georgia (British Columbia, Canada) is characterized by the presence of several calanoid copepod species which collectively make up 90% of the mezozooplankton biomass. Here, we investigate interspecific, interannual, and geographic variability in the diets and trophic positions of these copepods using a combination of fatty acids and stable isotopes. To characterize geographic variability in diet, we compare our findings from the Strait of Georgia with similar data from Ocean Station P in the subarctic northeast Pacific. Both fatty acid and stable isotope signatures indicate the existence of three trophic levels, even within the limited size range of these copepods: Neocalanus plumchrus and Calanus marshallae are primarily omnivorous, while Euchaeta elongata is carnivorous and Eucalanus bungii is herbivorous. Fatty acid markers of trophic position (e.g., DHA/EPA, 18:1n-9/18:1n-7) correlate significantly with delta N-15, while markers indicating the proportion of diatoms to flagellates in the diet (e.g., 16PUFA/18PUFA and DHA/EPA) correlate significantly with delta C-13, after the effect of lipid concentration on delta C-13 is accounted for. Despite the general correlation between stable isotopes and fatty acids, the former are not sensitive enough to capture the range of interannual variability observed in the latter, and can only capture substantial shifts in the diet over geographic scales. However, regardless of variability in food quality, the relative trophic positions of these copepods do not change significantly either spatially or temporally.</t>
  </si>
  <si>
    <t>[Dower, John F.] Univ Victoria, Sch Earth &amp; Ocean Sci, Victoria, BC V8W 3P6, Canada; [Kainz, Martin] Danube Univ Krems, A-32932 Lunz Am See, Austria; [Kainz, Martin] Interuniv Res Ctr, Wasser Cluster Biol Stn, A-32932 Lunz Am See, Austria; [Mazumder, Asit] Univ Victoria, Water &amp; Aquat Res Program, Victoria, BC B8V 3N5, Canada; [El-Sabaawi, Rana] Univ Victoria, Dept Biol, Stn CSC, Victoria, BC V8W 3N5, Canada</t>
  </si>
  <si>
    <t>University of Victoria; Danube University Krems; University of Victoria; University of Victoria</t>
  </si>
  <si>
    <t>El-Sabaawi, R (corresponding author), Cornell Univ, 203E Corson Hall, Ithaca, NY 14853 USA.</t>
  </si>
  <si>
    <t>rwe32@cornell.edu</t>
  </si>
  <si>
    <t>Kainz, Martin/AAG-6268-2021; Nerot, Caroline/C-6952-2009</t>
  </si>
  <si>
    <t>Kainz, Martin/0000-0002-2388-1504; El-Sabaawi, Rana/0000-0002-0561-1068</t>
  </si>
  <si>
    <t>NSERC Discovery; NSERC; The University of Victoria</t>
  </si>
  <si>
    <t>NSERC Discovery(Natural Sciences and Engineering Research Council of Canada (NSERC)); NSERC(Natural Sciences and Engineering Research Council of Canada (NSERC)); The University of Victoria</t>
  </si>
  <si>
    <t>The authors would like to thank the captains and crew of the R/V John Strickland (University of Victoria) and CGGS Siyay for the assistance with sampling. Chris Parrish, Sergei Verenitch and Kelly Young provided valuable technical advice for instrumentation, extraction and fatty acid identification. This research was supported by an NSERC Discovery Grant to John F. Dower and Asit Mazumder, an NSERC Strategic Grant to Susan Allen. Rana El- Sabaawi received funding from NSERC and The University of Victoria. The authors would like to thank three anonymous reviewers whose comments greatly improved this manuscript.</t>
  </si>
  <si>
    <t>10.1007/s00227-008-1073-1</t>
  </si>
  <si>
    <t>396FY</t>
  </si>
  <si>
    <t>WOS:000262578800001</t>
  </si>
  <si>
    <t>Phillips, B; Kremer, P; Madin, LP</t>
  </si>
  <si>
    <t>Phillips, Brennan; Kremer, Patricia; Madin, Laurence P.</t>
  </si>
  <si>
    <t>Defecation by Salpa thompsoni and its contribution to vertical flux in the Southern Ocean</t>
  </si>
  <si>
    <t>ORGANIC-MATTER TRANSPORT; POLAR FRONT REGION; SUB-ARCTIC PACIFIC; FECAL PELLETS; ANTARCTIC PENINSULA; CYCLOSALPA-BAKERI; BIOGENIC SILICA; AUSTRAL SUMMER; CARBON FLUX; ICE-ZONE</t>
  </si>
  <si>
    <t>Measurements of the defecation rate of Salpa thompsoni were made at several stations during two cruises west of the Antarctic Peninsula in 2004 and 2006. Rates were quantified in terms of number of pellets, pigment, carbon and nitrogen for a wide size range of both aggregate and solitary salps. Measured defecation rates were constant over several hours when salps were held at near-surface conditions from which they had been collected. The defecation rate per salp increased with both salp size and the ambient level of particulate organic matter (POM) in the upper water column. The weight-specific defecation rate ranged between 0.5 and 6% day(-1) of salp body carbon, depending on the concentration of available particulate matter in the water. Carbon defecation rates were applied to biomass estimates of S. thompsoni to calculate daily carbon defecation rates for the populations sampled during the two cruises. Dense salp populations of over 400 mg C m(-2) were calculated to produce about 20 mg C m(-2) day(-1), comparable to other major sources of vertical flux of organic material in the Southern Ocean. Measured sinking rates for salp fecal pellets indicated that the majority of this organic material could reach deep sediments within a few days, providing a fast and direct pathway for carbon to the deep ocean.</t>
  </si>
  <si>
    <t>[Phillips, Brennan; Kremer, Patricia] Univ Connecticut, Dept Marine Sci, Groton, CT 06340 USA</t>
  </si>
  <si>
    <t>University of Connecticut</t>
  </si>
  <si>
    <t>Phillips, B (corresponding author), Woods Hole Oceanog Inst, Oceanog Syst Lab, MS 10, Woods Hole, MA 02543 USA.</t>
  </si>
  <si>
    <t>bphillips@whoi.edu</t>
  </si>
  <si>
    <t>Phillips, Brennan/0000-0003-4361-6529</t>
  </si>
  <si>
    <t>NSF [OPP-0338290, OPP-0338090]</t>
  </si>
  <si>
    <t>We wish to thank the many people who worked in support of this project as divers, laboratory assistants and technicians. Included in this group are Erich Horgan, Jeff Godfrey, Jeff Mercer, Kerri Scolardi, Wally Fulweiler, Kelly Rakow and Sandy and Izzie Williams. We are grateful to the crew of the ASRV Laurence M. Gould for their support and the comments of three anonymous reviewers. This study was funded by NSF grants OPP-0338290 to P. Kremer and OPP-0338090 to L. Madin.</t>
  </si>
  <si>
    <t>10.1007/s00227-008-1099-4</t>
  </si>
  <si>
    <t>WOS:000262578800021</t>
  </si>
  <si>
    <t>Warren, JD; Santora, JA; Demer, DA</t>
  </si>
  <si>
    <t>Warren, Joseph D.; Santora, Jarrod A.; Demer, David A.</t>
  </si>
  <si>
    <t>Submesoscale distribution of Antarctic krill and its avian and pinniped predators before and after a near gale</t>
  </si>
  <si>
    <t>CCAMLR 2000 SURVEY; SHORT-TERM CHANGES; WARM-CORE RING; EUPHAUSIA-SUPERBA; SOUTH-GEORGIA; SCOTIA SEA; CHINSTRAP PENGUINS; DIVING BEHAVIOR; ELEPHANT-ISLAND; BIOMASS</t>
  </si>
  <si>
    <t>We conducted two ship-based surveys of the nearshore ecosystem north of Livingston Island, Antarctica during 2-10 February 2005. Between the two surveys, a low-pressure system (963 mbar) passed through the area providing the opportunity to measure ecosystem parameters before and after a near gale. A ship-based multiple-frequency acoustic-backscatter survey was used to assess the distribution and relative abundance of Antarctic krill (Euphausia superba). Net tows, hydrographic profiles, and meteorological data were collected to measure biological and physical processes that might affect the krill population. During the survey, the distribution and behavior of several krill predators [chinstrap penguins (Pygoscelis antarctica), cape petrels (Daption capense), and Antarctic fur seals (Arctocephalus gazella)] were measured from the vessel by visual observations. The survey encompassed an area of roughly 2,500 km(2), containing two submarine canyons with one to the west and one to the east of Cape Shirreff, which had different abundances of krill and predators. Several aspects of the nearshore ecosystem changed after the near gale including: hydrography of the upper 100 m of the water column, phytoplankton biomass, the abundance and distribution of krill, and the distribution of some krill predators. Differences in these parameters were also measured between the two canyons. These changes in the physical and biological environment during the survey period are quantified and show that the ecosystem exhibited significant changes over relatively short spatial (tens of kilometers) and time (tens of hours) scales.</t>
  </si>
  <si>
    <t>[Warren, Joseph D.] SUNY Stony Brook, Sch Marine &amp; Atmospher Sci, Stony Brook, NY 11794 USA; [Santora, Jarrod A.] CUNY Coll Staten Isl, Dept Biol, Staten Isl, NY 10314 USA; [Demer, David A.] SW Fisheries Sci Ctr, La Jolla, CA 92037 USA</t>
  </si>
  <si>
    <t>State University of New York (SUNY) System; State University of New York (SUNY) Stony Brook; City University of New York (CUNY) System; College of Staten Island (CUNY); National Oceanic Atmospheric Admin (NOAA) - USA</t>
  </si>
  <si>
    <t>Warren, JD (corresponding author), SUNY Stony Brook, Sch Marine &amp; Atmospher Sci, Stony Brook, NY 11794 USA.</t>
  </si>
  <si>
    <t>joe.warren@stonybrook.edu</t>
  </si>
  <si>
    <t>Warren, Joseph/Y-4078-2019; , David/ABC-8990-2022</t>
  </si>
  <si>
    <t>, David/0000-0001-5083-8854</t>
  </si>
  <si>
    <t>National Science Foundation [OPP0338196, OPP-0633939, OPP-9983751]; NOAA's Antarctic Marine Living Resources program</t>
  </si>
  <si>
    <t>National Science Foundation(National Science Foundation (NSF)); NOAA's Antarctic Marine Living Resources program(National Oceanic Atmospheric Admin (NOAA) - USA)</t>
  </si>
  <si>
    <t>The Captain and crew of the RV Yuzhmorgeologiya provided excellent assistance in conducting this study. We greatly appreciate the assistance of D. J. Futuyma in collection of predator observations. Echosounder data were collected and processed by A. Cossio and C. Reiss. Zooplankton net tow data were collected and processed by K. Dietrich, R. Driscoll, D. Lombard, P. Kappes, T. Reddy, and S. Wilson who were led by V. Loeb. D. Needham and M. van den Berg collected the hydrographic data. C. D. Hewes provided the phytoplankton biomass measurements. C. Reiss, R. Veit, and several anonymous reviewers provided useful feedback on this manuscript. Support for this project was jointly provided by the Office of Polar Programs at the National Science Foundation ( grants # OPP0338196 and OPP-0633939 to J. D. W. and D. A. D.) and NOAA's Antarctic Marine Living Resources program led by R. Holt. J. A. S. was supported by National Science Foundation grant OPP-9983751 awarded to R. R. Veit. This is contribution # 1379 of the Marine Sciences Research Center at Stony Brook University.</t>
  </si>
  <si>
    <t>10.1007/s00227-008-1102-0</t>
  </si>
  <si>
    <t>WOS:000262578800023</t>
  </si>
  <si>
    <t>Choi, HS; Yim, JH; Lee, HK; Pyo, S</t>
  </si>
  <si>
    <t>Choi, Hye-Sook; Yim, Joung Han; Lee, Hong Kum; Pyo, Suhkneung</t>
  </si>
  <si>
    <t>Immunomodulatory Effects of Polar Lichens on the Function of Macrophages In Vitro</t>
  </si>
  <si>
    <t>MARINE BIOTECHNOLOGY</t>
  </si>
  <si>
    <t>Antarctic; Caloplaca regalis; Immunomodulating activity; Macrophages; NF-kappa B; p38 MAPK</t>
  </si>
  <si>
    <t>NF-KAPPA-B; MURINE PERITONEAL-MACROPHAGES; OXIDE SYNTHASE GENE; NITRIC-OXIDE; INTERFERON-GAMMA; CETRARIA-ISLANDICA; TYROSINE KINASE; IFN-GAMMA; ACTIVATION; LIPOPOLYSACCHARIDE</t>
  </si>
  <si>
    <t>Lichen species were collected from King George Island (Antarctica) and were screened for their immunomodulatory effect. Among the lichens tested, the methanol extract (CR-ME) of Caloplaca regalis showed the highest nitric oxide (NO) production in murine peritoneal macrophages. Therefore, this study further examined the ability of C. regalis to induce secretory and cellular responses in macrophages. Macrophages were treated with various concentrations of CR-ME for 18 h. The CR-ME treatment induced tumoricidal activity and increased the production of tumor necrosis factor-alpha (TNF-alpha) and nitric oxide by macrophages. However, CR-ME had a little effect on the levels of reactive oxygen species, interleukin-1 and IFN-gamma in CR-ME-treated macrophages. The CR-ME-induced tumoricidal activity was partially abrogated by a NO inhibitor and the anti-TNF-alpha antibody. Thus, the tumoricidal effect of CR-ME appeared to be mainly mediated by NO and TNF-alpha production from macrophages. Treating the macrophages with a p38 mitogen-activated protein kinase (MAPK) inhibitor partially blocked the tumoricidal activation induced by CR-ME, whereas inhibitors of the other kinases did not have an inhibitory effect. These results suggest that CR-ME induces the tumoricidal activity via the p38 MAPK-dependent pathway. Furthermore, electrophoretic mobility shift assay analyses revealed that the CR-ME treatment induced the activation of the NF-kappa B transcription factor. Overall, these results indicate that the tumoricidal activity induced by CR-ME is mainly due to TNF-alpha and NO production, and the activation of macrophage by CR-ME is mediated probably via the p38 MAPK and NF-kappa B pathway. Our results may also provide some leads in the development of new immunomodulating drugs.</t>
  </si>
  <si>
    <t>[Choi, Hye-Sook; Pyo, Suhkneung] Sungkyunkwan Univ, Div Immunopharmacol, Coll Pharm, Suwon 440746, Kyunggi Do, South Korea; [Yim, Joung Han; Lee, Hong Kum] KORDI, Polar BioCtr, Korea Polar Res Inst, Inchon 406840, South Korea</t>
  </si>
  <si>
    <t>Sungkyunkwan University (SKKU); Korea Polar Research Institute (KOPRI); Korea Institute of Ocean Science &amp; Technology (KIOST)</t>
  </si>
  <si>
    <t>Pyo, S (corresponding author), Sungkyunkwan Univ, Div Immunopharmacol, Coll Pharm, Suwon 440746, Kyunggi Do, South Korea.</t>
  </si>
  <si>
    <t>snpyo@skku.edu</t>
  </si>
  <si>
    <t>Korea Polar Research Institute [PE07050]</t>
  </si>
  <si>
    <t>Korea Polar Research Institute(Korea Polar Research Institute of Marine Research Placement (KOPRI))</t>
  </si>
  <si>
    <t>This work was supported by the Korea Polar Research Institute, grant number PE07050.</t>
  </si>
  <si>
    <t>1436-2228</t>
  </si>
  <si>
    <t>1436-2236</t>
  </si>
  <si>
    <t>MAR BIOTECHNOL</t>
  </si>
  <si>
    <t>Mar. Biotechnol.</t>
  </si>
  <si>
    <t>10.1007/s10126-008-9121-x</t>
  </si>
  <si>
    <t>426IO</t>
  </si>
  <si>
    <t>WOS:000264701400010</t>
  </si>
  <si>
    <t>Waelbroeck, C; Paul, A; Kucera, M; Rosell-Melée, A; Weinelt, M; Schneider, R; Mix, AC; Abelmann, A; Armand, L; Bard, E; Barker, S; Barrows, TT; Benway, H; Cacho, I; Chen, MT; Cortijo, E; Crosta, X; de Vernal, A; Dokken, T; Duprat, J; Elderfield, H; Eynaud, F; Gersonde, R; Hayes, A; Henry, M; Hillaire-Marcel, C; Huang, CC; Jansen, E; Juggins, S; Kallel, N; Kiefer, T; Kienast, M; Labeyrie, L; Leclaire, H; Londeix, L; Mangin, S; Matthiessen, J; Marret, F; Meland, M; Morey, AE; Mulitza, S; Pflaumann, U; Pisias, NG; Radi, T; Rochon, A; Rohling, EJ; Sbaffi, L; Schäfer-Neth, C; Solignac, S; Spero, H; Tachikawa, K; Turon, JL</t>
  </si>
  <si>
    <t>Waelbroeck, C.; Paul, A.; Kucera, M.; Rosell-Mele, A.; Weinelt, M.; Schneider, R.; Mix, A. C.; Abelmann, A.; Armand, L.; Bard, E.; Barker, S.; Barrows, T. T.; Benway, H.; Cacho, I.; Chen, M. -T.; Cortijo, E.; Crosta, X.; de Vernal, A.; Dokken, T.; Duprat, J.; Elderfield, H.; Eynaud, F.; Gersonde, R.; Hayes, A.; Henry, M.; Hillaire-Marcel, C.; Huang, C. -C.; Jansen, E.; Juggins, S.; Kallel, N.; Kiefer, T.; Kienast, M.; Labeyrie, L.; Leclaire, H.; Londeix, L.; Mangin, S.; Matthiessen, J.; Marret, F.; Meland, M.; Morey, A. E.; Mulitza, S.; Pflaumann, U.; Pisias, N. G.; Radi, T.; Rochon, A.; Rohling, E. J.; Sbaffi, L.; Schaefer-Neth, C.; Solignac, S.; Spero, H.; Tachikawa, K.; Turon, J. -L.</t>
  </si>
  <si>
    <t>MARGO Project Members</t>
  </si>
  <si>
    <t>Constraints on the magnitude and patterns of ocean cooling at the Last Glacial Maximum</t>
  </si>
  <si>
    <t>SEA-SURFACE TEMPERATURES; NORTH-ATLANTIC; RECONSTRUCTION; PACIFIC</t>
  </si>
  <si>
    <t>Observation-based reconstructions of sea surface temperature from relatively stable periods in the past, such as the Last Glacial Maximum, represent an important means of constraining climate sensitivity and evaluating model simulations(1). The first quantitative global reconstruction of sea surface temperatures during the Last Glacial Maximum was developed by the Climate Long-Range Investigation, Mapping and Prediction (CLIMAP) project in the 1970s and 1980s (refs 2,3). Since that time, several shortcomings of that earlier effort have become apparent(4). Here we present an updated synthesis of sea surface temperatures during the Last Glacial Maximum, rigorously defined as the period between 23 and 19 thousand years before present, from the Multiproxy Approach for the Reconstruction of the Glacial Ocean Surface (MARGO) project(5). We integrate microfossil and geochemical reconstructions of surface temperatures and include assessments of the reliability of individual records. Our reconstruction reveals the presence of large longitudinal gradients in sea surface temperature in all of the ocean basins, in contrast to the simulations of the Last Glacial Maximum climate available at present(6,7).</t>
  </si>
  <si>
    <t>[Waelbroeck, C.; Cortijo, E.; Labeyrie, L.; Leclaire, H.] Lab CNRS CEA UVSQ, LSCE IPSL, F-91198 Gif Sur Yvette, France; [Paul, A.; Mulitza, S.] Univ Bremen, Ctr Marine Environm Sci, MARUM, D-28334 Bremen, Germany; [Paul, A.; Mulitza, S.] Univ Bremen, Dept Geosci, D-28334 Bremen, Germany; [Kucera, M.] Univ Tubingen, Inst Geosci, D-72076 Tubingen, Germany; [Rosell-Mele, A.] Univ Autonoma Barcelona, ICREA, Bellaterra 08193, Spain; [Rosell-Mele, A.] Univ Autonoma Barcelona, Inst Environm Sci &amp; Technol, Bellaterra 08193, Spain; [Weinelt, M.; Schneider, R.; Pflaumann, U.] Univ Kiel, Inst Geosci, D-24098 Kiel, Germany; [Mix, A. C.; Benway, H.; Morey, A. E.; Pisias, N. G.] Oregon State Univ, Coll Ocean &amp; Atmospher Sci, Corvallis, OR 97331 USA; [Abelmann, A.; Gersonde, R.; Matthiessen, J.; Schaefer-Neth, C.] Alfred Wegener Inst Polar &amp; Marine Res, D-27515 Bremerhaven, Germany; [Armand, L.] Antarctic Climate &amp; Ecosyst Cooperat Res Ctr, Hobart, Tas 7001, Australia; [Armand, L.] CSIRO Marine &amp; Atmospher Res, Hobart, Tas 7001, Australia; [Bard, E.; Tachikawa, K.] Aix Marseille Univ, CNRS, IRD, Coll France, F-13545 Aix En Provence, France; [Barker, S.] Cardiff Univ, Sch Earth &amp; Ocean Sci, Cardiff CF10 3YE, Wales; [Barrows, T. T.] Australian Natl Univ, Res Sch Phys Sci &amp; Engn, Canberra, ACT 0200, Australia; [Cacho, I.] Univ Barcelona, CRG Marine Geosci, Barcelona 08028, Spain; [Chen, M. -T.; Huang, C. -C.] Natl Taiwan Ocean Univ, Inst Appl Geosci, Chilung 20224, Taiwan; [Crosta, X.; Duprat, J.; Eynaud, F.; Londeix, L.; Mangin, S.; Radi, T.; Turon, J. -L.] Univ Bordeaux 1, CNRS, EPOC, DGO,UMR 5805, F-33405 Talence, France; [de Vernal, A.; Henry, M.; Hillaire-Marcel, C.; Solignac, S.] Univ Quebec, Geotop, Montreal, PQ H3C 3P8, Canada; [Dokken, T.; Jansen, E.] Univ Bergen, Bjreknes Ctr Climate Res, N-5007 Bergen, Norway; [Elderfield, H.; Kiefer, T.] Univ Cambridge, Dept Earth Sci, Cambridge CB2 3EQ, England; [Hayes, A.] Univ Limerick, Dept Geog, Limerick, Ireland; [Juggins, S.] Newcastle Univ, Sch Geog Polit &amp; Sociol, Newcastle Upon Tyne NE1 7RU, Tyne &amp; Wear, England; [Kallel, N.] Univ Sfax, Lab E08 C10, Sfax 3038, Tunisia; [Kienast, M.] Dalhousie Univ, Dept Oceanog, Halifax, NS B3H 4J1, Canada; [Marret, F.] Univ Liverpool, Dept Geog, Liverpool L69 7ZT, Merseyside, England; [Rochon, A.] Univ Quebec, ISMER, Rimouski, PQ G5L 3A1, Canada; [Rohling, E. J.] Natl Oceanog Ctr, Southampton SO14 3ZH, Hants, England; [Sbaffi, L.] Geosci Australia, Canberra, ACT 2601, Australia; [Spero, H.] Univ Calif Davis, Dept Geol, Davis, CA 95616 USA</t>
  </si>
  <si>
    <t>CEA; Centre National de la Recherche Scientifique (CNRS); Universite Paris Saclay; University of Bremen; University of Bremen; Eberhard Karls University of Tubingen; Autonomous University of Barcelona; ICREA; Autonomous University of Barcelona; University of Kiel; Oregon State University; Helmholtz Association; Alfred Wegener Institute, Helmholtz Centre for Polar &amp; Marine Research; Antarctic Climate &amp; Ecosystems Cooperative Research Centre (ACE CRC); Commonwealth Scientific &amp; Industrial Research Organisation (CSIRO); Universite PSL; College de France; Centre National de la Recherche Scientifique (CNRS); Aix-Marseille Universite; Institut de Recherche pour le Developpement (IRD); Cardiff University; Australian National University; University of Barcelona; National Taiwan Ocean University; Centre National de la Recherche Scientifique (CNRS); CNRS - National Institute for Earth Sciences &amp; Astronomy (INSU); Universite de Bordeaux; University of Quebec; University of Quebec Montreal; University of Bergen; University of Cambridge; University of Limerick; Newcastle University - UK; Universite de Sfax; Dalhousie University; University of Liverpool; University of Quebec; NERC National Oceanography Centre; Geoscience Australia; University of California System; University of California Davis</t>
  </si>
  <si>
    <t>Waelbroeck, C (corresponding author), Lab CNRS CEA UVSQ, LSCE IPSL, Domaine CNRS, F-91198 Gif Sur Yvette, France.</t>
  </si>
  <si>
    <t>claire.waelbroeck@lsce.ipsl.fr</t>
  </si>
  <si>
    <t>Sbaffi, Laura/AAM-1616-2020; Weinelt, Mara/AAD-5295-2020; Rosell-Melé, Antoni/B-3433-2013; Chen, Min-Te/AAD-5990-2021; Huang, Chih-Ching/D-3103-2012; Kucera, Michal/ABH-6065-2020; Stephen, Barker/C-2770-2009; Cacho, Isabel/AAX-2610-2021; Chen, Min-Te/ABF-2935-2020; Bard, Edouard/G-7717-2014; Rohling, Eelco J/B-9736-2008; Kucera, Michal/AAE-8115-2020; Hillaire-Marcel, Claude/C-9153-2013; Armand, Leanne K/C-9004-2009; Barrows, Timothy/A-1428-2008; Hillaire-Marcel, Claude/H-1441-2012; Cacho, Isabel/H-4402-2013; IPO, PAGES/JXY-7546-2024; Dokken, Trond/AAE-9168-2021; Barrows, Timothy T/E-8471-2011; Juggins, Steve/D-1653-2010; Mulitza, Stefan/G-5357-2011; de Vernal, Anne/D-5602-2013</t>
  </si>
  <si>
    <t>Rosell-Melé, Antoni/0000-0002-5513-2647; Chen, Min-Te/0000-0002-7552-1615; Huang, Chih-Ching/0000-0002-0363-1129; Cacho, Isabel/0000-0002-6512-0770; Rohling, Eelco J/0000-0001-5349-2158; Kucera, Michal/0000-0002-7817-9018; Hillaire-Marcel, Claude/0000-0002-3733-4632; Cacho, Isabel/0000-0002-6512-0770; Barrows, Timothy T/0000-0003-2614-7177; Juggins, Steve/0000-0003-4466-424X; Armand, Leanne/0000-0003-3995-308X; Marret-Davies, Fabienne/0000-0003-4244-0437; Morey (Ross), Ann E./0000-0002-8702-2581; Eynaud, Frederique/0000-0003-1283-7425; Mulitza, Stefan/0000-0002-3842-1447; Matthiessen, Jens/0000-0002-6952-2494; de Vernal, Anne/0000-0001-5656-724X; Abelmann, Andrea/0000-0001-9432-0002; Schneider, Ralph/0000-0003-1453-9181; Solignac, Sandrine/0000-0003-3373-6922; Weinelt, Mara/0000-0001-5438-4546; Barker, Stephen/0000-0001-7870-6431; waelbroeck, claire/0000-0002-7256-5727</t>
  </si>
  <si>
    <t>ICREA Funding Source: Custom; Natural Environment Research Council [NE/C509531/1, NE/E015905/1, NE/D001803/1, bosc01001] Funding Source: researchfish</t>
  </si>
  <si>
    <t>ICREA(ICREA); Natural Environment Research Council(UK Research &amp; Innovation (UKRI)Natural Environment Research Council (NERC))</t>
  </si>
  <si>
    <t>NATURE PORTFOLIO</t>
  </si>
  <si>
    <t>HEIDELBERGER PLATZ 3, BERLIN, 14197, GERMANY</t>
  </si>
  <si>
    <t>10.1038/NGEO411</t>
  </si>
  <si>
    <t>408TN</t>
  </si>
  <si>
    <t>WOS:000263458000016</t>
  </si>
  <si>
    <t>Ovstedal, DO; Smith, RJL</t>
  </si>
  <si>
    <t>Ovstedal, Dag O.; Smith, Ron J. Lewis</t>
  </si>
  <si>
    <t>Further additions to the lichen flora of Antarctica and South Georgia</t>
  </si>
  <si>
    <t>NOVA HEDWIGIA</t>
  </si>
  <si>
    <t>Bellemerea; Lecanora; Schaereria; taxonomy; Antarctica; South Georgia</t>
  </si>
  <si>
    <t>SCHAERERIA; ASCOMYCOTA</t>
  </si>
  <si>
    <t>Ten lichen species new to the Antarctic and sub-Antarctic South Georgia are described. Four are new to science: a species of Bellemerea containing porphyrilic acid from King George Island, a sorediate species of Leconoro with numerous xanthones and growing on introduced timber on Deception Island. a species of Schaereria growing at high altitudes in continental Antarctica, and a species of Lecanora (previously known as Lecanora sp. A) growing on Pseudephebe at high altitude on the Antarctic Peninsula. In addition there are three species of tomentose Peltigera resulting from a recent revision by O.Vitikainen, a species of Stereocaulon from Deception Island, a species of Tephromela from Cape Adare, and a species of Parmetia from Jenny and Lambda Islands, Antarctic Peninsula. A total of 471 lichenized fungal taxa have now been reported for Antarctica and South Georgia.</t>
  </si>
  <si>
    <t>[Ovstedal, Dag O.] Univ Bergen, Bergen Museum, DNS, N-5007 Bergen, Norway; [Smith, Ron J. Lewis] Ctr Antarctic Plant Ecol &amp; Divers, Moffat DG10 9LB, Scotland</t>
  </si>
  <si>
    <t>University of Bergen</t>
  </si>
  <si>
    <t>Ovstedal, DO (corresponding author), Univ Bergen, Bergen Museum, DNS, N-5007 Bergen, Norway.</t>
  </si>
  <si>
    <t>GEBRUDER BORNTRAEGER</t>
  </si>
  <si>
    <t>STUTTGART</t>
  </si>
  <si>
    <t>JOHANNESSTR 3A, D-70176 STUTTGART, GERMANY</t>
  </si>
  <si>
    <t>0029-5035</t>
  </si>
  <si>
    <t>Nova Hedwigia</t>
  </si>
  <si>
    <t>10.1127/0029-5035/2009/0088-0157</t>
  </si>
  <si>
    <t>411MD</t>
  </si>
  <si>
    <t>WOS:000263652800016</t>
  </si>
  <si>
    <t>Stepanov, VN</t>
  </si>
  <si>
    <t>Stepanov, V. N.</t>
  </si>
  <si>
    <t>Variability of the Meridional Transport Processes in the Southern Ocean and Its Possible Relation to El Nino</t>
  </si>
  <si>
    <t>ANTARCTIC CIRCUMPOLAR CURRENT; SEA-ICE; RESONANCE; ANOMALIES; PACIFIC; LEVEL</t>
  </si>
  <si>
    <t>The article deals with the influence of wind and atmospheric pressure on the barotropic variability of the Antarctic Circumpolar Current (ACC). This effect is studied using a global barotropic model under idealized and realistic atmospheric forcings. The results of barotropic modeling demonstrate that variations in the wind forcing over the ACC, together with the effects of the topography and coastline, lead to the variability in the meridional water flux in the Southern Ocean. The variability of these fluxes is negatively correlated with the wind strength over the ACC. A possible link between the short-period variability of the water flux in the Pacific sector of the Southern Ocean and El Nino is demonstrated using 3D ocean modeling and correlation analysis. It is shown that the variability of the meridional water flux caused by atmospheric perturbations over the ACC can lead to short-period density anomalies in the Southern Ocean north of 47 degrees S, which later can be transferred to low latitudes by means of the wave mechanism described in [15] and strongly influence the tropical region.</t>
  </si>
  <si>
    <t>Proudman Oceanog Lab, Liverpool, Merseyside, England</t>
  </si>
  <si>
    <t>NERC National Oceanography Centre</t>
  </si>
  <si>
    <t>Stepanov, VN (corresponding author), Proudman Oceanog Lab, Liverpool, Merseyside, England.</t>
  </si>
  <si>
    <t>vst@pol.ac.uk</t>
  </si>
  <si>
    <t>Stepanov, Vladimir/P-8371-2019</t>
  </si>
  <si>
    <t>Stepanov, Vladimir/0000-0002-0560-9312</t>
  </si>
  <si>
    <t>Natural Environment Research Council (NERC); NERC [pol010005] Funding Source: UKRI; Natural Environment Research Council [pol010005, NE/B503484/1]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</si>
  <si>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</si>
  <si>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 thanks the anonymous reviewer for useful remarks, which were helpful for improving the initial manuscript of the article. This study was supported by the Natural Environment Research Council (NERC).</t>
  </si>
  <si>
    <t>10.1134/S0001437009010019</t>
  </si>
  <si>
    <t>450ZG</t>
  </si>
  <si>
    <t>WOS:000266439900001</t>
  </si>
  <si>
    <t>Nedashkovsky, AP; Khvedynich, SV; Petrovsky, TV</t>
  </si>
  <si>
    <t>Nedashkovsky, A. P.; Khvedynich, S. V.; Petrovsky, T. V.</t>
  </si>
  <si>
    <t>Alkalinity of Sea Ice in the High-Latitudinal Arctic According to the Surveys Performed at North Pole Drifting Station 34 and Characterization of the Role of the Arctic Ice in the CO2 Exchange</t>
  </si>
  <si>
    <t>CARBON</t>
  </si>
  <si>
    <t>The variability of the total alkalinity in the sea ice of the high-latitudinal Arctic from November 2005 to May 2006 is considered. For the bulk of the one-and two-year sea ice, the alkalinity dependence on the salinity is described as TA = k x Sal, where k is the salinity : alkalinity ratio in the under-ice water. The given relationship is valid within a wide salinity range from 0.1 psu in the desalinated fraction of two-year ice to 36 psu in the snow on the young ice surface. Geochemically significant deviations from the relationship noted were observed exclusively in the snow and the upper layer of one-year ice. In the upper layer of one-year ice, an alkalinity deficiency is observed (Delta TA approximate to - 0.07 mequiv/kg, or - 15%). In the snow on the surface of the one-year ice, an alkalinity excess is formed under the desalination (Delta TA is as high as 1.3 mequiv/kg, 380%). The deviations registered are caused by the possibility of carbonate precipitation in the form of CaCO3 center dot 6H(2)O under the seawater freezing. It is shown that the ice formation and the following melting might cause a loss of the atmospheric CO2 of up to 3 x 10(12) g C/year.</t>
  </si>
  <si>
    <t>[Nedashkovsky, A. P.] Russian Acad Sci, Ilichev Pacific Oceanol Inst, Far E Div, Vladivostok 690022, Russia; [Khvedynich, S. V.; Petrovsky, T. V.] Arctic &amp; Antarctic Sci Res Inst, St Petersburg, Russia</t>
  </si>
  <si>
    <t>Nedashkovsky, AP (corresponding author), Russian Acad Sci, Ilichev Pacific Oceanol Inst, Far E Div, Vladivostok 690022, Russia.</t>
  </si>
  <si>
    <t>nedal@poi.dvo.ru</t>
  </si>
  <si>
    <t>10.1134/S000143700901007X</t>
  </si>
  <si>
    <t>WOS:000266439900007</t>
  </si>
  <si>
    <t>Antipov, NN; Batrak, KV; Dukhova, LA; Kuznetsov, VL; Maslennikov, VV</t>
  </si>
  <si>
    <t>Antipov, N. N.; Batrak, K. V.; Dukhova, L. A.; Kuznetsov, V. L.; Maslennikov, V. V.</t>
  </si>
  <si>
    <t>Hydrological-Hydrochemical Studies Performed onboard R/V Akademik Fedorov during the 53th Russian Antarctic Expedition</t>
  </si>
  <si>
    <t>[Antipov, N. N.; Kuznetsov, V. L.] Russian Acad Sci, Arctic &amp; Antarctic Res Inst, St Petersburg 199397, Russia; [Batrak, K. V.; Dukhova, L. A.; Maslennikov, V. V.] Russian Fed Res Inst Fisheries &amp; Ocaenog, Moscow 107140, Russia</t>
  </si>
  <si>
    <t>Russian Academy of Sciences; Arctic &amp; Antarctic Research Institute</t>
  </si>
  <si>
    <t>Antipov, NN (corresponding author), Russian Acad Sci, Arctic &amp; Antarctic Res Inst, Ul Beringa 38, St Petersburg 199397, Russia.</t>
  </si>
  <si>
    <t>marecol@vniro.ru</t>
  </si>
  <si>
    <t>10.1134/S0001437009010172</t>
  </si>
  <si>
    <t>WOS:000266439900017</t>
  </si>
  <si>
    <t>McMahon, CR; Bester, MN; Hindell, MA; Brook, BW; Bradshaw, CJA</t>
  </si>
  <si>
    <t>McMahon, Clive R.; Bester, Marthan N.; Hindell, Mark A.; Brook, Barry W.; Bradshaw, Corey J. A.</t>
  </si>
  <si>
    <t>Shifting trends: detecting environmentally mediated regulation in long-lived marine vertebrates using time-series data</t>
  </si>
  <si>
    <t>Demography; Density dependence; Climate change; Antarctica; Elephant seal; Population change; Mammal</t>
  </si>
  <si>
    <t>SOUTHERN ELEPHANT SEALS; POPULATION VIABILITY ANALYSIS; ESTIMATING DENSITY-DEPENDENCE; LIFE-HISTORY CONSEQUENCES; MIROUNGA-LEONINA; DECLINING POPULATION; KILLER WHALES; FUR SEALS; AGE; SURVIVAL</t>
  </si>
  <si>
    <t>Assessing the status and trends in animal populations is essential for effective species conservation and management practices. However, unless time-series abundance data demonstrate rapid and reliable fluctuations, objective appraisal of directionality of trends is problematic. We adopted a multiple-working hypotheses approach based on information-theoretic and Bayesian multi-model inference to examine the population trends and form of intrinsic regulation demonstrated by a long-lived species, the southern elephant seal. We also determined the evidence for density dependence in 11 other well-studied marine mammal species. (1) We tested the type of population regulation for elephant seals from Marion Island (1986-2004) and from 11 other marine mammal species, and (2) we described the trends and behavior of the 19-year population time series at Marion Island to identify changes in population trends. We contrasted five plausible trend models using information-theoretic and Bayesian-inference estimates of model parsimony. Our analyses identified two distinct phases of population growth for this population with the inflexion occurring in 1998. Thus, the population decreased between 1986 and 1997 (-3.7% per annum) and increased between 1997 and 2004 (1.9% per annum). An index of environmental stochasticity, the Southern Oscillation Index, explained some of the variance in r and N. We determined analytically that there was good evidence for density dependence in the Marion Island population and that density dependence was widespread among marine mammal species (67% of species showed evidence for population regulation). This approach demonstrates the potential functionality of a relatively simple technique that can be applied to short time series to identify the type of regulation, and the uncertainty associated with the phenomenon, operating in populations of large mammals.</t>
  </si>
  <si>
    <t>[McMahon, Clive R.] Charles Darwin Univ, Inst Adv Studies, Sch Environm Res, Darwin, NT 0909, Australia; [McMahon, Clive R.; Bester, Marthan N.] Univ Pretoria, Mammal Res Inst, Dept Zool &amp; Entomol, ZA-0002 Pretoria, Gauteng, South Africa; [McMahon, Clive R.; Hindell, Mark A.] Univ Tasmania, Sch Zool, Antarctic Wildlife Res Unit, Hobart, Tas 7001, Australia; [Brook, Barry W.; Bradshaw, Corey J. A.] Univ Adelaide, Sch Earth &amp; Environm Sci, Res Inst Climate Change &amp; Sustainabil, Adelaide, SA 5005, Australia; [Bradshaw, Corey J. A.] S Australian Res &amp; Dev Inst, Adelaide, SA 5022, Australia</t>
  </si>
  <si>
    <t>Charles Darwin University; University of Pretoria; University of Tasmania; University of Adelaide</t>
  </si>
  <si>
    <t>McMahon, CR (corresponding author), Charles Darwin Univ, Inst Adv Studies, Sch Environm Res, Darwin, NT 0909, Australia.</t>
  </si>
  <si>
    <t>Bester, Marthán N/E-5387-2010; Brook, Barry W./G-2686-2011; Hindell, Mark A/C-8368-2013; Hindell, Mark A/K-1131-2013; Bradshaw, Corey J. A./A-1311-2008; McMahon, Clive R/D-5713-2013</t>
  </si>
  <si>
    <t>Brook, Barry W./0000-0002-2491-1517; Bradshaw, Corey J. A./0000-0002-5328-7741; McMahon, Clive R/0000-0001-5241-8917; Hindell, Mark/0000-0002-7823-7185</t>
  </si>
  <si>
    <t>Republic of South Africa Department of Environmental Affairs and Tourism</t>
  </si>
  <si>
    <t>We thank all the seal counters at Marion Island from 1986 to 2004 for their dedication and hard work, in particular we thank P. Pistorius and G. Hofmeyr for collating the Marion Island data for us. We thank C. Barbraud, J.-M. Gaillard and an anonymous reviewer for helpful comments to improve the manuscript. We also thank G.-J. Yang, R. Lande, T. Coulson, S. Engen and B.-E. SEther for valuable advice and discussion. The Republic of South Africa Department of Environmental Affairs and Tourism (formerly the Department of Environmental Affairs) provided financial and logistical support on the advice of the South African Scientific Committee for Antarctic Research. The project conformed to the requirements of the Ethics Committee, Faculty of Natural and Agricultural Sciences, University of Pretoria (ref. no. 990112-002) and was accomplished under permit from the Department of Environmental Affairs and Tourism. CRM and MAH conceived the idea for the paper, CRM, CJAB and BWB wrote the paper, CJAB and BWB did the analyses, MNB initiated and maintained the annual censuses of the Marion Island southern elephant seal population, and all co-authors contributed intellectual content.</t>
  </si>
  <si>
    <t>10.1007/s00442-008-1205-9</t>
  </si>
  <si>
    <t>396FD</t>
  </si>
  <si>
    <t>WOS:000262576700007</t>
  </si>
  <si>
    <t>Jungblut, AD; Allen, MA; Burns, BP; Neilan, BA</t>
  </si>
  <si>
    <t>Jungblut, Anne D.; Allen, Michelle A.; Burns, Brendan P.; Neilan, Brett A.</t>
  </si>
  <si>
    <t>Lipid biomarker analysis of cyanobacteria-dominated microbial mats in meltwater ponds on the McMurdo Ice Shelf, Antarctica</t>
  </si>
  <si>
    <t>ORGANIC GEOCHEMISTRY</t>
  </si>
  <si>
    <t>HOT-SPRING ENVIRONMENTS; FATTY-ACID-COMPOSITION; EXTRACTABLE LIPIDS; BRATINA ISLAND; BACTERIAL DIVERSITY; MOLECULAR FOSSILS; BRANCHED ALKANES; SEDIMENTS; LAKE; CULTURES</t>
  </si>
  <si>
    <t>The lipid biomarker composition of microbial mat communities from three meltwater ponds from the McMurdo Ice Shelf, Antarctica, was investigated for the first time. Hydrocarbons, ether-linked components, fatty acids (FAs), wax esters, hopanols and sterols from Fresh, Orange and Salt Ponds were analysed. The dominance of cyanobacteria and the presence of bacterial sulfate reducers were confirmed using signature FAs in all three mats. Wax ester analysis suggested the presence of Chloroflexus spp. The dominance of short chain hydrocarbons, wax esters and FAs indicated that microorganisms are the major source of organic matter in these meltwater ponds. A variety of sterols were present in different relative abundances. The greatest diversity of sterols was in Salt Pond, followed by Fresh Pond, which was attributed to differences in the present eukaryotic diversity. Lipid profiles of the three communities were similar despite the presence of a salinity gradient. Analysis of lipid biomarkers allowed the creation of profiles for these unique Antarctic cryo-ecosystems. This will assist in the comparison of present and past microbial communities and in the monitoring of Antarctic biodiversity in response to global climate change and other environmental perturbations. Crown Copyright (C) 2008 Published by Elsevier Ltd. All rights reserved.</t>
  </si>
  <si>
    <t>[Neilan, Brett A.] Univ New S Wales, Sch Biotechnol &amp; Biomol Sci, Sydney, NSW 2052, Australia; Univ New S Wales, Australian Ctr Astrobiol, Sydney, NSW 2052, Australia</t>
  </si>
  <si>
    <t>University of New South Wales Sydney; University of New South Wales Sydney</t>
  </si>
  <si>
    <t>Neilan, BA (corresponding author), Univ New S Wales, Sch Biotechnol &amp; Biomol Sci, Sydney, NSW 2052, Australia.</t>
  </si>
  <si>
    <t>b.neilan@unsw.edu.au</t>
  </si>
  <si>
    <t>BURNS, BRENDAN P/B-5093-2009; Neilan, Brett A/I-5767-2012</t>
  </si>
  <si>
    <t>Neilan, Brett A/0000-0001-6113-772X; Allen, Michelle/0000-0002-8852-1454; BURNS, BRENDAN/0000-0002-2962-2597</t>
  </si>
  <si>
    <t>New Zealand Foundation for Research, Science and Technology; Boehringer-Ingelheim Fonds Travel Allowance; Australian Research Council</t>
  </si>
  <si>
    <t>New Zealand Foundation for Research, Science and Technology(New Zealand Foundation for Research, Science and Technology); Boehringer-Ingelheim Fonds Travel Allowance(Boehringer Ingelheim); Australian Research Council(Australian Research Council)</t>
  </si>
  <si>
    <t>We thank D. Sutherland and I. Hawes for help and Antarctica New Zealand for providing logistical support during the field event of 2005 and the New Zealand Foundation for Research, Science and Technology for financial support. The field event of 2005 by A.D.J. was also supported by a Boehringer-Ingelheim Fonds Travel Allowance. B.A.N. and B.P.B. are financially supported by the Australian Research Council. We also acknowledge H.M. Talbot and an anonymous reviewer for helpful comments.</t>
  </si>
  <si>
    <t>0146-6380</t>
  </si>
  <si>
    <t>ORG GEOCHEM</t>
  </si>
  <si>
    <t>Org. Geochem.</t>
  </si>
  <si>
    <t>10.1016/j.orggeochem.2008.10.002</t>
  </si>
  <si>
    <t>415QY</t>
  </si>
  <si>
    <t>WOS:000263950600012</t>
  </si>
  <si>
    <t>Rosa, LH; Vaz, ABM; Caligiorne, RB; Campolina, S; Rosa, CA</t>
  </si>
  <si>
    <t>Rosa, Luiz H.; Vaz, Aline B. M.; Caligiorne, Rachel B.; Campolina, Sabrina; Rosa, Carlos A.</t>
  </si>
  <si>
    <t>Endophytic fungi associated with the Antarctic grass Deschampsia antarctica Desv. (Poaceae)</t>
  </si>
  <si>
    <t>Antarctica; Biodiversity; Black moulds; Fungal endophytes</t>
  </si>
  <si>
    <t>ALTERNARIA</t>
  </si>
  <si>
    <t>Deschampsia antarctica Desv. (Poaceae) represents one of the two vascular plants that have colonized the Antarctic continent, which is usually exposed to extreme environmental conditions. In this work, we have characterized the endophytic fungi associated with the leaves of D. antarctica. Endophytic fungi were recovered from 91 individual plants from different points of Admiralty Bay at King George Island, Antarctica. A total of 26 fungal isolates were obtained from 273 leaf fragments. All isolates were identified by analysis of the sequences of the internal transcribed spacer region (ITS) of the rDNA. Alternaria and Phaeosphaeria were the most frequent genera associated with the plant. Other fungal isolates were identified as Entrophospora sp. and several undescribed Ascomycete species. An interesting result was obtained for the isolates UFMGCB 215 and UFMGCB 262, which were related to fungi associated with bryophytes present in boreal ecosystems. Some isolates showed low identity in the ITS sequences to sequences of fungal species deposited in GenBank, suggesting that these fungi could be new species. This work is the first report on fungal endophytes associated with leaves of the Antarctic grass D. antarctica.</t>
  </si>
  <si>
    <t>[Rosa, Luiz H.] Univ Fed Ouro Preto, Microbiol Lab, Dept Ciencias Biol, Inst Ciencias Exatas &amp; Biol, BR-35400000 Ouro Preto, MG, Brazil; [Vaz, Aline B. M.; Rosa, Carlos A.] Univ Fed Minas Gerais, Dept Microbiol, Inst Ciencias Biol, BR-31270901 Belo Horizonte, MG, Brazil; [Caligiorne, Rachel B.; Campolina, Sabrina] Fundacao Oswaldo Cruz, Lab Pesquisas Clin, Ctr Pesquisas Rene Rachou, Belo Horizonte, MG, Brazil</t>
  </si>
  <si>
    <t>Universidade Federal de Ouro Preto; Universidade Federal de Minas Gerais; Fundacao Oswaldo Cruz</t>
  </si>
  <si>
    <t>Rosa, LH (corresponding author), Univ Fed Ouro Preto, Microbiol Lab, Dept Ciencias Biol, Inst Ciencias Exatas &amp; Biol, BR-35400000 Ouro Preto, MG, Brazil.</t>
  </si>
  <si>
    <t>lhrosa@ufop.br</t>
  </si>
  <si>
    <t>CALIGIORNE, RACHEL BASQUES/U-4085-2019; Vaz, Aline BM/F-7684-2012</t>
  </si>
  <si>
    <t>CALIGIORNE, RACHEL BASQUES/0000-0001-7574-0984;</t>
  </si>
  <si>
    <t>Brazilian Antarctic Programme (PROANTAR)</t>
  </si>
  <si>
    <t>This study was made possible with financial and logistic support from the Brazilian Antarctic Programme (PROANTAR). It is part of the API activity 403 MIDIAPI Microbial Diversity of Terrestrial and Maritime ecosystems in Antarctic Peninsula under the overall coordination of Dr. Vivian H. Pellizari, and contributes to the umbrella IPY activities MERGE (Microbiological and Ecological Responses to Global Environmental Changes in Polar Regions), CAML (Census of Antarctic Marine Life) and SCARMarBIN (SCARMarine Biodiversity Information Network).</t>
  </si>
  <si>
    <t>10.1007/s00300-008-0515-z</t>
  </si>
  <si>
    <t>394IB</t>
  </si>
  <si>
    <t>WOS:000262439300003</t>
  </si>
  <si>
    <t>Kato, A; Yoshioka, A; Sato, K</t>
  </si>
  <si>
    <t>Kato, Akiko; Yoshioka, Aya; Sato, Katsufumi</t>
  </si>
  <si>
    <t>Foraging behavior of Ad,lie penguins during incubation period in Lutzow-Holm Bay</t>
  </si>
  <si>
    <t>Pygoscelis adeliae; Diving behavior; Incubation; Fast sea-ice; Time-depth recorder</t>
  </si>
  <si>
    <t>ADELIE PENGUINS; SEA-ICE; DIVING BEHAVIOR; PYGOSCELIS-ADELIAE; CONSTRAINTS; PATTERNS; AREA</t>
  </si>
  <si>
    <t>The diving behavior of Ad,lie penguins Pygoscelis adeliae was investigated using time-depth recorders during the incubation period in the fast sea-ice area of Lutzow-Holm Bay, Antarctica. Dive profiles and activity/time allocation suggested that penguins were obligated to walk on the fast-ice for 90-100 km until a polynya, which they used as an access to the pack-ice zone. Dive depth did not differ between males and females, though males' dive duration was longer than that of females. Dive depth was slightly shallower and dive duration was shorter during the incubation than during the chick-rearing phase. Birds dove throughout the day, although less frequently around midnight, and there was no clear diel change in dive depth. This daily dive pattern during incubation period was similar to that previously observed during the chick-rearing period in a fast sea-ice area, but differed from that observed in sea-ice-free area. Variations in diving behavior resulted from different environmental conditions, such as foraging area with different sea-ice condition, as well as from different life history strategies.</t>
  </si>
  <si>
    <t>[Kato, Akiko] IPHC DEPE, F-67087 Strasbourg, France; [Kato, Akiko; Sato, Katsufumi] Natl Inst Polar Res, Itabashi Ku, Tokyo 1738515, Japan; [Yoshioka, Aya] Tokyo Univ Marine Sci &amp; Technol, Minato Ku, Tokyo 1088477, Japan; [Sato, Katsufumi] Univ Tokyo, Int Coastal Res Ctr, Ocean Res Inst, Otsuchi, Iwate 0281102, Japan</t>
  </si>
  <si>
    <t>Research Organization of Information &amp; Systems (ROIS); National Institute of Polar Research (NIPR) - Japan; Tokyo University of Marine Science &amp; Technology; University of Tokyo</t>
  </si>
  <si>
    <t>Kato, A (corresponding author), IPHC DEPE, 23 Rue Becquerel, F-67087 Strasbourg, France.</t>
  </si>
  <si>
    <t>akiko.k.r@gmail.com</t>
  </si>
  <si>
    <t>Kato, Akiko/W-2447-2019</t>
  </si>
  <si>
    <t>Kato, Akiko/0000-0002-8947-3634</t>
  </si>
  <si>
    <t>JARE; Japanese Society for Promotion of Science</t>
  </si>
  <si>
    <t>JARE; Japanese Society for Promotion of Science(Ministry of Education, Culture, Sports, Science and Technology, Japan (MEXT)Japan Society for the Promotion of Science)</t>
  </si>
  <si>
    <t>We thank members of the 40th Japanese Antarctic Research Expedition (JARE40) for their assistance in the Weld and Dr. Y. Ropert-Coudert, Dr. S. Olmastroni and one anonymous referee for their comments and corrections to improve the manuscript. Dr. N. Hirasawa provided us with NOAA satellite image data and Dr. T. Hirawake with ice concentration data obtained from DMSP SSM/ I. This work was financially supported by JARE and Grant-in-Aid from the Japanese Society for Promotion of Science.</t>
  </si>
  <si>
    <t>10.1007/s00300-008-0518-9</t>
  </si>
  <si>
    <t>WOS:000262439300005</t>
  </si>
  <si>
    <t>Wheeler, M; de Villiers, MS; Majiedt, PA</t>
  </si>
  <si>
    <t>Wheeler, Mariette; de Villiers, Marienne S.; Majiedt, Prideel A.</t>
  </si>
  <si>
    <t>The effect of frequency and nature of pedestrian approaches on the behaviour of wandering albatrosses at sub-Antarctic Marion Island</t>
  </si>
  <si>
    <t>Human disturbance; Approaches; wandering albatross; sub-Antarctic</t>
  </si>
  <si>
    <t>HUMAN DISTURBANCE; MAGELLANIC PENGUINS; DIOMEDEA-EXULANS; BREEDING SUCCESS; HEART-RATE; RESPONSES; BIRDS; CORTICOSTERONE; VISITATION; SEABIRD</t>
  </si>
  <si>
    <t>The effects of disturbance frequency, pedestrian group size, history and approach distance were tested through standardised approaches to 148 brooding/guarding wandering albatrosses (Diomedea exulans) at Marion Island in 2006. Seldom-visited birds were approached at different frequencies over a 3-day period and chick survival was monitored 2 weeks later. Two-person approaches were made to some seldom-visited birds and to birds that have recently been bled. Birds close to the station and in a long-term study colony were also approached. non-vocal response (NVR), vocal response (VR) and overall response (OR) of individuals were analysed. Frequency of approach did not influence short-term behavioural responses, but affected chick survival significantly-nests approached most often had the highest proportion of failures. Over the long-term, there was sensitisation to disturbance. Low OR ranks were found for 71.7% of seldom-disturbed birds, 41.7% of study colony birds and 28.6% of birds close to the station. Management regulations at the island are likely to be effective in protecting this species from human disturbance.</t>
  </si>
  <si>
    <t>[Wheeler, Mariette; de Villiers, Marienne S.; Majiedt, Prideel A.] Univ Cape Town, Anim Demog Unit, Dept Zool, Rondebosch, South Africa</t>
  </si>
  <si>
    <t>University of Cape Town</t>
  </si>
  <si>
    <t>Wheeler, M (corresponding author), Univ Cape Town, Anim Demog Unit, Dept Zool, Rondebosch 7701, Rondebosch, South Africa.</t>
  </si>
  <si>
    <t>mariettewheeler@yahoo.com</t>
  </si>
  <si>
    <t>Majiedt, Prideel/JNS-7900-2023</t>
  </si>
  <si>
    <t>Majiedt, Prideel/0000-0001-7530-3442</t>
  </si>
  <si>
    <t>The South African National Antarctic Programme (SANAP); Department of Environmental Affairs and Tourism</t>
  </si>
  <si>
    <t>The South African National Antarctic Programme (SANAP), Department of Environmental Affairs and Tourism, provided permission to conduct research and logistic support. Mariette Wheeler held a National Research Foundation (NRF) Prestigious PhD bursary and M. S. de Villiers received an NRF grant towards this research. Res Altwegg assisted with the statistical modelling.</t>
  </si>
  <si>
    <t>10.1007/s00300-008-0520-2</t>
  </si>
  <si>
    <t>WOS:000262439300007</t>
  </si>
  <si>
    <t>Skov, PV; Bushnell, P; Tirsgaard, B; Steffensen, JF</t>
  </si>
  <si>
    <t>Skov, Peter Vilhelm; Bushnell, Peter G.; Tirsgaard, Bjorn; Steffensen, John Fleng</t>
  </si>
  <si>
    <t>The role of adrenaline as a modulator of cardiac performance in two Antarctic fishes</t>
  </si>
  <si>
    <t>Adrenaline; Acetylcholine; Ventricle; Atrium; Icefish; Isometric contraction; Peak tension; Chaenocephalus; Notothenia</t>
  </si>
  <si>
    <t>ICEFISH CHAENOCEPHALUS-ACERATUS; ISOLATED VENTRICULAR TRABECULAE; HEMOGLOBIN-FREE FISH; RAINBOW-TROUT; CARDIOVASCULAR-RESPONSES; TEMPERATURE-ACCLIMATION; HEART VENTRICLE; LONNBERG; WINTER; CATECHOLAMINES</t>
  </si>
  <si>
    <t>The present work was performed to test the hypothesis that Antarctic teleosts rely mostly on cholinergic inhibition for autonomic modulation of the heart. The effects of adrenaline on the inotropic properties on paced, isometrically contracting muscle strips were examined in two distinct Antarctic teleosts, the haemoglobinless icefish Chaenocephalus aceratus and the red-blooded Notothenia coriiceps. All tissues examined revealed a negative force-frequency relationship. Under baseline conditions C. aceratus contracted with a force twice as great as that of N. coriiceps. While the degree to which ventricular tissues responded to adrenaline varied between species, adrenergic stimulation significantly increases myocyte contraction force in this group of fishes. Contraction and relaxation times were not significantly affected by adrenaline concentration while absolute rates of contraction were. Adrenergic stimulation does not enable tissues to achieve higher contraction frequencies, but is shown to be a potent modulator of contraction force.</t>
  </si>
  <si>
    <t>[Skov, Peter Vilhelm; Tirsgaard, Bjorn; Steffensen, John Fleng] Univ Copenhagen, Marine Biol Lab, DK-3000 Helsingor, Denmark; [Bushnell, Peter G.] Indiana Univ, Dept Biol Sci, South Bend, IN 46634 USA</t>
  </si>
  <si>
    <t>University of Copenhagen; Indiana University System; Indiana University South Bend</t>
  </si>
  <si>
    <t>Skov, PV (corresponding author), Univ Copenhagen, Marine Biol Lab, Strandpromenaden 5, DK-3000 Helsingor, Denmark.</t>
  </si>
  <si>
    <t>pvskov@bio.ku.dk</t>
  </si>
  <si>
    <t>Skov, Peter V/C-2388-2011; Steffensen, John Fleng/F-6778-2010</t>
  </si>
  <si>
    <t>Skov, Peter V/0000-0001-7900-4431; Steffensen, John Fleng/0000-0002-4477-8039</t>
  </si>
  <si>
    <t>Carlsberg Foundation [2006-01-0545]; Knud Hojgaard Foundation; IUSB Office of Research and Graduate Programs; The Danish Expedition Foundation; HDMS</t>
  </si>
  <si>
    <t>Carlsberg Foundation(Carlsberg Foundation); Knud Hojgaard Foundation; IUSB Office of Research and Graduate Programs; The Danish Expedition Foundation; HDMS</t>
  </si>
  <si>
    <t>Financial support from the Carlsberg Foundation to PVS (Grant. no. 2006-01-0545), the Knud Hojgaard Foundation to JFS and the IUSB Office of Research and Graduate Programs to PGB are gratefully acknowledged. We wish to thank The Danish Expedition Foundation and the crew on HDMS VAEDDEREN'' for their kind support and assistance, as well as the staff at Palmer Station for their hospitality during our brief stay. This is publication no. P12 from the Galathea 3 expedition.</t>
  </si>
  <si>
    <t>10.1007/s00300-008-0522-0</t>
  </si>
  <si>
    <t>WOS:000262439300009</t>
  </si>
  <si>
    <t>Nordoy, ES; Blix, AS</t>
  </si>
  <si>
    <t>Nordoy, E. S.; Blix, A. S.</t>
  </si>
  <si>
    <t>Movements and dive behaviour of two leopard seals (Hydrurga leptonyx) off Queen Maud Land, Antarctica</t>
  </si>
  <si>
    <t>Pack ice; Satellite telemetry; Pinniped; Antarctic; Haul out</t>
  </si>
  <si>
    <t>DIVING BEHAVIOR; CRAB-EATER; PRYDZ BAY; WINTER; ZOOPLANKTON; ABUNDANCE; ISLAND</t>
  </si>
  <si>
    <t>Two adult female leopard seals (Hydrurga leptonyx) were tagged with satellite-linked dive recorders off Queen Maud Land, Antarctica, just after moulting in mid-February. The transmitters transmitted for 80 and 220 days, respectively. Both seals remained within the pack ice relatively close to the Antarctic Continent until early May, when contact was lost with one seal. The one remaining seal then migrated north, to the east side of the South Sandwich Islands in 3 weeks, whereafter it headed east, until contact was lost at 55A degrees S in early September. From mid-May to late September this animal always stayed close to the edge of the pack ice. Both seals made mostly short (&lt; 5 min) dives to depths of 10-50 m and only occasionally dove deeper than 200 m, the deepest dive recorded being 304 m. A nocturnal diving pattern was evident in autumn and early winter, while day-time diving prevailed in mid-winter. Haul out probability was highest at mid-day (about 40% in late February and more than 80% in March and April). From May till September the remaining animal mainly stayed at sea, in the vicinity of the pack ice, with only occasional haul outs. These data suggest that a portion of the adult leopard seals may spend the winter mainly in open water, off the edge of the pack ice, where they primarily hunt near the surface. In that case, it is likely that krill (Euphausia superba), as well as penguins, young crabeater seals (Lobodon carcinophaga) and a variety of fish are important prey items.</t>
  </si>
  <si>
    <t>[Nordoy, E. S.; Blix, A. S.] Univ Tromso, Dept Arctic Biol, N-9037 Tromso, Norway</t>
  </si>
  <si>
    <t>UiT The Arctic University of Tromso</t>
  </si>
  <si>
    <t>Nordoy, ES (corresponding author), Univ Tromso, Dept Arctic Biol, N-9037 Tromso, Norway.</t>
  </si>
  <si>
    <t>erlingn@fagmed.uit.no</t>
  </si>
  <si>
    <t>Norwegian Research Council and the Norwegian Polar Research Institute [NARE 2000/2001]</t>
  </si>
  <si>
    <t>Norwegian Research Council and the Norwegian Polar Research Institute(Research Council of Norway)</t>
  </si>
  <si>
    <t>We thank the crew of Court Helicopters from Cape Town, South Africa, for excellent service during flight operations, the crew of R/V Lance for help and assistance throughout the expedition, and Rod Wolstenholme for help with the graphics. Supported in part by the Norwegian Research Council and the Norwegian Polar Research Institute as part of the NARE 2000/2001 expedition. The capture was done under permit from the Norwegian Polar Institute and tagging of the animals carried out under permit from the Norwegian National Animal Research Authority.</t>
  </si>
  <si>
    <t>10.1007/s00300-008-0527-8</t>
  </si>
  <si>
    <t>WOS:000262439300014</t>
  </si>
  <si>
    <t>Passos, FD; Domaneschi, O</t>
  </si>
  <si>
    <t>Passos, Flavio Dias; Domaneschi, Osmar</t>
  </si>
  <si>
    <t>The anatomical characters related to the brooding behavior of two Antarctic species of Mysella Angas, 1877 (Bivalvia, Galeommatoidea, Lasaeidae), with direct and indirect evidences of ovoviviparity</t>
  </si>
  <si>
    <t>Brooding; Mysella; Antarctica</t>
  </si>
  <si>
    <t>FUNCTIONAL-MORPHOLOGY; MARINE-INVERTEBRATES; CHARCOTI LAMY; HONG-KONG; REPRODUCTION; BIOLOGY; COMMENSAL; MONTACUTIDAE; MOLLUSKS; ECOLOGY</t>
  </si>
  <si>
    <t>Brood protection is a common feature of marine bivalves from higher latitudes. In this study the pallial organs of the Antarctic bivalves, Mysella charcoti (Lamy, 1906) and M. narchii Passos &amp; Domaneschi, 2006 were investigated with respect to anatomical characters related to brooding. Both species are simultaneous hermaphrodites and their eggs contain a large amount of yolk. The number of broods ranges from 16 to 30 in M. narchii and 7-27 in M. charcoti, and ovoviviparity was observed for both. Their ctenidia differ in structure, those of M. charcoti being simpler. In M. narchii there is a large elasticity of the tissue of the marginal food grooves of ctenidia, and cilia are much more abundant on the ctenidial abfrontal surface and on the visceral mass epithelium than in M. charcoti. Anatomical characters of M. charcoti can be considered derived when compared to those of M. narchii. In conclusion, detailed anatomical characters related to brooding may be useful in future systematic studies of Antarctic Bivalvia.</t>
  </si>
  <si>
    <t>[Passos, Flavio Dias; Domaneschi, Osmar] Univ Estadual Campinas, Dept Zool, Inst Biol, BR-13083 Campinas, SP, Brazil</t>
  </si>
  <si>
    <t>Universidade Estadual de Campinas</t>
  </si>
  <si>
    <t>Passos, FD (corresponding author), Univ Estadual Campinas, Dept Zool, Inst Biol, POB 6109, BR-13083 Campinas, SP, Brazil.</t>
  </si>
  <si>
    <t>flaviodp@unicamp.br</t>
  </si>
  <si>
    <t>Passos, Flávio Dias/AAG-5430-2020; Passos, Flávio Dias/D-6679-2012</t>
  </si>
  <si>
    <t>Passos, Flávio Dias/0000-0002-8193-9874;</t>
  </si>
  <si>
    <t>CNPq; SECIRM; Brazilian Navy and Brazilian Air Force; FAPESP; Pos-Graduacao, Area Zoologia, IBUSP</t>
  </si>
  <si>
    <t>CNPq(Conselho Nacional de Desenvolvimento Cientifico e Tecnologico (CNPQ)); SECIRM; Brazilian Navy and Brazilian Air Force; FAPESP(Fundacao de Amparo a Pesquisa do Estado de Sao Paulo (FAPESP)); Pos-Graduacao, Area Zoologia, IBUSP</t>
  </si>
  <si>
    <t>This work was carried out within the Brazilian Antarctic Programme (PROANTAR), with financial and logistic support provided by the CNPq, SECIRM, the Brazilian Navy and Brazilian Air Force. It was also supported by scholarships from FAPESP and from Pos-Graduacao, Area Zoologia, IBUSP. Our thanks are due to E. Mattos, W. Caldeira and M. V. Cruz (IBUSP), and L. M. Guimaraes (MZUSP), who provided assistance in the techniques of microscopy; Dr. G. L. C. Meserani and Dr. J. R. M. C. da Silva (USP) for their personal engagements and encouragement in Weld and laboratory studies. Special acknowledgements are to three reviewers for their valuable comments on the text.</t>
  </si>
  <si>
    <t>10.1007/s00300-008-0528-7</t>
  </si>
  <si>
    <t>WOS:000262439300015</t>
  </si>
  <si>
    <t>Bonatto, CC; Magalhaes, BS; Branco, JO; Durigon, EL; Silva, LP</t>
  </si>
  <si>
    <t>Bonatto, Cinthia C.; Magalhaes, Beatriz S.; Branco, Joaquim O.; Durigon, Edison L.; Silva, Luciano P.</t>
  </si>
  <si>
    <t>Shape and size of red blood cells from the Pygoscelid penguins of Antarctica using atomic force microscopy</t>
  </si>
  <si>
    <t>Antarctica; Atomic force microscopy; Pygoscelis adeliae; Pygoscelis antarcticus; Pygoscelis papua; Red blood cells</t>
  </si>
  <si>
    <t>EXTANT PENGUINS; GENOME SIZE; PHYLOGENY</t>
  </si>
  <si>
    <t>Antarctic biodiversity is evolutionarily complex, reflecting the extreme ambient conditions. Therefore, Antarctic organisms exhibit sophisticated adaptations in all organization levels, including organs, tissues, and cells. Since red blood cells (RBCs) travel through the vertebrates blood delivering O-2 to all tissues and organs and purging the unwanted CO2, they represent an interesting model to investigate biological adaptations. We have used atomic force microscopy (AFM) to compare the shape and size of RBCs of the Pygoscelid penguins. A total of 18 landmarks were measured in AFM images. When analyzed individually, the parameters were not capable of discriminating the RBCs of each species. However, the simultaneous use of multiple parameters discriminated (74%) among the RBCs. In addition, the use of RBC measurements was sufficient to hierarchically cluster the species in accordance to other common and reliable phylogenetic strategies. In light of these results, the use of RBC characters could effectively benefit taxonomic inferences.</t>
  </si>
  <si>
    <t>[Bonatto, Cinthia C.; Magalhaes, Beatriz S.; Silva, Luciano P.] Embrapa Recursos Genet &amp; Biotecnol, Lab Espectrometria Massa, NTBio, BR-70770900 Brasilia, DF, Brazil; [Branco, Joaquim O.] Univ Vale Itajai, Ctr Ciencias Tecnol Terra &amp; Mar, Biol Lab, BR-88302202 Itajai, SC, Brazil; [Durigon, Edison L.] Univ Sao Paulo, Virol Lab, Dept Microbiol, Inst Ciencias Biomed, BR-05508900 Sao Paulo, Brazil</t>
  </si>
  <si>
    <t>Empresa Brasileira de Pesquisa Agropecuaria (EMBRAPA); Universidade do Vale do Itajai; Universidade de Sao Paulo</t>
  </si>
  <si>
    <t>Silva, LP (corresponding author), Embrapa Recursos Genet &amp; Biotecnol, Lab Espectrometria Massa, NTBio, Parque Estacao Biol, BR-70770900 Brasilia, DF, Brazil.</t>
  </si>
  <si>
    <t>paulinol@cenargen.embrapa.br</t>
  </si>
  <si>
    <t>Silva, Luciano Paulino/G-4915-2012; Bonatto, Cinthia Caetano/P-2598-2019</t>
  </si>
  <si>
    <t>Silva, Luciano Paulino/0000-0001-9075-7725; Bonatto, Cinthia Caetano/0000-0003-2964-5550</t>
  </si>
  <si>
    <t>Brazilian Agency CNPq [550036/2007-5, 555175/2005-7, 484201/2007-7, 558837/2005]</t>
  </si>
  <si>
    <t>Brazilian Agency CNPq(Conselho Nacional de Desenvolvimento Cientifico e Tecnologico (CNPQ))</t>
  </si>
  <si>
    <t>The present study has been funded by the Brazilian Agency CNPq (Project umbers: 550036/2007-5, 555175/2005-7, and 484201/2007-7). We are grateful to Prof. Vivian Helena Pellizari, coordinator of the International Polar Year Project-CNPq 558837/2005. We fully appreciate the logistic support given at Estacao Antartica Comandante Ferraz and the Programa Antartico Brasileiro (PROANTAR). We would like to thank three anonymous referees for useful comments on the manuscript.</t>
  </si>
  <si>
    <t>10.1007/s00300-008-0554-5</t>
  </si>
  <si>
    <t>WOS:000262439300017</t>
  </si>
  <si>
    <t>Oosthuizen, WC; de Bruyn, PJN</t>
  </si>
  <si>
    <t>Oosthuizen, W. Chris; de Bruyn, P. J. Nico</t>
  </si>
  <si>
    <t>King penguin brooding and defending a sub-Antarctic skua chick</t>
  </si>
  <si>
    <t>Alloparental care; Aptenodytes patagonicus; Catharacta antarctica; Interspecific adoption; Marion Island</t>
  </si>
  <si>
    <t>APTENODYTES-PATAGONICUS; EMPEROR PENGUIN; MARION ISLAND; ADOPTION; FORSTERI; BIRDS; CARE</t>
  </si>
  <si>
    <t>Interspecific parental care is rare, conveys no ultimate evolutionary advantage, and is usually attributed to reproductive errors in species with analogous habitat, behaviour and diet. We report on interspecific parental care (brooding and defence of unrelated chick) provided by a king penguin to a sub-Antarctic skua chick on Marion Island, despite substantial risk of injury to the penguin due to the presence of the true parents.</t>
  </si>
  <si>
    <t>[Oosthuizen, W. Chris; de Bruyn, P. J. Nico] Univ Pretoria, Dept Zool &amp; Entomol, Mammal Res Inst, ZA-0002 Pretoria, South Africa</t>
  </si>
  <si>
    <t>Oosthuizen, WC (corresponding author), Univ Pretoria, Dept Zool &amp; Entomol, Mammal Res Inst, ZA-0002 Pretoria, South Africa.</t>
  </si>
  <si>
    <t>wcoosthuizen@zoology.up.ac.za</t>
  </si>
  <si>
    <t>Oosthuizen, W. Chris/I-2947-2016; de Bruyn, P. J. Nico/E-4176-2010</t>
  </si>
  <si>
    <t>Oosthuizen, W. Chris/0000-0003-2905-6297; de Bruyn, P. J. Nico/0000-0002-9114-9569</t>
  </si>
  <si>
    <t>The Department of Science and Technology, through the National Research Foundation (NRF); Pinniped Monitoring Programme (PMP) of the MRI</t>
  </si>
  <si>
    <t>The Department of Environmental Affairs and Tourism supplied logistic support within the South African National Antarctic Programme. Financial support was provided by The Department of Science and Technology, through the National Research Foundation (NRF), in support of the Pinniped Monitoring Programme (PMP) of the MRI. The opportunistic observation presented here was recorded during the execution of the PMP, while during the compilation of this paper WCO benefitted from a NRF Grantholder-linked bursary within the project Conservation of Seabirds, Shorebirds and Seals led by L. Underhill of the Animal Demography Unit, Department of Zoology, University of Cape Town. Thanks to Celine Le Bohec, Marienne de Villiers and an anonymous referee whose comments improved the manuscript.</t>
  </si>
  <si>
    <t>10.1007/s00300-008-0566-1</t>
  </si>
  <si>
    <t>WOS:000262439300019</t>
  </si>
  <si>
    <t>Casaux, R; Baroni, A; Ramón, A; Carlini, A; Bertolin, M; DiPrinzio, CY</t>
  </si>
  <si>
    <t>Casaux, R.; Baroni, A.; Ramon, A.; Carlini, A.; Bertolin, M.; DiPrinzio, C. Y.</t>
  </si>
  <si>
    <t>Diet of the Leopard Seal Hydrurga leptonyx at the Danco Coast, Antarctic Peninsula</t>
  </si>
  <si>
    <t>Leopard Seal; Diet composition; Antarctic Peninsula</t>
  </si>
  <si>
    <t>SOUTH SHETLAND ISLANDS; PRYDZ BAY; ARCTOCEPHALUS-GAZELLA; EASTERN ANTARCTICA; ADELIE PENGUINS; HARMONY POINT; CRAB-EATER; PREDATION; ECOLOGY</t>
  </si>
  <si>
    <t>A total of 14 scats of the Leopard Seal were collected on ice floes close to Cierva Point, Danco Coast, Antarctic Peninsula, during February and March 2000. Krill was the most frequent and numerous prey and also constituted the bulk of the diet; penguins and fish followed in importance by mass. Among fish, Gobionotothen gibberifrons was the most frequent prey and also predominated by mass whereas the myctophid Gymnoscopelus nicholsi was the most numerous prey. The results are compared with previous studies and the differences in the composition of the diet observed among the Leopard Seal and other seals at the study area are discussed.</t>
  </si>
  <si>
    <t>[Casaux, R.; Carlini, A.] Inst Antartico Argentino, RA-1010 Buenos Aires, DF, Argentina; [Casaux, R.; Bertolin, M.; DiPrinzio, C. Y.] Consejo Nacl Invest Cient &amp; Tecn, RA-1033 Buenos Aires, DF, Argentina; [Baroni, A.] Univ Buenos Aires, Fac Farm &amp; Bioquim, Catedra Bromatol, RA-1113 Buenos Aires, DF, Argentina; [Ramon, A.] Municipalidad Esquel, Subsecretaria Medioambiente, RA-9200 Esquel, Chubut, Argentina</t>
  </si>
  <si>
    <t>Instituto Antartico Argentino; Consejo Nacional de Investigaciones Cientificas y Tecnicas (CONICET); University of Buenos Aires</t>
  </si>
  <si>
    <t>10.1007/s00300-008-0567-0</t>
  </si>
  <si>
    <t>WOS:000262439300020</t>
  </si>
  <si>
    <t>Durant, AJ; Harrison, SP; Watson, IM; Balkanski, Y</t>
  </si>
  <si>
    <t>Durant, Adam J.; Harrison, Sandy P.; Watson, I. Matthew; Balkanski, Y.</t>
  </si>
  <si>
    <t>Sensitivity of direct radiative forcing by mineral dust to particle characteristics</t>
  </si>
  <si>
    <t>PROGRESS IN PHYSICAL GEOGRAPHY-EARTH AND ENVIRONMENT</t>
  </si>
  <si>
    <t>atmospheric dust loading; climate uncertainties; dust-particle properties; mineral dust; radiative forcing</t>
  </si>
  <si>
    <t>AEROSOL OPTICAL-PROPERTIES; ANTARCTIC ICE CORE; SIZE DISTRIBUTION; SAHARAN DUST; ATMOSPHERIC DUST; AEOLIAN DUST; INSOLUBLE PARTICLES; SOLAR WAVELENGTHS; AMMONIUM-SULFATE; LOESS PLATEAU</t>
  </si>
  <si>
    <t>Airborne dust affects the Earth's energy balance - an impact that is measured in terms of the implied change in net radiation (or radiative forcing, in W m(-2)) at the top of the atmosphere. There remains considerable uncertainty in the magnitude and sign of direct forcing by airborne dust under current climate. Much of this uncertainty stems from simplified assumptions about mineral dust-particle size, composition and shape, which are applied in remote sensing retrievals of dust characteristics and dust-cycle models. Improved estimates of direct radiative forcing by dust will require improved characterization of the spatial variability in particle characteristics to provide reliable information dust optical properties. This includes constraints on: (1) particle-size distribution, including discrimination of particle subpopulations and quantification of the amount of dust in the sub-10 mu m to &lt;0.1 mu m mass fraction; (2) particle composition, specifically the abundance of iron oxides, and whether particles consist of single or multi-mineral grains; (3) particle shape, including degree of sphericity and surface roughness, as a function of size and mineralogy; and (4) the degree to which dust particles are aggregated together. The use of techniques that measure the size, composition and shape of individual particles will provide a better basis for optical modelling.</t>
  </si>
  <si>
    <t>[Durant, Adam J.; Harrison, Sandy P.] Univ Bristol, Sch Geog Sci, Bristol BS8 1SS, Avon, England; [Durant, Adam J.; Watson, I. Matthew] Univ Bristol, Dept Earth Sci, Bristol BS8 1RJ, Avon, England; [Balkanski, Y.] Lab CEA CNRS UVSQ, LSCE IPSL, F-91191 Gif Sur Yvette, France</t>
  </si>
  <si>
    <t>University of Bristol; University of Bristol; Universite Paris Saclay; CEA; Centre National de la Recherche Scientifique (CNRS)</t>
  </si>
  <si>
    <t>Harrison, SP (corresponding author), Univ Bristol, Sch Geog Sci, Univ Rd, Bristol BS8 1SS, Avon, England.</t>
  </si>
  <si>
    <t>sandy.harrison@bristol.ac.uk</t>
  </si>
  <si>
    <t>Watson, Matt/E-5236-2011; Durant, Adam J/C-7883-2014; Balkanski, Yves/A-6616-2011</t>
  </si>
  <si>
    <t>Watson, Matt/0000-0001-9198-2203; Balkanski, Yves/0000-0001-8241-2858; Harrison, Sandy/0000-0001-5687-1903</t>
  </si>
  <si>
    <t>Natural Environment Research Council [NE/E007600/1, quest010001] Funding Source: researchfish; NERC [quest010001, NE/E007600/1] Funding Source: UKRI</t>
  </si>
  <si>
    <t>0309-1333</t>
  </si>
  <si>
    <t>1477-0296</t>
  </si>
  <si>
    <t>PROG PHYS GEOG</t>
  </si>
  <si>
    <t>Prog. Phys. Geogr.</t>
  </si>
  <si>
    <t>10.1177/0309133309105034</t>
  </si>
  <si>
    <t>459FY</t>
  </si>
  <si>
    <t>WOS:000267087900005</t>
  </si>
  <si>
    <t>Almog, O; González, A; Godin, N; de Leeuw, M; Mekel, MJ; Klein, D; Braun, S; Shoham, G; Walter, RL</t>
  </si>
  <si>
    <t>Almog, Orna; Gonzalez, Ana; Godin, Noa; de Leeuw, Marina; Mekel, Marlene J.; Klein, Daniele; Braun, Sergei; Shoham, Gil; Walter, Richard L.</t>
  </si>
  <si>
    <t>The crystal structures of the psychrophilic subtilisin S41 and the mesophilic subtilisin Sph reveal the same calcium-loaded state</t>
  </si>
  <si>
    <t>PROTEINS-STRUCTURE FUNCTION AND BIOINFORMATICS</t>
  </si>
  <si>
    <t>cold adaptation; serine protease; subtilisin; mesophilic; psychrophilic; calcium-binding; crystal structure; ultrahigh resolution</t>
  </si>
  <si>
    <t>COLD ADAPTATION; TEMPERATURE ADAPTATION; SERINE PROTEASES; MACROMOLECULAR STRUCTURES; INDEPENDENT SUBTILISIN; LABORATORY EVOLUTION; STRUCTURE REFINEMENT; BACILLUS-SPHAERICUS; DIRECTED EVOLUTION; HYDROGEN-BONDS</t>
  </si>
  <si>
    <t>We determine and compare the crystal structure of two proteases belonging to the subtilisin superfamily: S41, a cold-adapted serine protease produced by Antarctic bacilli, at 1.4 angstrom resolution and Sph, a mesophilic serine protease produced by Bacillus sphaericus, at 0.8 angstrom resolution. The purpose of this comparison was to find out whether multiple calcium ion binding is a molecular factor responsible for the adaptation of S41 to extreme low temperatures. We find that these two subtilisins have the same subtilisin fold with a root mean square between the two structures of 0.54 angstrom. The final models for S41 and Sph include a calcium-loaded state of five ions bound to each of these two subtilisin molecules. None of these calcium-binding sites correlate with the high affinity known binding site (site A) found for other subtilisins. Structural analysis of the five calcium-binding sites found in these two crystal structures indicate that three of the binding sites have two side chains of an acidic residue coordinating the calcium ion, whereas the other two binding sites have either a main-chain carbonyl, or only one acidic residue side chain coordinating the calcium ion. Thus, we conclude that three of the sites are of high affinity toward calcium ions, whereas the other two are of low affinity. Because Sph is a mesophilic subtilisin and S41 is a psychrophilic subtilisin, but both crystal structures were found to bind five calcium ions, we suggest that multiple calcium ion binding is not responsible for the adaptation of S41 to low temperatures.</t>
  </si>
  <si>
    <t>[Almog, Orna; Godin, Noa; de Leeuw, Marina] Ben Gurion Univ Negev, Dept Clin Biochem, Fac Hlth Sci, IL-84105 Beer Sheva, Israel; [Gonzalez, Ana] Stanford Synchrotron Radiat Lab, Menlo Pk, CA 94025 USA; [Mekel, Marlene J.; Walter, Richard L.] Procter &amp; Gamble Co, Miami Valley Labs, Cincinnati, OH 45252 USA; [Klein, Daniele; Braun, Sergei] Hebrew Univ Jerusalem, Dept Biol Chem, IL-91904 Jerusalem, Israel; [Klein, Daniele; Braun, Sergei] Hebrew Univ Jerusalem, Inst Life Sci, IL-91904 Jerusalem, Israel; [Shoham, Gil] Hebrew Univ Jerusalem, Dept Inorgan Chem, IL-91904 Jerusalem, Israel</t>
  </si>
  <si>
    <t>Ben Gurion University; Stanford University; United States Department of Energy (DOE); SLAC National Accelerator Laboratory; Procter &amp; Gamble; Hebrew University of Jerusalem; Hebrew University of Jerusalem; Hebrew University of Jerusalem</t>
  </si>
  <si>
    <t>Almog, O (corresponding author), Ben Gurion Univ Negev, Dept Clin Biochem, Fac Hlth Sci, IL-84105 Beer Sheva, Israel.</t>
  </si>
  <si>
    <t>almogo@bgu.ac.il</t>
  </si>
  <si>
    <t>de Leeuw, Marina/0000-0003-1858-8685</t>
  </si>
  <si>
    <t>U. S. Department of Energy; Office of Science; Office of Basic Energy Sciences [W-31-109-Eng-38]</t>
  </si>
  <si>
    <t>U. S. Department of Energy(United States Department of Energy (DOE)); Office of Science(United States Department of Energy (DOE)); Office of Basic Energy Sciences(United States Department of Energy (DOE))</t>
  </si>
  <si>
    <t>Grant sponsor: U. S. Department of Energy, Office of Science, Office of Basic Energy Sciences; Grant number: W-31-109-Eng-38.</t>
  </si>
  <si>
    <t>0887-3585</t>
  </si>
  <si>
    <t>PROTEINS</t>
  </si>
  <si>
    <t>Proteins</t>
  </si>
  <si>
    <t>FEB 1</t>
  </si>
  <si>
    <t>10.1002/prot.22175</t>
  </si>
  <si>
    <t>389NR</t>
  </si>
  <si>
    <t>WOS:000262100800018</t>
  </si>
  <si>
    <t>Yang, H; Allen, G; Ashley, MCB; Bonner, CS; Bradley, S; Cui, X; Everett, JR; Feng, L; Gong, X; Hengst, S; Hu, J; Jiang, Z; Kulesa, CA; Lawrence, JS; Li, Y; Luong-Van, D; McCaughrean, MJ; Moore, AM; Pennypacker, C; Qin, W; Riddle, R; Shang, Z; Storey, JWV; Sun, B; Suntzeff, N; Tothill, NFH; Travouillon, T; Walker, CK; Wang, L; Yan, J; Yang, J; York, D; Yuan, X; Zhang, X; Zhang, Z; Zhou, X; Zhu, Z</t>
  </si>
  <si>
    <t>Yang, H.; Allen, G.; Ashley, M. C. B.; Bonner, C. S.; Bradley, S.; Cui, X.; Everett, J. R.; Feng, L.; Gong, X.; Hengst, S.; Hu, J.; Jiang, Z.; Kulesa, C. A.; Lawrence, J. S.; Li, Y.; Luong-Van, D.; McCaughrean, M. J.; Moore, A. M.; Pennypacker, C.; Qin, W.; Riddle, R.; Shang, Z.; Storey, J. W. V.; Sun, B.; Suntzeff, N.; Tothill, N. F. H.; Travouillon, T.; Walker, C. K.; Wang, L.; Yan, J.; Yang, J.; York, D.; Yuan, X.; Zhang, X.; Zhang, Z.; Zhou, X.; Zhu, Z.</t>
  </si>
  <si>
    <t>The PLATO Dome A Site-Testing Observatory: Instrumentation and First Results</t>
  </si>
  <si>
    <t>HIGH-ANTARCTIC PLATEAU; SOUTH-POLE; SKY BRIGHTNESS; ATMOSPHERIC-TURBULENCE; ASTRONOMY; TELESCOPE; ARRAY</t>
  </si>
  <si>
    <t>The PLATeau Observatory (PLATO) is an automated self-powered astrophysical observatory that was deployed to Dome A, the highest point on the Antarctic plateau, in 2008 January. PLATO consists of a suite of site-testing instruments designed to quantify the benefits of the Dome A site for astronomy, and science instruments designed to take advantage of the unique observing conditions. Instruments include CSTAR, an array of optical telescopes for transient astronomy; Gattini, an instrument to measure the optical sky brightness and cloud cover statistics; DASLE, an experiment to measure the statistics of the meteorological conditions within the near-surface layer; Pre-HEAT, a submillimeter tipping radiometer measuring the atmospheric transmission and water vapor content and performing spectral line imaging of the Galactic plane; and Snodar, an acoustic radar designed to measure turbulence within the near-surface layer. PLATO has run completely unattended and collected data throughout the winter 2008 season. Here we present a detailed description of the PLATO instrument suite and preliminary results obtained from the first season of operation.</t>
  </si>
  <si>
    <t>[Yang, H.; Li, Y.; Qin, W.; Sun, B.; Zhang, Z.] Polar Res Inst China, Shanghai 200136, Peoples R China; [Allen, G.] Solar Mobil Pty Ltd, Thornleigh, NSW 2120, Australia; [Ashley, M. C. B.; Bonner, C. S.; Everett, J. R.; Hengst, S.; Lawrence, J. S.; Luong-Van, D.; Storey, J. W. V.] Univ New S Wales, Sch Phys, Sydney, NSW 2052, Australia; [Bradley, S.] Univ Auckland, Dept Phys, Auckland 1142, New Zealand; [Cui, X.; Gong, X.; Yuan, X.] Nanjing Inst Astron Opt &amp; Technol, Nanjing 210042, Peoples R China; [Feng, L.; Wang, L.; Yan, J.; Yang, J.; Zhang, X.; Zhu, Z.] Acad Sinica, Purple Mt Observ, Nanjing 210008, Peoples R China; [Hu, J.; Jiang, Z.; Yan, J.; Zhou, X.] Chinese Acad Sci, Natl Astron Observ, Beijing 100012, Peoples R China; [Kulesa, C. A.; Walker, C. K.] Univ Arizona, Steward Observ, Tucson, AZ 85721 USA; [McCaughrean, M. J.; Tothill, N. F. H.] Univ Exeter, Sch Phys, Exeter EX4 4QL, Devon, England; [Moore, A. M.; Travouillon, T.] CALTECH, Dept Astron, Pasadena, CA 91125 USA; [Pennypacker, C.] Univ Calif Berkeley, Lawrence Berkeley Lab, Berkeley, CA 94720 USA; [Riddle, R.] Thirty Meter Telescope Project, Pasadena, CA 91107 USA; [Shang, Z.] Tianjin Normal Univ, Tianjin 300074, Peoples R China; [Wang, L.] Texas A&amp;M Univ, Dept Phys, College Stn, TX 77843 USA; [York, D.] Univ Chicago, Dept Astron &amp; Astrophys, Chicago, IL 60637 USA; [York, D.] Univ Chicago, Enrico Fermi Inst, Chicago, IL 60637 USA</t>
  </si>
  <si>
    <t>Polar Research Institute of China; University of New South Wales Sydney; University of Auckland; Chinese Academy of Sciences; Nanjing Institute of Astronomical Optics &amp; Technology, NAOC, CAS; Chinese Academy of Sciences; Nanjing Institute of Astronomical Optics &amp; Technology, NAOC, CAS; Purple Mountain Observatory, CAS; Chinese Academy of Sciences; National Astronomical Observatory, CAS; University of Arizona; University of Exeter; California Institute of Technology; United States Department of Energy (DOE); Lawrence Berkeley National Laboratory; University of California System; University of California Berkeley; Tianjin Normal University; Texas A&amp;M University System; Texas A&amp;M University College Station; University of Chicago; University of Chicago</t>
  </si>
  <si>
    <t>Yang, H (corresponding author), Polar Res Inst China, Shanghai 200136, Peoples R China.</t>
  </si>
  <si>
    <t>Tothill, Nicholas/O-2682-2019; Zhu, Li/KBA-1685-2024; Tothill, Nicholas/M-6379-2016</t>
  </si>
  <si>
    <t>Tothill, Nicholas/0000-0002-9931-5162; Ashley, Michael/0000-0003-1412-2028; Moore, Anna/0000-0002-2894-6936; Lawrence, Jon/0000-0002-6998-6993; McCaughrean, Mark/0000-0002-1452-5268; Travouillon, Tony/0000-0001-9304-6718; Bradley, Stuart/0000-0003-4441-7791; Suntzeff, Nicholas/0000-0002-8102-181X</t>
  </si>
  <si>
    <t>Office of Polar Programs (OPP); Directorate For Geosciences [0909664] Funding Source: National Science Foundation</t>
  </si>
  <si>
    <t>Office of Polar Programs (OPP); Directorate For Geosciences(National Science Foundation (NSF)NSF - Directorate for Geosciences (GEO))</t>
  </si>
  <si>
    <t>10.1086/597547</t>
  </si>
  <si>
    <t>414WA</t>
  </si>
  <si>
    <t>WOS:000263894700009</t>
  </si>
  <si>
    <t>Bingham, RG; Siegert, MJ</t>
  </si>
  <si>
    <t>Bingham, Robert G.; Siegert, Martin J.</t>
  </si>
  <si>
    <t>Quantifying subglacial bed roughness in Antarctica: implications for ice-sheet dynamics and history</t>
  </si>
  <si>
    <t>PINE ISLAND BAY; WEST ANTARCTICA; SPECTRAL ROUGHNESS; BASAL CONDITIONS; STREAM-B; FLOW; RADAR; BENEATH; GREENLAND; LAYER</t>
  </si>
  <si>
    <t>Glaciated landscapes consist of complex assemblages of landforms resulting from ice flow dynamic regimes and ice-sheet history, superimposed over, and in turn modifying, preglacial topography, lithology and geological structure. insights into the formation of glaciated landscapes can, in principle, be obtained by analysing modem ice-sheet beds, but terrain analyses beneath modern ice sheets are restricted by the inaccessibility of the bed. It is, however, possible to quantify roughness, the vertical variation of the subglacial interface with horizontal distance, along two-dimensional images of the bed obtained from radio-echo sounding (RES). Here we collate several case studies from Antarctica, where roughness calculations have been used as a glaciological tool to infer basal processes and ice-sheet history over large (&gt; 500 km(2)) areas. We present two examples from West Antarctica, which demonstrate the utility of bed roughness in determining the presence and extent of subglacial sediments, glacial dynamics and former ice-sheet size. We also present two examples from East Antarctica, which illustrate how roughness provides knowledge of ice-sheet dynamics in the interior and pre-Quaternary ice-sheet histories. In modem ice-sheet settings, characterising bed roughness along RES tracks has the twin advantages of being relatively simple to calculate while producing informative subsurface data, and is especially powerful at furthering understanding when coupled with knowledge of ice flow from field, satellite and modelling investigations. The technique also offers significant potential for the comparison of modern and former ice-sheet terrains, contributing to an improved understanding of the formation and evolution of glaciated landscapes. (C) 2008 Elsevier Ltd. All rights reserved.</t>
  </si>
  <si>
    <t>[Bingham, Robert G.] British Antarctic Survey, NERC, Cambridge CB3 0ET, England; [Siegert, Martin J.] Univ Edinburgh, Sch Geosci, Grant Inst, Edinburgh EH9 3JW, Midlothian, Scotland</t>
  </si>
  <si>
    <t>UK Research &amp; Innovation (UKRI); Natural Environment Research Council (NERC); NERC British Antarctic Survey; University of Edinburgh</t>
  </si>
  <si>
    <t>Bingham, RG (corresponding author), British Antarctic Survey, NERC, Madingley Rd, Cambridge CB3 0ET, England.</t>
  </si>
  <si>
    <t>rgbi@bas.ac.uk</t>
  </si>
  <si>
    <t>Siegert, Martin/M-9939-2019; Siegert, Martin J/A-3826-2008; Bingham, Robert G/G-3576-2017</t>
  </si>
  <si>
    <t>Siegert, Martin/0000-0002-0090-4806; Siegert, Martin J/0000-0002-0090-4806; Bingham, Robert G/0000-0002-0630-2021</t>
  </si>
  <si>
    <t>NERC [NE/F016646/1, bas010018] Funding Source: UKRI; Natural Environment Research Council [bas010018, NE/F016646/1] Funding Source: researchfish</t>
  </si>
  <si>
    <t>10.1016/j.quascirev.2008.10.014</t>
  </si>
  <si>
    <t>416GJ</t>
  </si>
  <si>
    <t>WOS:000263993400004</t>
  </si>
  <si>
    <t>Yunck, TP; Fetzer, EJ; Mannucci, AM; Ao, CO; Irion, FW; Wilson, BD; Manipon, GJM</t>
  </si>
  <si>
    <t>Yunck, Thomas P.; Fetzer, Eric J.; Mannucci, Anthony M.; Ao, Chi O.; Irion, F. William; Wilson, Brian D.; Manipon, Gerald John M.</t>
  </si>
  <si>
    <t>Use of Radio Occultation to Evaluate Atmospheric Temperature Data from Spaceborne Infrared Sensors</t>
  </si>
  <si>
    <t>TERRESTRIAL ATMOSPHERIC AND OCEANIC SCIENCES</t>
  </si>
  <si>
    <t>6th FORMOSAT-3/COSMIC Mission Early Results Workshop</t>
  </si>
  <si>
    <t>APR 15, 2006</t>
  </si>
  <si>
    <t>Vandenberg, CA</t>
  </si>
  <si>
    <t>AIRS; GPS; Comparisons; Temperature profiles; Temperature biases</t>
  </si>
  <si>
    <t>With its high accuracy, stability, and worldwide coverage GPS radio occultation offers an attractive means of independently validating and calibrating the world's premier weather and climate sensors. These include such instruments as AIRS, AMSU, and MODIS on NASA's EOS platforms, and similar systems on operational weather satellites. GPSRO also offers a valuable comparison standard for global weather analyses, such as those produced by NOAA's National Center for Environmental Predictions (NCEP) and the European Centre for Medium-Range Weather Forecasts (ECMWF). We have studied the performance of GPSRO temperature profiles through comparisons of coincident data from CHAMP and SAC-C, as well as from COSMIC. We have also compared GPSRO temperature profiles with nearby profiles from AIRS (Atmospheric Infrared Sounder), carried on NASA's Aqua platform, and with the ECMWF analyses. Our principal findings are: AIRS and ECMWF temperature profiles depart in systematic ways from GPSRO profiles. These departures are highly repeatable and vary by geographical region. There is significant correlation between the AIRS and ECMWF departures from GPSRO, not explainable by GPSRO error. This may arise because AIRS retrievals are initialized with estimates derived from ECMWF training samples. ECMWF single-profile RMS temperature deviations range between 0.6 and 1.8 K and are at a maximum near the tropopause. Biases are typically below 0.5 K. AIRS single-profile RMS temperature deviations range between 0.9 and 2.2 K and are also at a maximum near the tropopause. Biases are typically below 0.5 K but reach 1K near the tropopause in the Antarctic.</t>
  </si>
  <si>
    <t>[Yunck, Thomas P.] GeoOptics LLC, Pasadena, CA 91103 USA; [Fetzer, Eric J.; Mannucci, Anthony M.; Ao, Chi O.; Irion, F. William; Wilson, Brian D.] CALTECH, Jet Prop Lab, Pasadena, CA 91109 USA; [Manipon, Gerald John M.] Raytheon DSIO, Pasadena, CA 91101 USA</t>
  </si>
  <si>
    <t>National Aeronautics &amp; Space Administration (NASA); NASA Jet Propulsion Laboratory (JPL); California Institute of Technology</t>
  </si>
  <si>
    <t>Yunck, TP (corresponding author), GeoOptics LLC, Pasadena, CA 91103 USA.</t>
  </si>
  <si>
    <t>geooptics@charter.net</t>
  </si>
  <si>
    <t>CHINESE GEOSCIENCE UNION</t>
  </si>
  <si>
    <t>TAIPEI</t>
  </si>
  <si>
    <t>PO BOX 23-59, TAIPEI 10764, TAIWAN</t>
  </si>
  <si>
    <t>1017-0839</t>
  </si>
  <si>
    <t>2311-7680</t>
  </si>
  <si>
    <t>TERR ATMOS OCEAN SCI</t>
  </si>
  <si>
    <t>Terr. Atmos. Ocean. Sci.</t>
  </si>
  <si>
    <t>10.3319/TAO.2007.12.08.01(F3C)</t>
  </si>
  <si>
    <t>Geosciences, Multidisciplinary; Meteorology &amp; Atmospheric Sciences; Oceanography</t>
  </si>
  <si>
    <t>Geology; Meteorology &amp; Atmospheric Sciences; Oceanography</t>
  </si>
  <si>
    <t>434GV</t>
  </si>
  <si>
    <t>WOS:000265264100007</t>
  </si>
  <si>
    <t>Albertson, RC; Cresko, W; Detrich, HW; Postlethwait, JH</t>
  </si>
  <si>
    <t>Albertson, R. Craig; Cresko, William; Detrich, H. William, III; Postlethwait, John H.</t>
  </si>
  <si>
    <t>Evolutionary mutant models for human disease</t>
  </si>
  <si>
    <t>TRENDS IN GENETICS</t>
  </si>
  <si>
    <t>EYE DEGENERATION; HETEROTOPIC OSSIFICATION; GENETIC-ANALYSIS; EXPRESSION; ZEBRAFISH; CAVEFISH; LIMB; PIGMENTATION; SEQUENCES; GENOMICS</t>
  </si>
  <si>
    <t>Although induced mutations in traditional laboratory animals have been valuable as models for human diseases, they have some important limitations. Here, we propose a complementary approach to discover genes and mechanisms that might contribute to human disorders: the analysis of evolutionary mutant models in which adaptive phenotypes mimic maladaptive human diseases. If the type and mode of action of mutations favored by natural selection in wild populations are similar to those that contribute to human diseases, then studies in evolutionary mutant models have the potential to identify novel genetic factors and gene-by environment interactions that affect human health and underlie human disease.</t>
  </si>
  <si>
    <t>[Albertson, R. Craig] Syracuse Univ, Dept Biol, Syracuse, NY 13244 USA; [Cresko, William] Univ Oregon, Ctr Ecol &amp; Evolutionary Biol, Eugene, OR 97403 USA; [Detrich, H. William, III] Northeastern Univ, Dept Biol, Boston, MA 02115 USA; [Postlethwait, John H.] Univ Oregon, Inst Neurosci, Eugene, OR 97403 USA</t>
  </si>
  <si>
    <t>Syracuse University; University of Oregon; Northeastern University; University of Oregon</t>
  </si>
  <si>
    <t>Albertson, RC (corresponding author), Syracuse Univ, Dept Biol, 130 Coll Pl, Syracuse, NY 13244 USA.</t>
  </si>
  <si>
    <t>rcalbert@syr.edu</t>
  </si>
  <si>
    <t>Cresko, William/H-4010-2014</t>
  </si>
  <si>
    <t>Cresko, William/0000-0002-3496-8074</t>
  </si>
  <si>
    <t>National Science Foundation [OPP-0336932, ANT-0635470, TOS-0642264]; National Institute On Aging [R01AG031922]; NIH [1R24GM079486]</t>
  </si>
  <si>
    <t>National Science Foundation(National Science Foundation (NSF)); National Institute On Aging(United States Department of Health &amp; Human ServicesNational Institutes of Health (NIH) - USANIH National Institute on Aging (NIA)); NIH(United States Department of Health &amp; Human ServicesNational Institutes of Health (NIH) - USA)</t>
  </si>
  <si>
    <t>Thanks to S. Bassham, W. J. Copper, B. Calvi and T. Starmer for commenting on early versions of this manuscript and to the editor and reviewers for their insightful critiques of the ideas and hypotheses presented above. Work on red blood cell formation in Antarctic notothenioid fish is supported by grants OPP-0336932 and ANT-0635470 from the National Science Foundation. Work on osteopenia in Antarctic notothenioids is supported by award number R01AG031922 from the National Institute On Aging. W. Cresko's laboratory is supported by grants from NSF (TOS-0642264) and NIH (1R24GM079486). The content is solely the responsibility of the authors and does not necessarily represent the official views of the National Science Foundation, the National Institute On Aging, the National Institute of General Medical Sciences or the National Institutes of Health.</t>
  </si>
  <si>
    <t>ELSEVIER SCIENCE LONDON</t>
  </si>
  <si>
    <t>84 THEOBALDS RD, LONDON WC1X 8RR, ENGLAND</t>
  </si>
  <si>
    <t>0168-9525</t>
  </si>
  <si>
    <t>1362-4555</t>
  </si>
  <si>
    <t>TRENDS GENET</t>
  </si>
  <si>
    <t>Trends Genet.</t>
  </si>
  <si>
    <t>10.1016/j.tig.2008.11.006</t>
  </si>
  <si>
    <t>415IF</t>
  </si>
  <si>
    <t>WOS:000263926800004</t>
  </si>
  <si>
    <t>Karhu, M; Kaakinen, J; Kuokkanen, T; Rämö, J</t>
  </si>
  <si>
    <t>Karhu, M.; Kaakinen, J.; Kuokkanen, T.; Ramo, J.</t>
  </si>
  <si>
    <t>Biodegradation of Light Fuel Oils in Water and Soil as Determined by the Manometric Respirometric Method</t>
  </si>
  <si>
    <t>WATER AIR AND SOIL POLLUTION</t>
  </si>
  <si>
    <t>Biodegradability; BOD OxiTop (R) method; Groundwater; Soil; Fuel oil</t>
  </si>
  <si>
    <t>BOD OXITOP METHOD; LOW-TEMPERATURE BIOREMEDIATION; SUB-ANTARCTIC SOILS; PETROLEUM-HYDROCARBONS; NATURAL ATTENUATION; CONTAMINATED SOIL; DIESEL-OIL; BIOAUGMENTATION; BIOSTIMULATION; NUTRIENT</t>
  </si>
  <si>
    <t>In this biological oxygen demand (BOD) study, the manometric respirometric BOD OxiTopA (R) method was used to monitor the biodegradation of two summer grade (SFO 1 and 2) and two winter grade light fuel oils (WFO 1 and 2) in OECD 301 F conditions, in groundwater, and in two different Finnish forest soils (mineral-poor and mineral-rich). The biodegradation measurements in the OECD 301 F conditions were carried out in two nutrient solutions for 28 days. In both solutions WFO 1 reached the highest biodegradation degree, 32% in the solution OECD 301 F, and 70% in a solution containing additional ammonium chloride. In groundwater conditions all the biodegradation degrees of fuel oils remained below 2% within the 28-day period. SFO 1 reached the highest 30 day biodegradability (4%) in mineral-poor soil, 18% in mineral-rich soil. In a 189-day measurement in a mineral-rich soil, the biodegradation degree for the SFO 1 was 94%. The manometric respirometric method proved to be a very suitable and practicable measurement method for the purpose of biodegradation studies of highly volatile light fuel oils, because in this method samples are treated to a lesser degree than in conventional methods, and dilutions are not needed. Results also indicated a considerable effect of conditions on the biodegradability in both water and soil environments. The results of these biodegradation studies could be used when planning in situ treatment methods based on natural biodegradation. In situ treatment methods are eco-efficient, and are especially suitable for sparsely populated sites.</t>
  </si>
  <si>
    <t>[Karhu, M.] Univ Oulu, Dept Proc &amp; Environm Engn, Chem Proc Engn Lab, Oulu 90014, Finland; [Karhu, M.] Univ Oulu, Dept Proc &amp; Environm Engn, Chem Proc Engn Lab, Oulu 90014, Finland; [Kaakinen, J.] N Ostrobothnia Reg Environm Ctr, Oulu 90014, Finland; [Kuokkanen, T.] Univ Oulu, Dept Chem, Oulu 90014, Finland; [Ramo, J.] Univ Oulu, Dept Proc &amp; Environm Engn, Water Resources &amp; Environm Engn Lab, Oulu 90014, Finland</t>
  </si>
  <si>
    <t>University of Oulu; University of Oulu; University of Oulu; University of Oulu</t>
  </si>
  <si>
    <t>Karhu, M (corresponding author), Univ Oulu, Dept Proc &amp; Environm Engn, Chem Proc Engn Lab, POB 4300, Oulu 90014, Finland.</t>
  </si>
  <si>
    <t>mirjam.karhu@oulu.fi</t>
  </si>
  <si>
    <t>0049-6979</t>
  </si>
  <si>
    <t>WATER AIR SOIL POLL</t>
  </si>
  <si>
    <t>Water Air Soil Pollut.</t>
  </si>
  <si>
    <t>10.1007/s11270-008-9752-6</t>
  </si>
  <si>
    <t>Environmental Sciences; Meteorology &amp; Atmospheric Sciences; Water Resources</t>
  </si>
  <si>
    <t>Environmental Sciences &amp; Ecology; Meteorology &amp; Atmospheric Sciences; Water Resources</t>
  </si>
  <si>
    <t>395VG</t>
  </si>
  <si>
    <t>WOS:000262551000002</t>
  </si>
  <si>
    <t>Hughes, T</t>
  </si>
  <si>
    <t>Hughes, T.</t>
  </si>
  <si>
    <t>Variations of ice bed coupling beneath and beyond ice streams: The force balance</t>
  </si>
  <si>
    <t>PERTURBATION ANALYSIS; BASAL MECHANICS; GLACIER; FLOW; ANTARCTICA; SENSITIVITY; SHEET</t>
  </si>
  <si>
    <t>A geometrical force balance that links stresses to ice bed coupling along a flow band of an ice sheet was developed in 1988 for longitudinal tension in ice streams and published 4 years later. It remains a work in progress. Now gravitational forces balanced by forces producing tensile, compressive, basal shear, and side shear stresses are all linked to ice bed coupling by the floating fraction phi of ice that produces the concave surface of ice streams. These lead inexorably to a simple formula showing how phi varies along these flow bands where surface and bed topography are known: phi = h(O)/h(I) with h(O) being ice thickness h(I) at x = 0 for x horizontal and positive upslope from grounded ice margins. This captures the basic fact in glaciology: the height of ice depends on how strongly ice couples to the bed. It shows how far a high convex ice sheet (phi = 0) has gone in collapsing into a low flat ice shelf (phi = 1). Here phi captures ice bed coupling under an ice stream and h(O) captures ice bed coupling beyond ice streams.</t>
  </si>
  <si>
    <t>Univ Maine, Dept Earth Sci, Climate Change Inst, Orono, ME 04469 USA</t>
  </si>
  <si>
    <t>Hughes, T (corresponding author), Univ Maine, Dept Earth Sci, Climate Change Inst, 5790 Edward T Bryand Global Sci Ctr,Room 311, Orono, ME 04469 USA.</t>
  </si>
  <si>
    <t>terry.hughes@maine.edu</t>
  </si>
  <si>
    <t>NASA; University of Kansas; NSF</t>
  </si>
  <si>
    <t>NASA(National Aeronautics &amp; Space Administration (NASA)); University of Kansas; NSF(National Science Foundation (NSF))</t>
  </si>
  <si>
    <t>The foundation for this work was laid in preparation for a 2-week glaciology course taught in June 2006 at Elizabeth City State University (ECSU) in North Carolina to black students interested in science and technology. Undergraduate students Keila Vance and Shrae Ashley from Jackson State University in Mississippi and Jarvis Bible College in Texas, respectively, applied equation (24) to calculate 8 for Byrd Glacier, Antarctica, as shown in Figure 11. ECSU graduate student Kevin Jones applied equation (24) to calculate 8 along 27 Antarctic flow lines entering major ice streams, as shown Figure 12. James Fastook at the University of Maine provided surface and bed topography along these flow lines using the BEDMAP program. JGR Associate Editor Johannes Weertman made suggestions that clarified and focused this work considerably. Four referees identified numerous problems needing clarification but also provided encouragement. In particular, Robert Thomas and Olga Sergienko provided several pages of detailed comments. Beverly Hughes delivered all versions of this work in numerous revisions. This work was supported by NASA and by NSF through the Center for Remote Sensing of Ice Sheets (CReSIS) at the University of Kansas, which helped to initiate the glaciology course at ECSU as part of its minority outreach program. I thank Linda Hayden and Malcolm LeCompte at ECSU for major assistance in this effort. The students presented their results at the Thirteenth Annual Workshop of the West Antarctic Ice Sheet Initiative (WAIS), sponsored by NSF, in 2006.</t>
  </si>
  <si>
    <t>JAN 31</t>
  </si>
  <si>
    <t>B01410</t>
  </si>
  <si>
    <t>10.1029/2008JB005714</t>
  </si>
  <si>
    <t>401ZU</t>
  </si>
  <si>
    <t>WOS:000262984000002</t>
  </si>
  <si>
    <t>Kosler, J; Magna, T; Mlcoch, B; Mixa, P; Nyvlt, D; Holub, FV</t>
  </si>
  <si>
    <t>Kosler, J.; Magna, T.; Mlcoch, B.; Mixa, P.; Nyvlt, D.; Holub, F. V.</t>
  </si>
  <si>
    <t>Combined Sr, Nd, Pb and Li isotope geochemistry of alkaline lavas from northern James Ross Island (Antarctic Peninsula) and implications for back-arc magma formation</t>
  </si>
  <si>
    <t>Sr-Nd-Pb-Li isotopes; Back-arc magmatism; Depleted and enriched mantle; James Ross Island; Antarctic Peninsula</t>
  </si>
  <si>
    <t>SECTOR ICP-MS; VOLCANIC-ROCKS; BRANSFIELD STRAIT; MARIANA TROUGH; SUBDUCTION ZONES; SPREADING CENTER; TRACE-ELEMENT; TECTONIC IMPLICATIONS; OROGENIC ECLOGITES; BASIN VOLCANISM</t>
  </si>
  <si>
    <t>We present a comprehensive geochemical data set for a suite of back-arc alkaline volcanic rocks from James Ross Island Volcanic Group (JRIVG), Antarctic Peninsula. The elemental and isotopic (Sr, Nd, Pb and Li) composition of these Cenozoic basalts emplaced east of the Antarctic Peninsula is different from the compositions of the fore-arc alkaline volcanic rocks in Southern Shetlands and nearby Bransfield Strait. The variability in elemental and isotopic composition is not consistent with the JRIVG derivation from a single mantle source but rather it suggests that the magma was mainly derived from a depleted mantle with subordinate OIB-like enriched mantle component (EM 11). The isotopic data are consistent with mantle melting during extension and possible roll-back of the subducted lithosphere of the Antarctic plate. Magma contamination by Triassic-Early Tertiary clastic sediments deposited in the back-arc basin was only localized and affected Li isotopic composition in two of the samples, while most of the basalts show very little variation in 67 Li values, as anticipated for mantle-driven Li isotopic composition. These variations are difficult to resolve with radiogenic isotope systematics but Li isotopes may prove sensitive in tracking complex geochemical processes acting through the oceanic crust pile, including hydrothermal leaching and seawater equilibration. (C) 2008 Elsevier B.V. All rights reserved.</t>
  </si>
  <si>
    <t>[Kosler, J.; Magna, T.] Univ Bergen, Ctr Geobiol, N-5007 Bergen, Norway; [Kosler, J.; Magna, T.] Univ Bergen, Dept Earth Sci, N-5007 Bergen, Norway; [Kosler, J.; Magna, T.; Mlcoch, B.; Mixa, P.; Nyvlt, D.] Czech Geol Survey, CZ-11821 Prague, Czech Republic; [Magna, T.] Univ Lausanne, Inst Mineral &amp; Geochem, CH-1015 Lausanne, Switzerland; [Holub, F. V.] Charles Univ Prague, Dept Petr &amp; Struct Geol, CZ-12843 Prague 2, Czech Republic</t>
  </si>
  <si>
    <t>University of Bergen; University of Bergen; Czech Geological Survey; University of Lausanne; Charles University Prague</t>
  </si>
  <si>
    <t>Kosler, J (corresponding author), Univ Bergen, Ctr Geobiol, Allegaten 41, N-5007 Bergen, Norway.</t>
  </si>
  <si>
    <t>jan.kosler@geo.uib.no</t>
  </si>
  <si>
    <t>Holub, Frantisek V./A-3668-2009; Nyvlt, Daniel/J-6504-2019; Kosler, Jan/L-3223-2013; Magna, Tomas/B-9686-2008</t>
  </si>
  <si>
    <t>Nyvlt, Daniel/0000-0002-6876-490X;</t>
  </si>
  <si>
    <t>JAN 30</t>
  </si>
  <si>
    <t>10.1016/j.chemgeo.2008.10.006</t>
  </si>
  <si>
    <t>407YN</t>
  </si>
  <si>
    <t>WOS:000263400300009</t>
  </si>
  <si>
    <t>King, MA; Coleman, R; Freemantle, AJ; Fricker, HA; Hurd, RS; Legrésy, B; Padman, L; Warner, R</t>
  </si>
  <si>
    <t>King, Matt A.; Coleman, Richard; Freemantle, Anna-Jane; Fricker, Helen Amanda; Hurd, Rachael S.; Legresy, Benoit; Padman, Laurie; Warner, Roland</t>
  </si>
  <si>
    <t>A 4-decade record of elevation change of the Amery Ice Shelf, East Antarctica</t>
  </si>
  <si>
    <t>FIRN DENSIFICATION; GREENLAND; GRAVITY; CLIMATE</t>
  </si>
  <si>
    <t>We report on long-term surface elevation changes of the central Amery Ice Shelf (AIS) by comparing elevation records spanning 4 decades (1968-2007). We use elevation records acquired with the following methods: optical leveling (1968-1969); ERS radar altimetry (1992-2003); GPS (1995-2006); and Ice, Cloud, and land Elevation Satellite (ICESat) laser altimetry (2003-2007). We compute multidecadal elevation trend (dh/dt) values at crossovers between the leveling route and each of the GPS and ICESat tracks as well as shorter-period dh/dt at ERS-ERS, GPS-GPS, and ICESat-ICESat crossovers. At GPS-leveling crossovers the mean long-term dh/dt is -0.003 m a(-1), and at ICESat-leveling crossovers the mean dh/dt is +0.013 m a(-1); neither trend is significantly different from zero. The data do, however, exhibit variable trends: near-zero change between 1991 and mid-1996, then thickening to similar to 2003, followed by thinning similar to 2003-2007, with 5 year dh/dt averages exceeding similar to +/- 0.1 m a(-1). The changes in dh/dt pattern in mid-1996 and again in 2003 occur with unexpected speed. The ice shelf exhibits different dh/dt patterns than does the surrounding grounded ice, suggesting that surface mass balance variations or longer-term variations in firn densification processes are unlikely to be major causes. We conclude that these observed multiyear elevation changes must be due to currently unexplained or presently poorly quantified phenomena involving surface or basal processes and/or ice dynamics. With the multidecadal stability of the AIS established, the short-term fluctuations that we observe suggests that for other ice shelves, observed strong dh/dt signals over short time periods do not necessarily indicate ice shelf instability.</t>
  </si>
  <si>
    <t>[King, Matt A.; Freemantle, Anna-Jane] Newcastle Univ, Sch Civil Engn &amp; Geosci, Newcastle Upon Tyne NE1 7RU, Tyne &amp; Wear, England; [Coleman, Richard] Univ Tasmania, Ctr Marine Sci, Hobart, Tas 7001, Australia; [Coleman, Richard; Warner, Roland] Antarctic Climate &amp; Ecosyst CRC, Hobart, Tas, Australia; [Coleman, Richard] CSIRO Marine &amp; Atmospher Res, Hobart, Tas, Australia; [Fricker, Helen Amanda] Univ Calif San Diego, Scripps Inst Oceanog, Inst Geophys &amp; Planetary Phys, La Jolla, CA 92093 USA; [Hurd, Rachael S.] Univ Tasmania, Ctr Spatial Informat Sci, Hobart, Tas 7001, Australia; [Legresy, Benoit] CNRS, IRD, UPS, CNES,LEGOS, F-31400 Toulouse, France; [Padman, Laurie] Earth &amp; Space Res, Corvallis, OR 97333 USA; [Warner, Roland] Australian Antarctic Div, Dept Environm Water Heritage &amp; Arts, Kingston, Tas 7050, Australia</t>
  </si>
  <si>
    <t>Newcastle University - UK; University of Tasmania; University of Tasmania; Commonwealth Scientific &amp; Industrial Research Organisation (CSIRO); University of California System; University of California San Diego; Scripps Institution of Oceanography; University of Tasmania; Universite de Toulouse; Universite Toulouse III - Paul Sabatier; Centre National de la Recherche Scientifique (CNRS); Institut de Recherche pour le Developpement (IRD); Laboratoire d'Etudes en Geophysique et oceanographie spatiales; Australian Antarctic Division</t>
  </si>
  <si>
    <t>King, MA (corresponding author), Newcastle Univ, Sch Civil Engn &amp; Geosci, Newcastle Upon Tyne NE1 7RU, Tyne &amp; Wear, England.</t>
  </si>
  <si>
    <t>m.a.king@newcastle.ac.uk</t>
  </si>
  <si>
    <t>Warner, Robert R./M-5342-2013; Warner, Roland Charles/ISS-2485-2023; Padman, Laurence/AAH-3808-2021; King, Matt/B-4622-2008; Coleman, Richard/H-4425-2012; legresy, benoit/K-6673-2018</t>
  </si>
  <si>
    <t>Warner, Roland Charles/0000-0002-9778-3544; King, Matt/0000-0001-5611-9498; Hurd, Rachael/0000-0002-9553-8246; Galton-Fenzi, Benjamin Keith/0000-0003-1404-4103; Coleman, Richard/0000-0002-9731-7498; Padman, Laurence/0000-0003-2010-642X; legresy, benoit/0000-0002-1909-1630</t>
  </si>
  <si>
    <t>Australian ASAC; ARC; NERC (UK) [NE/C000862/1]; NERC; NASA [NNG05GR58G]; Natural Environment Research Council [NE/C000862/1] Funding Source: researchfish; NERC [NE/C000862/1] Funding Source: UKRI</t>
  </si>
  <si>
    <t>Australian ASAC; ARC(Australian Research Council); NERC (UK)(UK Research &amp; Innovation (UKRI)Natural Environment Research Council (NERC)); NERC(UK Research &amp; Innovation (UKRI)Natural Environment Research Council (NERC)); NASA(National Aeronautics &amp; Space Administration (NASA)); Natural Environment Research Council(UK Research &amp; Innovation (UKRI)Natural Environment Research Council (NERC)); NERC(UK Research &amp; Innovation (UKRI)Natural Environment Research Council (NERC))</t>
  </si>
  <si>
    <t>We thank Jo Jacka, Andrew Ruddell, and Neal Young for assistance in accessing the 1968 field notes and Max Corry for help in interpreting them. We thank NASAs ICESat Science Project and the NSIDC for distribution of the ICESat data, see http://icesat.gsfc.nasa. gov and http://nsidc.org/data/icesat. ERS radar altimeter data is copyrighted to the ESA and was provided by Jay Zwally at the Cryospheric Sciences Branch of the Hydrospheric and Biospheric Sciences Laboratory of NASA/ GSFC, with special thanks to Jairo Santana and Helen Cornejo. Additional data sets were kindly provided by Ian Barnes-Keoghan of the Australian Bureau of Meteorology (atmospheric pressure), Ian Allison (AWS data), Don Chambers (raw DOT), and Chris Watson (Davis sea level analysis). Dave McAdoo clarified the permanent tide system of ICESat and relevant corrections. Review comments by Reinhard Dietrich, two other anonymous reviewers, and Martin Truffer (AE) were helpful in improving the paper. The efforts of the various field parties are gratefully acknowledged. GPS field data collection was supported by Australian ASAC and ARC grants held by RC. A. F. and M. A. K. were supported by NERC (UK) grant NE/C000862/1 and M. A. K. was also supported by an NERC fellowship. H. A. F. and L. P. were supported by NASA grant NNG05GR58G. This work was partly supported by the Australian Governments Cooperative Research Centre Programme through the Antarctic Climate and Ecosystem CRC. This is ESR contribution 99.</t>
  </si>
  <si>
    <t>F01010</t>
  </si>
  <si>
    <t>10.1029/2008JF001094</t>
  </si>
  <si>
    <t>401ZJ</t>
  </si>
  <si>
    <t>WOS:000262982800001</t>
  </si>
  <si>
    <t>Tovar-Sanchez, A; Duarte, CM; Hernandez-León, S; Sanudo-Wilhelmy, SA</t>
  </si>
  <si>
    <t>Tovar-Sanchez, A.; Duarte, C. M.; Hernandez-Leon, S.; Sanudo-Wilhelmy, S. A.</t>
  </si>
  <si>
    <t>Impact of submarine hydrothermal vents on the metal composition of krill and its excretion products</t>
  </si>
  <si>
    <t>MARINE CHEMISTRY</t>
  </si>
  <si>
    <t>Trace elements; Krill; Hydrothermal vent; Southern Ocean</t>
  </si>
  <si>
    <t>ANTARCTIC KRILL; EUPHAUSIA-SUPERBA; BRANSFIELD STRAIT; TRACE-METALS; SEA-ICE; OCEAN; ELEMENTS; SAMPLES; SCOTIA; CARBON</t>
  </si>
  <si>
    <t>We have measured the metal composition and estimated the excretion rate of trace elements (Ag, Cd, Co, Cu. Ni. Pb, V and Zn) by Antarctic krill (Euphausia superba) in three locations (two located within a submarine hydrothermal vent field and one away from it) along the Antarctic Peninsula region of the Southern ocean. Results indicated that krill excreted large amounts of Ag, Cu, Ph and Zn, (range: 1.9-41.2 pmol Ag g DW-1 h(-1), 15.3-26.8 nmol Cu g DW-1 h(-1), 308.7-1118.3 pmol Ph g DW-1 h(-1) and 24.4-76.5 nmol Zn g DW-1 h(-1)), compared with the non-significant or undetectable release rates of Cd, Co, Ni and V. The metal composition of the excreted material from krill collected in the area of hydrothermal activity was similar to the metal composition reported for suspended particles emitted from those vents. Our results suggest that krill recycling of Ag, Cu, Pb and Zn could potentially influence trace metal concentrations in the water column of the Bransfield region of the Southern Ocean, and that the original source of metals to these waters may be hydrothermal vents. (C) 2009 Published by Elsevier B.V.</t>
  </si>
  <si>
    <t>[Tovar-Sanchez, A.; Duarte, C. M.] UIB, CSIC, IMEDEA, Esporles 07190, Islas Balcares, Spain; [Hernandez-Leon, S.] Univ Las Palmas Gran Canaria, Fac Ciencias Mar, Las Palmas Gran Canaria 35017, Islas Canarias, Spain; [Sanudo-Wilhelmy, S. A.] Univ So Calif, Dept Biol Sci, Los Angeles, CA 90089 USA; [Sanudo-Wilhelmy, S. A.] Univ So Calif, Dept Earth Sci, Los Angeles, CA 90089 USA</t>
  </si>
  <si>
    <t>Universitat de les Illes Balears; Consejo Superior de Investigaciones Cientificas (CSIC); ATTITUS Educacao; Universidad de Las Palmas de Gran Canaria; University of Southern California; University of Southern California</t>
  </si>
  <si>
    <t>Tovar-Sanchez, A (corresponding author), UIB, CSIC, IMEDEA, Miquel Marques 21, Esporles 07190, Islas Balcares, Spain.</t>
  </si>
  <si>
    <t>antonio.tovar@uib.es</t>
  </si>
  <si>
    <t>Duarte Quesada, Carlos Manuel/ABD-6208-2021; Hernández-León, Santiago/M-2563-2014; Duarte, Carlos M/A-7670-2013; Tovar-Sánchez, Antonio/B-8003-2010</t>
  </si>
  <si>
    <t>Duarte, Carlos M/0000-0002-1213-1361; Tovar-Sanchez, Antonio/0000-0003-4375-1982; Hernandez-Leon, Santiago/0000-0002-3085-4969</t>
  </si>
  <si>
    <t>Spanish National Program of Polar Research; Spanish Ramon y Cajal Program</t>
  </si>
  <si>
    <t>Spanish National Program of Polar Research; Spanish Ramon y Cajal Program(Spanish Government)</t>
  </si>
  <si>
    <t>This work was funded by the Spanish National Program of Polar Research.; A. T-S. was Supported by a fellowship from the Spanish Ramon y Cajal Program,</t>
  </si>
  <si>
    <t>0304-4203</t>
  </si>
  <si>
    <t>1872-7581</t>
  </si>
  <si>
    <t>MAR CHEM</t>
  </si>
  <si>
    <t>Mar. Chem.</t>
  </si>
  <si>
    <t>10.1016/j.marchem.2009.01.010</t>
  </si>
  <si>
    <t>Chemistry, Multidisciplinary; Oceanography</t>
  </si>
  <si>
    <t>Chemistry; Oceanography</t>
  </si>
  <si>
    <t>425QO</t>
  </si>
  <si>
    <t>WOS:000264652400013</t>
  </si>
  <si>
    <t>Mayewski, PA; Meredith, MP; Summerhayes, CP; Turner, J; Worby, A; Barrett, PJ; Casassa, G; Bertler, NAN; Bracegirdle, T; Garabato, ACN; Bromwich, D; Campbell, H; Hamilton, GS; Lyons, WB; Maasch, KA; Aoki, S; Xiao, C; van Ommen, T</t>
  </si>
  <si>
    <t>Mayewski, P. A.; Meredith, M. P.; Summerhayes, C. P.; Turner, J.; Worby, A.; Barrett, P. J.; Casassa, G.; Bertler, N. A. N.; Bracegirdle, T.; Garabato, A. C. Naveira; Bromwich, D.; Campbell, H.; Hamilton, G. S.; Lyons, W. B.; Maasch, K. A.; Aoki, S.; Xiao, C.; van Ommen, Tas</t>
  </si>
  <si>
    <t>STATE OF THE ANTARCTIC AND SOUTHERN OCEAN CLIMATE SYSTEM</t>
  </si>
  <si>
    <t>REVIEWS OF GEOPHYSICS</t>
  </si>
  <si>
    <t>SURFACE MASS-BALANCE; MCMURDO DRY VALLEYS; LOW-FREQUENCY VARIABILITY; HEMISPHERE ANNULAR MODE; DRONNING MAUD LAND; SEA-LEVEL PRESSURE; POLAR ICE CORES; ATMOSPHERIC CIRCULATION; TEMPORAL VARIABILITY; SNOW ACCUMULATION</t>
  </si>
  <si>
    <t>This paper reviews developments in our understanding of the state of the Antarctic and Southern Ocean climate and its relation to the global climate system over the last few millennia. Climate over this and earlier periods has not been stable, as evidenced by the occurrence of abrupt changes in atmospheric circulation and temperature recorded in Antarctic ice core proxies for past climate. Two of the most prominent abrupt climate change events are characterized by intensification of the circumpolar westerlies (also known as the Southern Annular Mode) between similar to 6000 and 5000 years ago and since 1200-1000 years ago. Following the last of these is a period of major trans-Antarctic reorganization of atmospheric circulation and temperature between A. D. 1700 and 1850. The two earlier Antarctic abrupt climate change events appear linked to but predate by several centuries even more abrupt climate change in the North Atlantic, and the end of the more recent event is coincident with reorganization of atmospheric circulation in the North Pacific. Improved understanding of such events and of the associations between abrupt climate change events recorded in both hemispheres is critical to predicting the impact and timing of future abrupt climate change events potentially forced by anthropogenic changes in greenhouse gases and aerosols. Special attention is given to the climate of the past 200 years, which was recorded by a network of recently available shallow firn cores, and to that of the past 50 years, which was monitored by the continuous instrumental record. Significant regional climate changes have taken place in the Antarctic during the past 50 years. Atmospheric temperatures have increased markedly over the Antarctic Peninsula, linked to nearby ocean warming and intensification of the circumpolar westerlies. Glaciers are retreating on the peninsula, in Patagonia, on the sub-Antarctic islands, and in West Antarctica adjacent to the peninsula. The penetration of marine air masses has become more pronounced over parts of West Antarctica. Above the surface, the Antarctic troposphere has warmed during winter while the stratosphere has cooled year-round. The upper kilometer of the circumpolar Southern Ocean has warmed, Antarctic Bottom Water across a wide sector off East Antarctica has freshened, and the densest bottom water in the Weddell Sea has warmed. In contrast to these regional climate changes, over most of Antarctica, near-surface temperature and snowfall have not increased significantly during at least the past 50 years, and proxy data suggest that the atmospheric circulation over the interior has remained in a similar state for at least the past 200 years. Furthermore, the total sea ice cover around Antarctica has exhibited no significant overall change since reliable satellite monitoring began in the late 1970s, despite large but compensating regional changes. The inhomogeneity of Antarctic climate in space and time implies that recent Antarctic climate changes are due on the one hand to a combination of strong multidecadal variability and anthropogenic effects and, as demonstrated by the paleoclimate record, on the other hand to multidecadal to millennial scale and longer natural variability forced through changes in orbital insolation, greenhouse gases, solar variability, ice dynamics, and aerosols. Model projections suggest that over the 21st century the Antarctic interior will warm by 3.4 degrees +/- 1 degrees C, and sea ice extent will decrease by similar to 30%. Ice sheet models are not yet adequate enough to answer pressing questins about the effect of projected warming on mass balance and sea level. Considering the potentially major impacts of a warming climate on Antarctica, vigorous efforts are needed to better understand all aspects of the highly coupled Antarctic climate system as well as its influence on the Earth's climate and oceans.</t>
  </si>
  <si>
    <t>[Mayewski, P. A.; Bertler, N. A. N.; Hamilton, G. S.; Maasch, K. A.] Univ Maine, Climate Change Inst, Orono, ME 04469 USA; [Meredith, M. P.; Turner, J.; Bracegirdle, T.; Campbell, H.] British Antarctic Survey, Cambridge CB3 0ET, England; [Summerhayes, C. P.] Sci Comm Antarctic Res, Cambridge CB2 1ER, England; [Worby, A.; van Ommen, Tas] Univ Tasmania, Australian Antarctic Div, Hobart, Tas 7001, Australia; [Worby, A.; van Ommen, Tas] Univ Tasmania, Antarctic Climate &amp; Ecosyst Cooperat Res Ctr, Hobart, Tas 7001, Australia; [Barrett, P. J.; Bertler, N. A. N.] Victoria Univ Wellington, Antarctic Res Ctr, Wellington 6140, New Zealand; [Casassa, G.] Ctr Estudios Cient, Glaciol &amp; Climate Change Lab, Valdivia 8353, Chile; [Garabato, A. C. Naveira] Univ Southampton, Sch Ocean &amp; Earth Sci, Southampton SO14 3ZH, Hants, England; [Bromwich, D.; Lyons, W. B.] Ohio State Univ, Byrd Polar Res Ctr, Columbus, OH 43210 USA; [Aoki, S.] Hokkaido Univ, Inst Low Temp Sci, Sapporo, Hokkaido 0600819, Japan; [Xiao, C.] China Meteorol Adm, Beijing, Peoples R China</t>
  </si>
  <si>
    <t>University of Maine System; University of Maine Orono; UK Research &amp; Innovation (UKRI); Natural Environment Research Council (NERC); NERC British Antarctic Survey; University of Cambridge; Australian Antarctic Division; University of Tasmania; University of Tasmania; Antarctic Climate &amp; Ecosystems Cooperative Research Centre (ACE CRC); Victoria University Wellington; University of Southampton; NERC National Oceanography Centre; University System of Ohio; Ohio State University; Hokkaido University; China Meteorological Administration</t>
  </si>
  <si>
    <t>Mayewski, PA (corresponding author), Univ Maine, Climate Change Inst, Orono, ME 04469 USA.</t>
  </si>
  <si>
    <t>paul.mayewski@maine.edu</t>
  </si>
  <si>
    <t>Garabato, Alberto Naveira/AAQ-1114-2020; Bracegirdle, Tom/AAD-6060-2020; Mayewski, Paul Andrew/HRD-6969-2023; Hamilton, Gordon S/G-1679-2011; Casassa, Gino/AAX-6142-2020; Worby, Anthony P/A-2373-2012; Maasch, Kirk/JMQ-8426-2023; Aoki, Shigeru/D-9105-2012; Bertler, Nancy A N/F-3967-2011; van Ommen, Tas/B-5020-2012</t>
  </si>
  <si>
    <t>Garabato, Alberto Naveira/0000-0001-6071-605X; Campbell, Hamish/0000-0003-1428-1686; Maasch, Kirk Allen/0000-0002-8658-8030; Meredith, Michael/0000-0002-7342-7756; Turner, John/0000-0002-6111-5122; Bertler, Nancy/0000-0001-6028-4891; Bracegirdle, Thomas/0000-0002-8868-4739; van Ommen, Tas/0000-0002-2463-1718</t>
  </si>
  <si>
    <t>NERC [bas0100028, bas010014] Funding Source: UKRI; Natural Environment Research Council [bas010014, bas0100028, NE/C517633/1] Funding Source: researchfish; Directorate For Geosciences; Office of Polar Programs (OPP) [0837883] Funding Source: National Science Foundation</t>
  </si>
  <si>
    <t>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t>
  </si>
  <si>
    <t>8755-1209</t>
  </si>
  <si>
    <t>1944-9208</t>
  </si>
  <si>
    <t>REV GEOPHYS</t>
  </si>
  <si>
    <t>Rev. Geophys.</t>
  </si>
  <si>
    <t>RG1003</t>
  </si>
  <si>
    <t>10.1029/2007RG000231</t>
  </si>
  <si>
    <t>402AC</t>
  </si>
  <si>
    <t>WOS:000262984900001</t>
  </si>
  <si>
    <t>Barrett, BE; Nicholls, KW; Murray, T; Smith, AM; Vaughan, DG</t>
  </si>
  <si>
    <t>Barrett, B. E.; Nicholls, K. W.; Murray, T.; Smith, A. M.; Vaughan, D. G.</t>
  </si>
  <si>
    <t>Rapid recent warming on Rutford Ice Stream, West Antarctica, from borehole thermometry</t>
  </si>
  <si>
    <t>CLIMATE-CHANGE; TEMPERATURE; PENINSULA; RECORD; SHEET</t>
  </si>
  <si>
    <t>The Antarctic Peninsula has warmed faster than the global average rate of warming during the last century. Due to limited availability of long term meteorological records, the geographical extent of this rapid warming is poorly defined. We collected borehole temperature measurements in the upper 300 m of Rutford Ice Stream, West Antarctica, and employed an inverse modeling scheme with a heat diffusion-advection equation to determine the recent surface temperature history of the borehole position. Our results reveal recent warming of 0.17 +/- 0.07 degrees C (decade)(-1) since 1930. This result suggests that, at least in an attenuated form, the rapid warming observed over the Antarctic Peninsula extends as far south as Rutford Ice Stream. This result agrees with other recent results that show a warming trend across much of the West Antarctic Ice Sheet. Citation: Barrett, B. E., K. W. Nicholls, T. Murray, A. M. Smith, and D. G. Vaughan (2009), Rapid recent warming on Rutford Ice Stream, West Antarctica, from borehole thermometry, Geophys. Res. Lett., 36, L02708, doi:10.1029/2008GL036369.</t>
  </si>
  <si>
    <t>[Barrett, B. E.; Murray, T.] Swansea Univ, Sch Environm &amp; Soc, Swansea SA2 8PP, W Glam, Wales; [Nicholls, K. W.; Smith, A. M.; Vaughan, D. G.] British Antarctic Survey, Cambridge CB3 0ET, England</t>
  </si>
  <si>
    <t>Swansea University; UK Research &amp; Innovation (UKRI); Natural Environment Research Council (NERC); NERC British Antarctic Survey</t>
  </si>
  <si>
    <t>Barrett, BE (corresponding author), Swansea Univ, Sch Environm &amp; Soc, Singleton Pk, Swansea SA2 8PP, W Glam, Wales.</t>
  </si>
  <si>
    <t>b.e.barrett@swansea.ac.uk</t>
  </si>
  <si>
    <t>Vaughan, David/C-8348-2011</t>
  </si>
  <si>
    <t>Vaughan, David/0000-0002-9065-0570; Murray, Tavi/0000-0001-6714-6512</t>
  </si>
  <si>
    <t>BAS; NASA; Leverhulme Trust Fellowship; [NERC-AFIGR3/G005]; [NERC-AFI NE/D008751]; [9200]; [8638]; NERC [bas0100028, bas010018] Funding Source: UKRI; Natural Environment Research Council [bas010018, bas0100028] Funding Source: researchfish</t>
  </si>
  <si>
    <t>BAS; NASA(National Aeronautics &amp; Space Administration (NASA)); Leverhulme Trust Fellowship(Leverhulme Trust); ; ; ; ; NERC(UK Research &amp; Innovation (UKRI)Natural Environment Research Council (NERC)); Natural Environment Research Council(UK Research &amp; Innovation (UKRI)Natural Environment Research Council (NERC))</t>
  </si>
  <si>
    <t>We are grateful for the comments of two anonymous reviewers. This project was funded by NERC-AFIGR3/G005, BAS and NASA. Field support was provided by BAS. TM was supported by a Leverhulme Trust Fellowship. SLE data were funded by NERC-AFI NE/D008751, 9200 and 8638. Ian Joughin provided InSAR data and Tony Phillips provided AVHRR data.</t>
  </si>
  <si>
    <t>JAN 29</t>
  </si>
  <si>
    <t>L02708</t>
  </si>
  <si>
    <t>10.1029/2008GL036369</t>
  </si>
  <si>
    <t>401ZA</t>
  </si>
  <si>
    <t>WOS:000262981900005</t>
  </si>
  <si>
    <t>Lessard, MR; Weatherwax, AT; Spasojevic, M; Inan, US; Gerrard, A; Lanzerotti, L; Ridley, A; Engebretson, MJ; Petit, NJ; Clauer, R; LaBelle, J; Mende, SB; Frey, HU; Pilipenko, VA; Rosenberg, TJ; Detrick, D</t>
  </si>
  <si>
    <t>Lessard, M. R.; Weatherwax, A. T.; Spasojevic, M.; Inan, U. S.; Gerrard, A.; Lanzerotti, L.; Ridley, A.; Engebretson, M. J.; Petit, N. J.; Clauer, R.; LaBelle, J.; Mende, S. B.; Frey, H. U.; Pilipenko, V. A.; Rosenberg, T. J.; Detrick, D.</t>
  </si>
  <si>
    <t>PENGUIn multi-instrument observations of dayside high-latitude injections during the 23 March 2007 substorm</t>
  </si>
  <si>
    <t>MAGNETIC-FIELD; POLAR-CAP; GEOSYNCHRONOUS OBSERVATIONS; ELECTRON-PRECIPITATION; MAGNETOSPHERIC CHORUS; PARTICLE; EMISSIONS</t>
  </si>
  <si>
    <t>This paper presents ground-based observations from Antarctic stations during a substorm observed on 23 March 2007. Using fluxgate magnetometer data, supported by numerical modeling, the locations of the stations are shown to straddle the open-closed magnetic field boundary. Near these locations (on closed field lines), VLF and riometer signatures are observed to show effects of energetic particle precipitation in the morning sector (extending to the postdawn region), confirmed by observations at geosynchronous orbit. In the VLF data, both the initial injection as well as echoes are observed. The mechanism responsible for such high-latitude injections is thought to be a combination of dynamics of the injection process and drift-shell splitting. Further work will address whether similar observations can be used to infer the dynamics and/or location of the injection region.</t>
  </si>
  <si>
    <t>[Lessard, M. R.] Univ New Hampshire, Ctr Space Sci, Durham, NH 03824 USA; [Weatherwax, A. T.] Siena Coll, Dept Phys, Loudonville, NY 12211 USA; [Spasojevic, M.; Inan, U. S.] Stanford Univ, Space Telecommun &amp; Radiosci Lab, Palo Alto, CA 94305 USA; [Gerrard, A.; Lanzerotti, L.] New Jersey Inst Technol, Newark, NJ 07102 USA; [Ridley, A.] Univ Michigan, Ctr Space Environm Modeling, Ann Arbor, MI 48109 USA; [Engebretson, M. J.] Augsburg Coll, Dept Phys, Minneapolis, MN 55454 USA; [Petit, N. J.] Augsburg Coll, Dept Comp Sci, Minneapolis, MN 55454 USA; [Clauer, R.] Virginia Inst Technol, Blacksburg, VA 24061 USA; [LaBelle, J.] Dartmouth Coll, Dept Phys, Hanover, NH 03755 USA; [Mende, S. B.; Frey, H. U.] Univ Calif Berkeley, Space Sci Lab, Berkeley, CA 94720 USA; [Pilipenko, V. A.] Inst Phys Earth, Moscow 117997, Russia; [Rosenberg, T. J.; Detrick, D.] Univ Maryland, Inst Phys Sci &amp; Technol, College Pk, MD 20742 USA</t>
  </si>
  <si>
    <t>University System Of New Hampshire; University of New Hampshire; Stanford University; New Jersey Institute of Technology; University of Michigan System; University of Michigan; Augsburg University; Augsburg University; Dartmouth College; University of California System; University of California Berkeley; Russian Academy of Sciences; Schmidt Institute of Physics of the Earth of the Russian Academy of Sciences; University System of Maryland; University of Maryland College Park</t>
  </si>
  <si>
    <t>Lessard, MR (corresponding author), Univ New Hampshire, Ctr Space Sci, 417 Morse Hall, Durham, NH 03824 USA.</t>
  </si>
  <si>
    <t>marc.lessard@unh.edu</t>
  </si>
  <si>
    <t>Inan, Umran/V-3634-2019; Ridley, Aaron/F-3943-2011</t>
  </si>
  <si>
    <t>Inan, Umran/0000-0001-5837-5807; Gerrard, Andrew/0000-0002-9626-2085; Frey, Harald/0000-0001-8955-3282; Spasojevic, Maria/0000-0001-8869-5086; LaBelle, James/0000-0002-0772-8825; Weatherwax, Allan/0000-0003-4732-358X; Ridley, Aaron/0000-0001-6933-8534</t>
  </si>
  <si>
    <t>NSF [ANT-0636874, ANT-0538474, ANT-0636623, ANT-0538379, ANT-0636790, ANT-0638587, ANT-0341046, ANT-0636685, ANT-0636691, ANT-0636798, ANT-0636927, ANT-0636978]; NSF; Directorate For Geosciences; Office of Polar Programs (OPP) [0636927, 0636623] Funding Source: National Science Foundation; Office of Polar Programs (OPP); Directorate For Geosciences [0638587] Funding Source: National Science Foundation</t>
  </si>
  <si>
    <t>NSF(National Science Foundation (NSF));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</si>
  <si>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gratefully acknowledge the excellent field work of Will Rachelson (Cal Berkeley), Jeff Chang ( Stanford), and Dan Detrick ( University of Maryland), which has resulted in the successful operation of the AGO observatories. Research at the University of New Hampshire was supported by NSF grants ANT-0636874 and ANT-0538474. Research at Augsburg College was supported by NSF grants ANT-0636623 and ANT-0538379, at Siena College by ANT-0636790 and ANT-0638587, at the New Jersey Institute of Technology by ANT-0341046, at the University of Maryland by ANT-0636790 ( to Siena College), at the University of Michigan by ANT-0636685, at Virginia Polytechnic Institute and State University by ANT-0636691, at Dartmouth College by ANT-0636798, at Stanford University by ANT-0636927, and at the University of California by ANT-0636978.</t>
  </si>
  <si>
    <t>A00C11</t>
  </si>
  <si>
    <t>10.1029/2008JA013507</t>
  </si>
  <si>
    <t>401ZW</t>
  </si>
  <si>
    <t>WOS:000262984200005</t>
  </si>
  <si>
    <t>Pollard, RT; Salter, I; Sanders, RJ; Lucas, MI; Moore, CM; Mills, RA; Statham, PJ; Allen, JT; Baker, AR; Bakker, DCE; Charette, MA; Fielding, S; Fones, GR; French, M; Hickman, AE; Holland, RJ; Hughes, JA; Jickells, TD; Lampitt, RS; Morris, PJ; Nédélec, FH; Nielsdóttir, M; Planquette, H; Popova, EE; Poulton, AJ; Read, JF; Seeyave, S; Smith, T; Stinchcombe, M; Taylor, S; Thomalla, S; Venables, HJ; Williamson, R; Zubkov, MV</t>
  </si>
  <si>
    <t>Pollard, Raymond T.; Salter, Ian; Sanders, Richard J.; Lucas, Mike I.; Moore, C. Mark; Mills, Rachel A.; Statham, Peter J.; Allen, John T.; Baker, Alex R.; Bakker, Dorothee C. E.; Charette, Matthew A.; Fielding, Sophie; Fones, Gary R.; French, Megan; Hickman, Anna E.; Holland, Ross J.; Hughes, J. Alan; Jickells, Timothy D.; Lampitt, Richard S.; Morris, Paul J.; Nedelec, Florence H.; Nielsdottir, Maria; Planquette, Helene; Popova, Ekaterina E.; Poulton, Alex J.; Read, Jane F.; Seeyave, Sophie; Smith, Tania; Stinchcombe, Mark; Taylor, Sarah; Thomalla, Sandy; Venables, Hugh J.; Williamson, Robert; Zubkov, Mike V.</t>
  </si>
  <si>
    <t>Southern Ocean deep-water carbon export enhanced by natural iron fertilization</t>
  </si>
  <si>
    <t>PHYTOPLANKTON BLOOM; CROZET PLATEAU; RADIUM ISOTOPES; CO2; SEQUESTRATION; RESPONSES; NORTH; SCALE; SI</t>
  </si>
  <si>
    <t>The addition of iron to high- nutrient, low- chlorophyll regions induces phytoplankton blooms that take up carbon(1-3). Carbon export from the surface layer and, in particular, the ability of the ocean and sediments to sequester carbon for many years remains, however, poorly quantified(3). Here we report data from the CROZEX experiment(4) in the Southern Ocean, which was conducted to test the hypothesis that the observed north - south gradient in phytoplankton concentrations in the vicinity of the Crozet Islands is induced by natural iron fertilization that results in enhanced organic carbon flux to the deep ocean. We report annual particulate carbon fluxes out of the surface layer, at three kilometres below the ocean surface and to the ocean floor. We find that carbon fluxes from a highly productive, naturally iron-fertilized region of the sub- Antarctic Southern Ocean are two to three times larger than the carbon fluxes from an adjacent high-nutrient, low- chlorophyll area not fertilized by iron. Our findings support the hypothesis that increased iron supply to the glacial sub- Antarctic may have directly enhanced carbon export to the deep ocean(5). The CROZEX sequestration efficiency(6) ( the amount of carbon sequestered below the depth of winter mixing for a given iron supply) of 8,600 mol mol(-1) was 18 times greater than that of a phytoplankton bloom induced artificially by adding iron(7), but 77 times smaller than that of another bloom(8) initiated, like CROZEX, by a natural supply of iron. Large losses of purposefully added iron can explain the lower efficiency of the induced bloom(6). The discrepancy between the blooms naturally supplied with iron may result in part from an underestimate of horizontal iron supply.</t>
  </si>
  <si>
    <t>[Pollard, Raymond T.; Salter, Ian; Sanders, Richard J.; Moore, C. Mark; Mills, Rachel A.; Statham, Peter J.; Allen, John T.; Holland, Ross J.; Hughes, J. Alan; Lampitt, Richard S.; Morris, Paul J.; Nielsdottir, Maria; Popova, Ekaterina E.; Poulton, Alex J.; Read, Jane F.; Seeyave, Sophie; Smith, Tania; Stinchcombe, Mark; Taylor, Sarah; Zubkov, Mike V.] Natl Environm Res Council, Natl Oceanog Ctr Southampton, Southampton SO14 3ZH, Hants, England; [Pollard, Raymond T.; Salter, Ian; Sanders, Richard J.; Moore, C. Mark; Mills, Rachel A.; Statham, Peter J.; Allen, John T.; Holland, Ross J.; Hughes, J. Alan; Lampitt, Richard S.; Morris, Paul J.; Nielsdottir, Maria; Popova, Ekaterina E.; Poulton, Alex J.; Read, Jane F.; Seeyave, Sophie; Smith, Tania; Stinchcombe, Mark; Taylor, Sarah; Zubkov, Mike V.] Univ Southampton, Southampton SO14 3ZH, Hants, England; [Salter, Ian] Observ Oceanol, BP44, F-66651 Banyuls Sur Mer, France; [Lucas, Mike I.] Univ Cape Town, Dept Zool, ZA-7701 Rondebosch, South Africa; [Baker, Alex R.; Bakker, Dorothee C. E.; French, Megan; Jickells, Timothy D.] Univ E Anglia, Sch Environm Sci, Norwich NR4 7TJ, Norfolk, England; [Charette, Matthew A.] Woods Hole Oceanog Inst, Dept Marine Chem &amp; Geochem MS25, Woods Hole, MA 02543 USA; [Fielding, Sophie; Venables, Hugh J.] British Antarctic Survey, Cambridge CB3 0ET, England; [Fones, Gary R.] Univ Portsmouth, Sch Earth &amp; Environm Sci, Portsmouth PO1 3QL, Hants, England; [Hickman, Anna E.] Univ Liverpool, Dept Earth &amp; Ocean Sci, Liverpool L69 3GP, Merseyside, England; [Nedelec, Florence H.] IFREMER, Lab Environm &amp; Resources Normandie, F-14520 Port En Bessen, France; [Planquette, Helene] Rutgers State Univ, Inst Marine &amp; Coastal Sci, New Brunswick, NJ 08901 USA; [Thomalla, Sandy; Williamson, Robert] Univ Cape Town, Dept Oceanog, ZA-7701 Rondebosch, South Africa</t>
  </si>
  <si>
    <t>University of Southampton; UK Research &amp; Innovation (UKRI); Natural Environment Research Council (NERC); NERC National Oceanography Centre; University of Southampton; Sorbonne Universite; University of Cape Town; University of East Anglia; Woods Hole Oceanographic Institution; UK Research &amp; Innovation (UKRI); Natural Environment Research Council (NERC); NERC British Antarctic Survey; University of Portsmouth; University of Liverpool; Ifremer; Rutgers University System; Rutgers University New Brunswick; University of Cape Town</t>
  </si>
  <si>
    <t>Sanders, RJ (corresponding author), Natl Environm Res Council, Natl Oceanog Ctr Southampton, European Way, Southampton SO14 3ZH, Hants, England.</t>
  </si>
  <si>
    <t>rics@noc.soton.ac.uk</t>
  </si>
  <si>
    <t>Allen, John Taylor/AHB-3419-2022; Fielding, Sophie/E-5137-2012; Popova, Ekaterina E/B-4520-2012; Fones, Gary/G-2489-2010; Seas, Deep/J-9245-2014; Baker, Alex R/D-1233-2011; Zubkov, Mikhail/AAW-9674-2020; Salter, Ian/A-7404-2011; Salter, Ian/AAI-1015-2021; Sanders, Richard J/B-8717-2012; Thomalla, Sandy/AAS-4133-2021; Hickman, Anna E/A-9351-2011; Menet-Nedelec, Florence H. A./K-2262-2015; Charette, Matthew/I-9495-2012; Planquette, Helene/B-4990-2013; Bakker, Dorothee/E-4951-2015; Poulton, Alex/A-9859-2012; Mills, Rachel/A-1150-2011</t>
  </si>
  <si>
    <t>Allen, John Taylor/0000-0001-7357-6623; Popova, Ekaterina E/0000-0002-2012-708X; Fones, Gary/0000-0002-1999-0716; Zubkov, Mikhail/0000-0001-7723-6810; Sanders, Richard J/0000-0002-6884-7131; Menet-Nedelec, Florence H. A./0000-0002-0933-2509; French, Megan Anne/0000-0002-5837-1360; Salter, Ian/0000-0002-4513-0314; Baker, Alex/0000-0002-8365-8953; Planquette, Helene/0000-0002-2235-5158; Moore, Mark/0000-0002-9541-6046; Seeyave, Sophie/0000-0002-4583-2869; Williamson, Robert/0000-0002-7288-1762; Hickman, Anna/0000-0002-2774-3934; Bakker, Dorothee/0000-0001-9234-5337; Poulton, Alex/0000-0002-5149-6961; Mills, Rachel/0000-0002-9811-246X</t>
  </si>
  <si>
    <t>Natural Environment Research Council; NERC [soc010008, NE/F017359/1, bas010017] Funding Source: UKRI; Natural Environment Research Council [NE/F017359/1, NE/B502844/1, NE/C507353/1, soc010008, bas010017] Funding Source: researchfish</t>
  </si>
  <si>
    <t>We thank the operators, master and crew of RRS Discovery for their support. CROZEX was a component of Biophysical Interactions and Controls on Export Production, a five-year project at the National Oceanography Centre, Southampton, supported by the Natural Environment Research Council (NERC).</t>
  </si>
  <si>
    <t>U81</t>
  </si>
  <si>
    <t>10.1038/nature07716</t>
  </si>
  <si>
    <t>400FA</t>
  </si>
  <si>
    <t>WOS:000262852200040</t>
  </si>
  <si>
    <t>Randel, WJ; Shine, KP; Austin, J; Barnett, J; Claud, C; Gillett, NP; Keckhut, P; Langematz, U; Lin, R; Long, C; Mears, C; Miller, A; Nash, J; Seidel, DJ; Thompson, DWJ; Wu, F; Yoden, S</t>
  </si>
  <si>
    <t>Randel, William J.; Shine, Keith P.; Austin, John; Barnett, John; Claud, Chantal; Gillett, Nathan P.; Keckhut, Philippe; Langematz, Ulrike; Lin, Roger; Long, Craig; Mears, Carl; Miller, Alvin; Nash, John; Seidel, Dian J.; Thompson, David W. J.; Wu, Fei; Yoden, Shigeo</t>
  </si>
  <si>
    <t>An update of observed stratospheric temperature trends</t>
  </si>
  <si>
    <t>11-YEAR SOLAR-CYCLE; RADIOSONDE DATA; TEMPORAL HOMOGENIZATION; MIDDLE ATMOSPHERE; COOLING TREND; PART II; OZONE; REANALYSIS; BIASES; LIDAR</t>
  </si>
  <si>
    <t>An updated analysis of observed stratospheric temperature variability and trends is presented on the basis of satellite, radiosonde, and lidar observations. Satellite data include measurements from the series of NOAA operational instruments, including the Microwave Sounding Unit covering 1979-2007 and the Stratospheric Sounding Unit (SSU) covering 1979-2005. Radiosonde results are compared for six different data sets, incorporating a variety of homogeneity adjustments to account for changes in instrumentation and observational practices. Temperature changes in the lower stratosphere show cooling of similar to 0.5 K/decade over much of the globe for 1979-2007, with some differences in detail among the different radiosonde and satellite data sets. Substantially larger cooling trends are observed in the Antarctic lower stratosphere during spring and summer, in association with development of the Antarctic ozone hole. Trends in the lower stratosphere derived from radiosonde data are also analyzed for a longer record (back to 1958); trends for the presatellite era (1958-1978) have a large range among the different homogenized data sets, implying large trend uncertainties. Trends in the middle and upper stratosphere have been derived from updated SSU data, taking into account changes in the SSU weighting functions due to observed atmospheric CO2 increases. The results show mean cooling of 0.5-1.5 K/decade during 1979-2005, with the greatest cooling in the upper stratosphere near 40-50 km. Temperature anomalies throughout the stratosphere were relatively constant during the decade 1995-2005. Long records of lidar temperature measurements at a few locations show reasonable agreement with SSU trends, although sampling uncertainties are large in the localized lidar measurements. Updated estimates of the solar cycle influence on stratospheric temperatures show a statistically significant signal in the tropics (similar to 30 degrees N-S), with an amplitude (solar maximum minus solar minimum) of similar to 0.5 K (lower stratosphere) to similar to 1.0 K (upper stratosphere).</t>
  </si>
  <si>
    <t>[Randel, William J.; Wu, Fei] Natl Ctr Atmospher Res, Boulder, CO 80307 USA; [Austin, John] NOAA, Geophys Fluid Dynam Lab, Princeton, NJ 08542 USA; [Barnett, John] Univ Oxford, Dept Atmospher Ocean &amp; Planetary Phys, Oxford OX1 3PU, England; [Claud, Chantal] Ecole Polytech, CNRS, IPSL, Meteorol Dynam Lab,UMR8539, F-91128 Palaiseau, France; [Gillett, Nathan P.] Univ E Anglia, Sch Environm Sci, Climat Res Unit, Norwich NR4 7TJ, Norfolk, England; [Keckhut, Philippe] Univ Versailles St Quentin, Serv Aeron, F-91371 Verrieres Le Buisson, France; [Langematz, Ulrike] Free Univ Berlin, Inst Meteorol, D-12165 Berlin, Germany; [Lin, Roger; Long, Craig; Miller, Alvin] NOAA, Climate Predict Ctr, NCEP, Natl Weather Serv, Camp Springs, MD 20746 USA; [Mears, Carl] Remote Sensing Syst, Santa Rosa, CA 95401 USA; [Nash, John] Met Off, Exeter EX1 3PB, Devon, England; [Seidel, Dian J.] NOAA, Air Resources Lab, Silver Spring, MD 20910 USA; [Shine, Keith P.] Univ Reading, Dept Meteorol, Reading RG6 6BB, Berks, England; [Thompson, David W. J.] Colorado State Univ, Dept Atmospher Sci, Ft Collins, CO 80523 USA; [Yoden, Shigeo] Kyoto Univ, Dept Geophys, Kyoto 6068502, Japan</t>
  </si>
  <si>
    <t>National Center Atmospheric Research (NCAR) - USA; National Oceanic Atmospheric Admin (NOAA) - USA; University of Oxford; Universite Paris Cite; Centre National de la Recherche Scientifique (CNRS); CNRS - National Institute for Earth Sciences &amp; Astronomy (INSU); Institut Polytechnique de Paris; Sorbonne Universite; University of East Anglia; Universite Paris Saclay; Free University of Berlin; National Oceanic Atmospheric Admin (NOAA) - USA; Met Office - UK; National Oceanic Atmospheric Admin (NOAA) - USA; University of Reading; Colorado State University; Kyoto University</t>
  </si>
  <si>
    <t>Randel, WJ (corresponding author), Natl Ctr Atmospher Res, POB 3000, Boulder, CO 80307 USA.</t>
  </si>
  <si>
    <t>randel@ucar.edu</t>
  </si>
  <si>
    <t>Thompson, David W J/F-9627-2012; Thompson, David/C-3520-2008; Cassano, John/HKW-8817-2023; Keckhut, Philippe/AFO-0077-2022; YODEN, SHIGEO/P-9065-2014; Randel, William J/K-3267-2016; Shine, Keith/D-9093-2012</t>
  </si>
  <si>
    <t>Thompson, David W J/0000-0002-5413-4376; Shine, Keith/0000-0003-2672-9978; Claud, Chantal/0000-0001-7613-9525</t>
  </si>
  <si>
    <t>World Climate Research Program (WCRP); Stratospheric Processes and their Role in Climate (SPARC) Program; U.S. National Science Foundation; NOAA Geophysical Dynamics Laboratory; European Commission; GEOmon; Grants-in-Aid for Scientific Research [20244076] Funding Source: KAKEN</t>
  </si>
  <si>
    <t>World Climate Research Program (WCRP); Stratospheric Processes and their Role in Climate (SPARC) Program; U.S. National Science Foundation(National Science Foundation (NSF)); NOAA Geophysical Dynamics Laboratory(National Oceanic Atmospheric Admin (NOAA) - USA); European Commission(European Union (EU)European Commission Joint Research Centre); GEOmon(European Union (EU)); Grants-in-Aid for Scientific Research(Ministry of Education, Culture, Sports, Science and Technology, Japan (MEXT)Japan Society for the Promotion of ScienceGrants-in-Aid for Scientific Research (KAKENHI))</t>
  </si>
  <si>
    <t>We acknowledge the World Climate Research Program (WCRP) Stratospheric Processes and their Role in Climate (SPARC) Program, which supported several meetings of the coauthors over the past few years. We thank several colleagues for suggestions and comments on the manuscript, including Melissa Free, Leopold Haimberger, John Lanzante, Steven Sherwood, Peter Thorne, and Kevin Trenberth. Peter Thorne also provided easy access to the IUK, RAOBCORE1.4, and RICH data sets. Three anonymous reviewers provided constructive suggestions for improving the manuscript. The National Center for Atmospheric Research is sponsored by the U.S. National Science Foundation. John Austin's research was administered by the University Corporation for Atmospheric Research at the NOAA Geophysical Dynamics Laboratory. Some data used in this paper were obtained as part of the Network for the Detection of Atmospheric Composition Change (NDACC) and is publicly available at http:// www. ndacc. org. Lidar investigations are partly supported by the European Commission through the GEOmon project.</t>
  </si>
  <si>
    <t>JAN 23</t>
  </si>
  <si>
    <t>D02107</t>
  </si>
  <si>
    <t>10.1029/2008JD010421</t>
  </si>
  <si>
    <t>398RN</t>
  </si>
  <si>
    <t>WOS:000262749300003</t>
  </si>
  <si>
    <t>Eckermann, SD; Hoffmann, L; Höpfner, M; Wu, DL; Alexander, MJ</t>
  </si>
  <si>
    <t>Eckermann, S. D.; Hoffmann, L.; Hoepfner, M.; Wu, D. L.; Alexander, M. J.</t>
  </si>
  <si>
    <t>Antarctic NAT PSC belt of June 2003: Observational validation of the mountain wave seeding hypothesis</t>
  </si>
  <si>
    <t>POLAR STRATOSPHERIC CLOUDS; OZONE DEPLETION; DENITRIFICATION</t>
  </si>
  <si>
    <t>Satellite observations of polar stratospheric clouds (PSCs) over Antarctica in June 2003 revealed small nitric acid trihydrate (NAT) particles forming suddenly along the vortex edge. Models suggest the trigger was mountain waves over the Antarctic Peninsula (AP) forming ice for NAT nucleation. We test this hypothesis by analyzing perturbations in stratospheric radiances from the Atmospheric Infrared Sounder (AIRS). AIRS data show mountain waves over the AP on 10-14 June, with no resolved wave activity before or after. Peak wave temperature amplitudes derived from independent 40 hPa channels all return values of 10-12 K, in agreement with values used to model this NAT event. These observations support a NAT wake from a small region of mountain wave activity over the AP as the source of this circumpolar NAT outbreak. Citation: Eckermann, S. D., L. Hoffmann, M. Hopfner, D. L. Wu, and M. J. Alexander (2009), Antarctic NAT PSC belt of June 2003: Observational validation of the mountain wave seeding hypothesis, Geophys. Res. Lett., 36, L02807, doi:10.1029/2008GL036629.</t>
  </si>
  <si>
    <t>[Eckermann, S. D.] USN, Res Lab, Div Space Sci, Washington, DC 20375 USA; [Alexander, M. J.] NW Res Associates, Boulder, CO 80301 USA; [Hoffmann, L.] Forschungszentrum Julich, D-52425 Julich, Germany; [Hoepfner, M.] Forschungszentrum Karlsruhe, D-76021 Karlsruhe, Germany; [Wu, D. L.] CALTECH, Jet Prop Lab, Pasadena, CA 91109 USA</t>
  </si>
  <si>
    <t>United States Department of Defense; United States Navy; Naval Research Laboratory; NorthWest Research Associates; Helmholtz Association; Research Center Julich; Helmholtz Association; Karlsruhe Institute of Technology; National Aeronautics &amp; Space Administration (NASA); NASA Jet Propulsion Laboratory (JPL); California Institute of Technology</t>
  </si>
  <si>
    <t>Eckermann, SD (corresponding author), USN, Res Lab, Div Space Sci, Code 7646, Washington, DC 20375 USA.</t>
  </si>
  <si>
    <t>stephen.eckermann@nrl.navy.mil</t>
  </si>
  <si>
    <t>Hoffmann, Lars/A-5173-2013; Hoffmann, Lars/ABI-3746-2020; Wu, Dong L/D-5375-2012; Hopfner, Michael/A-7255-2013</t>
  </si>
  <si>
    <t>Hoffmann, Lars/0000-0003-3773-4377; Hoffmann, Lars/0000-0003-3773-4377; Eckermann, Stephen/0000-0002-8534-1909; Hopfner, Michael/0000-0002-4174-9531</t>
  </si>
  <si>
    <t>NASA's Earth Science Mission Directorate [NNH08AE43I]</t>
  </si>
  <si>
    <t>NASA's Earth Science Mission Directorate</t>
  </si>
  <si>
    <t>SDE, DLW and MJA were supported by NASA's Earth Science Mission Directorate (contract NNH08AE43I).</t>
  </si>
  <si>
    <t>JAN 22</t>
  </si>
  <si>
    <t>L02807</t>
  </si>
  <si>
    <t>10.1029/2008GL036629</t>
  </si>
  <si>
    <t>398QX</t>
  </si>
  <si>
    <t>WOS:000262747700006</t>
  </si>
  <si>
    <t>Nan, SL; Li, JP; Yuan, XJ; Zhao, P</t>
  </si>
  <si>
    <t>Nan, Sulan; Li, Jianping; Yuan, Xiaojun; Zhao, Ping</t>
  </si>
  <si>
    <t>Boreal spring Southern Hemisphere Annular Mode, Indian Ocean sea surface temperature, and East Asian summer monsoon</t>
  </si>
  <si>
    <t>ANTARCTIC OSCILLATION; EXTRATROPICAL CIRCULATION; INTERANNUAL VARIABILITY; RIVER VALLEY; PART II; ATLANTIC; CLIMATE; ENSO; ANOMALIES; RAINFALL</t>
  </si>
  <si>
    <t>The relationships among the boreal spring Southern Hemisphere Annular Mode (SAM), the Indian Ocean (IO) sea surface temperature (SST), and East Asian summer monsoon (EASM) are examined statistically in this paper. The variability of boreal spring SAM is closely related to the IO SST. When the SAM is in its strong positive phase in boreal spring, with low-pressure anomalies over the south pole and high-pressure anomalies over middle latitudes, SST over the subtropics and middle latitudes of the South Indian Ocean (SIO) increases, which persists into the summer. Following the positive SST anomalies over the subtropics and midlatitudes of the SIO, SST in the equatorial Indian Ocean and Bay of Bengal increases in summer. Moreover, the variability of SST in the equatorial Indian Ocean and Bay of Bengal is closely related to EASM. When SST in the equatorial Indian Ocean and Bay of Bengal increases, EASM tends to be weak. Therefore the IO SST may play an important role bridging boreal spring SAM and EASM. The atmospheric circulations and surface heat exchanges contribute to the SST anomalies in the SIO. When the spring SAM is in its strong positive phases, the regional Ferrel Cell weakens, and the anomalous upward motions at 20 degrees S-30 degrees S cause an increase of low cloud cover and downward longwave radiation flux. The surface atmospheric circulations also transport more (less) warmer (cooler) air from middle latitudes north of 50 degrees S (high latitudes south of 60 degrees S) into 50 degrees S-60 degrees S and warm the air, which reduces the temperature difference between the ocean and atmosphere and consequently reduces sensible heat flux from the ocean to atmosphere. The increased downward longwave radiation and decreased sensible heat are responsible for the SST increase in the SIO. The atmospheric circulation and surface heat flux anomalies are of opposite signs following the strong negative phases of SAM.</t>
  </si>
  <si>
    <t>[Nan, Sulan; Zhao, Ping] Chinese Acad Meteorol Sci, Beijing 100081, Peoples R China; [Yuan, Xiaojun] Columbia Univ, Lamont Doherty Earth Observ, Palisades, NY 10964 USA; [Li, Jianping] Chinese Acad Sci, Inst Atmospher Phys, Natl Key Lab Numer Modeling Atmospher Sci &amp; Geoph, Beijing 100029, Peoples R China; [Nan, Sulan; Zhao, Ping] China Meteorol Adm, Lab Climate Studies, Beijing, Peoples R China</t>
  </si>
  <si>
    <t>China Meteorological Administration; Chinese Academy of Meteorological Sciences (CAMS); Columbia University; Chinese Academy of Sciences; Institute of Atmospheric Physics, CAS; China Meteorological Administration</t>
  </si>
  <si>
    <t>Nan, SL (corresponding author), Chinese Acad Meteorol Sci, 46 Zhongguancun Nandajie, Beijing 100081, Peoples R China.</t>
  </si>
  <si>
    <t>ljp@lasg.iap.ac.cn</t>
  </si>
  <si>
    <t>Li, Jianping/I-2661-2012; Yuan, Xiaojun/AAI-7770-2020</t>
  </si>
  <si>
    <t>Yuan, Xiaojun/0000-0002-6530-1619</t>
  </si>
  <si>
    <t>Chinese COPES project [GYHY200706005]; 973 Program [2006CB403600]; National Ocean and the Atmosphere Administration of USA [NA030AR4320179]</t>
  </si>
  <si>
    <t>Chinese COPES project; 973 Program(National Basic Research Program of China); National Ocean and the Atmosphere Administration of USA</t>
  </si>
  <si>
    <t>We thank the Climate Diagnostic Center/NOAA for providing the NCEP-NCAR reanalysis data and monthly mean ERSST data on its homepage. Three anonymous reviewers are thanked for the valuable comments on the manuscript. This work was jointly sponsored by the Chinese COPES project (GYHY200706005), 973 Program (2006CB403600), and the National Ocean and the Atmosphere Administration of USA through Grant NA030AR4320179.</t>
  </si>
  <si>
    <t>D02103</t>
  </si>
  <si>
    <t>10.1029/2008JD010045</t>
  </si>
  <si>
    <t>398RM</t>
  </si>
  <si>
    <t>WOS:000262749200002</t>
  </si>
  <si>
    <t>Steig, EJ; Schneider, DP; Rutherford, SD; Mann, ME; Comiso, JC; Shindell, DT</t>
  </si>
  <si>
    <t>Steig, Eric J.; Schneider, David P.; Rutherford, Scott D.; Mann, Michael E.; Comiso, Josefino C.; Shindell, Drew T.</t>
  </si>
  <si>
    <t>Warming of the Antarctic ice-sheet surface since the 1957 International Geophysical Year</t>
  </si>
  <si>
    <t>SOUTHERN-HEMISPHERE CLIMATE; IN-SITU; VARIABILITY; TRENDS; TEMPERATURES; SIMULATION; LENGTH; SEASON</t>
  </si>
  <si>
    <t>Assessments of Antarctic temperature change have emphasized the contrast between strong warming of the Antarctic Peninsula and slight cooling of the Antarctic continental interior in recent decades(1). This pattern of temperature change has been attributed to the increased strength of the circumpolar westerlies, largely in response to changes in stratospheric ozone(2). This picture, however, is substantially incomplete owing to the sparseness and short duration of the observations. Here we show that significant warming extends well beyond the Antarctic Peninsula to cover most of West Antarctica, an area of warming much larger than previously reported. West Antarctic warming exceeds 0.1 degrees C per decade over the past 50 years, and is strongest in winter and spring. Although this is partly offset by autumn cooling in East Antarctica, the continent- wide average near- surface temperature trend is positive. Simulations using a general circulation model reproduce the essential features of the spatial pattern and the long- term trend, and we suggest that neither can be attributed directly to increases in the strength of the westerlies. Instead, regional changes in atmospheric circulation and associated changes in sea surface temperature and sea ice are required to explain the enhanced warming in West Antarctica.</t>
  </si>
  <si>
    <t>[Steig, Eric J.] Univ Washington, Dept Earth &amp; Space Sci, Seattle, WA 98195 USA; [Steig, Eric J.] Univ Washington, Quaternary Res Ctr, Seattle, WA 98195 USA; [Schneider, David P.] Natl Ctr Atmospher Res, Boulder, CO 80307 USA; [Rutherford, Scott D.] Roger Williams Univ, Dept Environm Sci, Bristol, RI 02809 USA; [Mann, Michael E.] Penn State Univ, Dept Meteorol, University Pk, PA 16802 USA; [Mann, Michael E.] Penn State Univ, Earth &amp; Environm Syst Inst, University Pk, PA 16802 USA; [Comiso, Josefino C.] NASA, Goddard Space Flight Ctr, NASA Lab Hydrospher &amp; Biospher Sci, Greenbelt, MD 20771 USA; [Shindell, Drew T.] NASA, Goddard Inst Space Studies, New York, NY 10025 USA; [Shindell, Drew T.] Columbia Univ, Ctr Climate Syst Res, New York, NY 10025 USA</t>
  </si>
  <si>
    <t>University of Washington; University of Washington Seattle; University of Washington; University of Washington Seattle; National Center Atmospheric Research (NCAR) - USA; Pennsylvania Commonwealth System of Higher Education (PCSHE); Pennsylvania State University; Pennsylvania State University - University Park; Pennsylvania Commonwealth System of Higher Education (PCSHE); Pennsylvania State University; Pennsylvania State University - University Park; National Aeronautics &amp; Space Administration (NASA); NASA Goddard Space Flight Center; National Aeronautics &amp; Space Administration (NASA); NASA Goddard Space Flight Center; Goddard Institute for Space Studies; Columbia University</t>
  </si>
  <si>
    <t>Steig, EJ (corresponding author), Univ Washington, Dept Earth &amp; Space Sci, Seattle, WA 98195 USA.</t>
  </si>
  <si>
    <t>steig@ess.washington.edu</t>
  </si>
  <si>
    <t>Mann, Michael E/B-8472-2017; IPO, PAGES/JXY-7546-2024; Shindell, Drew/D-4636-2012; /G-9088-2015; Schneider, David/E-2726-2010</t>
  </si>
  <si>
    <t>Mann, Michael E/0000-0003-3067-296X; Shindell, Drew/0000-0003-1552-4715; /0000-0002-8191-5549; Schneider, David/0000-0001-5308-1834</t>
  </si>
  <si>
    <t>US National Science Foundation [OPP-0440414, OPP-0126161, OPP-0125670]; US ITASE</t>
  </si>
  <si>
    <t>US National Science Foundation(National Science Foundation (NSF)); US ITASE</t>
  </si>
  <si>
    <t>E.J.S. and D.P.S. were supported by the US National Science Foundation, grant numbers OPP-0440414 and OPP-0126161, as part of the US ITASE programme. M.E.M. was supported by the US National Science Foundation, grant number OPP-0125670. We thank D. Winebrenner, A. Monaghan, D. Bromwich, J. Turner, P. Mayewski, T. Scambos, E. Bard and O. Bellier.</t>
  </si>
  <si>
    <t>10.1038/nature07669</t>
  </si>
  <si>
    <t>395JA</t>
  </si>
  <si>
    <t>WOS:000262519200042</t>
  </si>
  <si>
    <t>Govin, A; Michel, E; Labeyrie, L; Waelbroeck, C; Dewilde, F; Jansen, E</t>
  </si>
  <si>
    <t>Govin, Aline; Michel, Elisabeth; Labeyrie, Laurent; Waelbroeck, Claire; Dewilde, Fabien; Jansen, Eystein</t>
  </si>
  <si>
    <t>Evidence for northward expansion of Antarctic Bottom Water mass in the Southern Ocean during the last glacial inception</t>
  </si>
  <si>
    <t>DEEP-OCEAN; ATLANTIC; CIRCULATION; SEA; ISOTOPE; SURFACE; TEMPERATURE; RECONSTRUCTION; FLUCTUATIONS; FORAMINIFERA</t>
  </si>
  <si>
    <t>We investigated deep water changes in the Southern Ocean during the last glacial inception, in relationship to surface hydrology and global climatology, to better understand the mechanisms of the establishment of a glacial ocean circulation. Changes in benthic foraminiferal delta C-13 from three high-resolution cores are compared and indicate decoupled intermediate and deep water changes in the Southern Ocean. From the comparison with records from the North Atlantic, South Atlantic, and the Southern Ocean, we show that the early southern deep water delta C-13 drop observed at the MIS 5.5-5.4 transition occurred before any significant reduction of North Atlantic Deep Water ventilation. We propose that this drop is linked to the northward expansion of poorly ventilated Antarctic Bottom Water (AABW) mass in the Southern Ocean. Associated with an early cooling in the high southern latitudes, the westerly winds and surface oceanic fronts would migrate equatorward, thus weakening the upwelling of Circumpolar Deep Waters. Reduced heat brought to Antarctic surface waters would enhance sea ice formation during winters and the deep convection of cold and poorly ventilated AABW.</t>
  </si>
  <si>
    <t>[Govin, Aline; Michel, Elisabeth; Labeyrie, Laurent; Waelbroeck, Claire; Dewilde, Fabien] UVSQ, CEA, CNRS, LSCE,IPSL, F-91190 Gif Sur Yvette, France; [Govin, Aline; Jansen, Eystein] Univ Bergen, Bjerknes Ctr Climate Res, N-5007 Bergen, Norway</t>
  </si>
  <si>
    <t>Universite Paris Cite; Universite Paris Saclay; CEA; Centre National de la Recherche Scientifique (CNRS); Bjerknes Centre for Climate Research; University of Bergen</t>
  </si>
  <si>
    <t>Govin, A (corresponding author), UVSQ, CEA, CNRS, LSCE,IPSL, F-91190 Gif Sur Yvette, France.</t>
  </si>
  <si>
    <t>aline.govin@lsce.ipsl.fr</t>
  </si>
  <si>
    <t>Labeyrie, Laurent Denis/AAV-8405-2021; Govin, Aline/E-6354-2013</t>
  </si>
  <si>
    <t>Labeyrie, Laurent Denis/0000-0002-1554-2449; Govin, Aline/0000-0001-8512-5571; waelbroeck, claire/0000-0002-7256-5727; Michel, Elisabeth/0000-0001-7810-8888</t>
  </si>
  <si>
    <t>PA1202</t>
  </si>
  <si>
    <t>10.1029/2008PA001603</t>
  </si>
  <si>
    <t>398TN</t>
  </si>
  <si>
    <t>WOS:000262754500001</t>
  </si>
  <si>
    <t>Berman, M; Gaillard, JM; Weimerskirch, H</t>
  </si>
  <si>
    <t>Berman, M.; Gaillard, J. -M.; Weimerskirch, H.</t>
  </si>
  <si>
    <t>Contrasted patterns of age-specific reproduction in long-lived seabirds</t>
  </si>
  <si>
    <t>vertebrates; life history; senescence; breeding success; age; Antarctic seabirds</t>
  </si>
  <si>
    <t>LIFE-HISTORY; EVOLUTIONARY-THEORIES; MEASURING SENESCENCE; ANTARCTIC SEABIRD; RATES; BIRD; POPULATION; SUCCESS; VARIABILITY; PERFORMANCE</t>
  </si>
  <si>
    <t>While the number of studies providing evidence of actuarial senescence is increasing, and covers a wide range of taxa, the process of reproductive senescence remains poorly understood. In fact, quite high reproductive output until the last years of life has been reported in several vertebrate species, so that whether or not reproductive senescence is widespread remains unknown. We compared age-specific changes of reproductive parameters between two closely related species of long-lived seabirds: the small-sized snow petrel Pagodroma nivea, and the medium-sized southern fulmar Fulmarus glacialoides. Both are sympatric in Antarctica. We used an exceptional dataset collected over more than 40 years to assess age-specific variations of both breeding probability and breeding success. We found contrasted age-specific reproductive patterns between the two species. Reproductive senescence clearly occurred from 21 years of age onwards in the southern fulmar, in both breeding probability and success, whereas we did not report any decline in the breeding success of the snow petrel, although a very late decrease in the proportion of breeders occurred at 34 years. Such a contrasted age-specific reproductive pattern was rather unexpected. Differences in life history including size or migratory behaviour are the most likely candidates to account for the difference we reported in reproductive senescence between these sympatric seabird species.</t>
  </si>
  <si>
    <t>[Berman, M.; Weimerskirch, H.] CNRS, Ctr Etud Biol Chize, F-79360 Villiers En Bois, Deux Sevres, France; [Gaillard, J. -M.] Univ Lyon 1, Unite Mixte Rech 5558, F-69622 Villeurbanne, France</t>
  </si>
  <si>
    <t>Centre National de la Recherche Scientifique (CNRS); VetAgro Sup; Centre National de la Recherche Scientifique (CNRS); CNRS - Institute of Ecology &amp; Environment (INEE); Universite Claude Bernard Lyon 1</t>
  </si>
  <si>
    <t>Weimerskirch, H (corresponding author), CNRS, Ctr Etud Biol Chize, F-79360 Villiers En Bois, Deux Sevres, France.</t>
  </si>
  <si>
    <t>henriw@cebc.cnrs.fr</t>
  </si>
  <si>
    <t>Weimerskirch, Henri/K-7306-2019; Weimerskirch, Henri/F-5562-2013</t>
  </si>
  <si>
    <t>Weimerskirch, Henri/0000-0002-0457-586X;</t>
  </si>
  <si>
    <t>IPEV; GICC2</t>
  </si>
  <si>
    <t>We thank the wintering fieldworkers involved in the long-term monitoring of both species on Terre Adelie, Antarctica, and Dominique Besson for her help in data management. We also thank Christophe Bonenfant and Fitsum Abadi Gebreselassie for their useful comments, and Myles Menz for improving the English. We are grateful to Owen Jones, Dan Nussey, and an anonymous referee for constructive comments on a previous version of this paper. The long-term study was funded by IPEV, program 109 to Henri Weimerskirch, and supported by the program GICC2.</t>
  </si>
  <si>
    <t>10.1098/rspb.2008.0925</t>
  </si>
  <si>
    <t>388FH</t>
  </si>
  <si>
    <t>WOS:000262005200024</t>
  </si>
  <si>
    <t>Breitsprecher, K; Thorkelson, DJ</t>
  </si>
  <si>
    <t>Breitsprecher, Katrin; Thorkelson, Derek J.</t>
  </si>
  <si>
    <t>Neogene kinematic history of Nazca-Antarctic-Phoenix slab windows beneath Patagonia and the Antarctic Peninsula</t>
  </si>
  <si>
    <t>Fall Meeting of the American-Geophysical-Union</t>
  </si>
  <si>
    <t>DEC 11-15, 2006</t>
  </si>
  <si>
    <t>San Francisco, CA</t>
  </si>
  <si>
    <t>Ridge subduction; Quadruple junction; Trench-ridge-ridge-trench junction; Scotia Basin; Heat flow; Mantle upwelling</t>
  </si>
  <si>
    <t>RIDGE-TRENCH COLLISION; TECTONIC EVOLUTION; TRIPLE JUNCTION; SOUTHERN CHILE; SUBDUCTION HISTORY; VOLCANIC-ROCKS; OCEANIC-CRUST; PLATEAU LAVAS; DRAKE PASSAGE; SCOTIA SEA</t>
  </si>
  <si>
    <t>The Patagonian slab window is a subsurface tectonic feature resulting from subduction of the Nazca-Antarctic spreading-ridge system (Chile Rise) beneath southern South America. The geometry of the slab window had not been rigorously defined, in part because of the complex nature of the history of ridge subduction in the southeast Pacific region, which includes four interrelated spreading-ridge systems since 20 Ma: first, the Nazca-Phoenix ridge beneath South America, then simultaneous subduction of the Nazca-Antarctic and the northern Phoenix-Antarctic spreading-ridge systems beneath South America, and the southern Phoenix-Antarctic spreading-ridge system beneath Antarctica. Spreading-ridge paleo-geographies and rotation poles for all relevant plate pairs (Nazca, Phoenix, Antarctic, South America) are available from 20 Ma onward, and form the mathematical basis of our kinematic reconstruction of the geometry of the Patagonia and Antarctic slab windows through Neogene time. At approximately 18 Ma, the Nazca-Phoenix-Antarctic oceanic (ridge-ridge-ridge) triple junction enters the South American trench; we recognize this condition as an unstable quadruple junction. Heat flow at this junction and for some distance beneath the forearc would be considerably higher than is generally recognized in cases of ridge subduction. From 16 Ma onward, the geometry of the Patagonia slab window developed from the subduction of the trailing arms of the former oceanic triple junction. The majority of the slab window's areal extent and geometry is controlled by the highly oblique (near-parallel) subduction angle of the Nazca-Antarctic ridge system, and by the high contrast in relative convergence rates between these two plates relative to South America. The very slow convergence rate of the Antarctic slab is manifested by the shallow levels achieved by the slab edge (&lt;45 km); thus no point on the Antarctic slab is sufficiently deep to generate normal mantle-derived arc-type magmas. Upwelling beneath the region may have contributed to uplift and eastward transfer of extension in the Scotia Sea. (C) 2008 Elsevier B.V. All rights reserved.</t>
  </si>
  <si>
    <t>[Breitsprecher, Katrin] Univ British Columbia, Dept Earth &amp; Ocean Sci, Vancouver, BC V6T 1Z4, Canada; [Thorkelson, Derek J.] Simon Fraser Univ, Dept Earth Sci, Burnaby, BC V5A 1S6, Canada</t>
  </si>
  <si>
    <t>University of British Columbia; Simon Fraser University</t>
  </si>
  <si>
    <t>Breitsprecher, K (corresponding author), Univ British Columbia, Dept Earth &amp; Ocean Sci, Vancouver, BC V6T 1Z4, Canada.</t>
  </si>
  <si>
    <t>kbreitsp@eos.ubc.ca; dthorkel@sfu.ca</t>
  </si>
  <si>
    <t>JAN 20</t>
  </si>
  <si>
    <t>10.1016/j.tecto.2008.02.013</t>
  </si>
  <si>
    <t>405KA</t>
  </si>
  <si>
    <t>WOS:000263220500003</t>
  </si>
  <si>
    <t>Eagles, G; Gohl, K; Larter, RD</t>
  </si>
  <si>
    <t>Eagles, Graeme; Gohl, Karsten; Larter, Robert D.</t>
  </si>
  <si>
    <t>Animated tectonic reconstruction of the Southern Pacific and alkaline volcanism at its convergent margins since Eocene times</t>
  </si>
  <si>
    <t>Plate kinematics; Subduction; Slab windows; Alkaline volcanism; Antarctica; South America</t>
  </si>
  <si>
    <t>CREST-TRENCH COLLISION; BRANSFIELD STRAIT; RIDGE; HISTORY; MAGMATISM; MIOCENE; EVOLUTION; MOTION</t>
  </si>
  <si>
    <t>An animated reconstruction shows South Pacific plate kinematics, in the reference frame of West Antarctica, between 55 Ma and the present-day. The ocean floor in the region formed due to seafloor spreading between the Antarctic, Pacific, Phoenix and Nazca plates (a plate formed by fragmentation of the Farallon plate early in Oligocene times). The Pacific-Antarctic Ridge remained fairly stable throughout this time, migrating relatively northwestwards, by various mechanisms, behind the rapidly-moving Pacific plate. The Nazca and Phoenix plates also moved quickly, but relatively towards the cast or southeast, and were subducted in these directions beneath the South American and Antarctic plates. Segments of spreading centres forming at the trailing edges of the Nazca and Phoenix plates periodically collided with these subduction zones, resulting in the total destruction of the Nazca Phoenix spreading centre and the partial destruction of the Nazca-Antarctica spreading centre (the Chile Ridge) and Antarctic-Phoenix Ridge, which ceased to operate shortly before its northeasternmost three segments could collide with the Antarctic margin. Following collision of segments of the Chile Ridge, parts of the Antarctic plate underwent subduction at the Chile Trench. After these collisions, slab windows Should have formed beneath both the South American and Antarctic convergent margins, and the animation shows Occurrences of alkaline volcanism that have been, or can newly be, related to them. Further occurrences of alkali basalts, at the margins of the Powell Basin and, more speculatively, James Ross Island, can be related to the formation of a slab window beneath them following the collision of segments of the South America Antarctica spreading centre in the northwest Weddell Sea. (C) 2007 Elsevier B.V. All rights reserved.</t>
  </si>
  <si>
    <t>[Eagles, Graeme] Royal Holloway Univ London, Dept Geol, Egham TW20 0EX, Surrey, England; [Gohl, Karsten] Alfred Wegener Inst Polar &amp; Marine Res, D-27515 Bremerhaven, Germany; [Larter, Robert D.] British Antarctic Survey, Cambridge CB3 0ET, England</t>
  </si>
  <si>
    <t>University of London; Royal Holloway University London; Helmholtz Association; Alfred Wegener Institute, Helmholtz Centre for Polar &amp; Marine Research; UK Research &amp; Innovation (UKRI); Natural Environment Research Council (NERC); NERC British Antarctic Survey</t>
  </si>
  <si>
    <t>Eagles, G (corresponding author), Royal Holloway Univ London, Dept Geol, Egham TW20 0EX, Surrey, England.</t>
  </si>
  <si>
    <t>g.eagles@gl.rhul.ac.uk</t>
  </si>
  <si>
    <t>Larter, Robert/0000-0002-8414-7389; Eagles, Graeme/0000-0001-5325-0810; Gohl, Karsten/0000-0002-9558-2116</t>
  </si>
  <si>
    <t>NERC [bas010018] Funding Source: UKRI; Natural Environment Research Council [bas010018] Funding Source: researchfish</t>
  </si>
  <si>
    <t>10.1016/j.tecto.2007.10.005</t>
  </si>
  <si>
    <t>WOS:000263220500004</t>
  </si>
  <si>
    <t>Lewis, SC; Dyal, LA; Hilburn, CF; Weitz, S; Liau, WS; LaMunyon, CW; Denver, DR</t>
  </si>
  <si>
    <t>Lewis, Samantha C.; Dyal, Leslie A.; Hilburn, Caroline F.; Weitz, Stephanie; Liau, Wei-Siang; LaMunyon, Craig W.; Denver, Dee R.</t>
  </si>
  <si>
    <t>Molecular evolution in Panagrolaimus nematodes: origins of parthenogenesis, hermaphroditism and the Antarctic species P-davidi</t>
  </si>
  <si>
    <t>BMC EVOLUTIONARY BIOLOGY</t>
  </si>
  <si>
    <t>MITOCHONDRIAL GENOME; CRYOPROTECTIVE DEHYDRATION; CAENORHABDITIS-ELEGANS; FREEZING TOLERANCE; COLD TOLERANCE; MUTATION-RATE; PHYLOGENY; CEPHALOBINA; PRISTIONCHUS; DIVERGENCE</t>
  </si>
  <si>
    <t>Background: As exemplified by the famously successful model organism Caenorhabditis elegans, nematodes offer outstanding animal systems for investigating diverse biological phenomena due to their small genome sizes, short generation times and ease of laboratory maintenance. Nematodes in the genus Panagrolaimus have served in comparative development and anhydrobiosis studies, and the Antarctic species P. davidi offers a powerful paradigm for understanding the biological mechanisms of extreme cold tolerance. Panagrolaimus nematodes are also unique in that examples of gonochoristic, hermaphroditic and parthenogenetic reproductive modes have been reported for members of this genus. The evolutionary origins of these varying reproductive modes and the Antarctic species P. davidi, however, remain enigmatic. Results: We collected nuclear ribosomal RNA gene and mitochondrial protein-coding gene sequences from diverse Panagrolaimus species and strains, including newly discovered isolates from Oregon, to investigate phylogenetic relationships in this nematode genus. Nuclear phylogenies showed that the species and strains historically identified as members of Panagrolaimus constitute a paraphyletic group, suggesting that taxonomic revision is required for Panagrolaimus and related nematode lineages. Strain-specific reproductive modes were mapped onto the molecular phylogeny to show a single origin of parthenogenesis from a presumably gonochoristic ancestor. The hermaphroditic strains were all placed outside a major monophyletic clade that contained the majority of other Panagrolaimus nematodes. Phylogenetic analyses of mitochondrial sequences showed that substantial molecular and geographic diversity exists within the clade of parthenogenetic strains. The Antarctic species P. davidi was found to be very closely related to two Panagrolaimus strains from southern California. Phylogenetic and molecular clock analyses suggested that P. davidi and the California strain PS1579 shared a common ancestor in the very recent evolutionary past. Conclusion: Our study provides a phylogenetic framework for understanding the evolutionary origins and diversification patterns of varying reproductive modes within Panagrolaimus and important insights into the origin of the Antarctic species P. davidi. Panagrolaimus offers a powerful nematode model for understanding diverse evolutionary phenomena including the evolution of asexuality and the adaptive evolution of extreme cold tolerance.</t>
  </si>
  <si>
    <t>[Lewis, Samantha C.; Dyal, Leslie A.; Hilburn, Caroline F.; Weitz, Stephanie; Denver, Dee R.] Oregon State Univ, Dept Zool, Corvallis, OR 97331 USA; [Lewis, Samantha C.; Dyal, Leslie A.; Hilburn, Caroline F.; Weitz, Stephanie; Denver, Dee R.] Oregon State Univ, Ctr Genome Res &amp; Biocomp, Corvallis, OR 97331 USA; [Liau, Wei-Siang; LaMunyon, Craig W.] Calif State Polytech Univ Pomona, Dept Biol Sci, Pomona, CA 91768 USA</t>
  </si>
  <si>
    <t>Oregon State University; Oregon State University; California State University System; California State Polytechnic University Pomona</t>
  </si>
  <si>
    <t>Denver, DR (corresponding author), Oregon State Univ, Dept Zool, Corvallis, OR 97331 USA.</t>
  </si>
  <si>
    <t>samantha.lewis@usermail.com; lesliedyal@yahoo.com; hilburnc@onid.orst.edu; weitzs@onid.orst.edu; wliau@csupomona.edu; cwlamunyon@csupomona.edu; denver@cgrb.oregonstate.edu</t>
  </si>
  <si>
    <t>Lewis, Samantha/0000-0001-6306-443X; Liau, Wei-Siang/0000-0001-8547-4712</t>
  </si>
  <si>
    <t>National Institutes of Health [5 S06 GM053933-10]; OSU Undergraduate Research, Innovation, Scholarship Creativity</t>
  </si>
  <si>
    <t>National Institutes of Health(United States Department of Health &amp; Human ServicesNational Institutes of Health (NIH) - USA); OSU Undergraduate Research, Innovation, Scholarship Creativity</t>
  </si>
  <si>
    <t>We thank James G. Baldwin, Ann M. Burnell, Marie-Anne Felix, Einhard Schierenberg, Paul W. Sternberg, David Wharton and the Caenorhabditis Genetics Center for providing nematode strains. Thanks to Bobby Babra and Dana K. Howe for laboratory assistance and helpful conversations, and to Mark Dasenko at the OSU Center for Genome Research and Biocomputing for DNA sequencing assistance. We also thank two anonymous reviewers for their helpful comments. Special thanks to James G. Baldwin and Steven A. Nadler for comments and advice on nematode systematics. This work was supported by the OSU Computational and Genome Biology Initiative startup support to DRD and from the National Institutes of Health (Award 5 S06 GM053933-10) to CWL. CFH is supported by an OSU Undergraduate Research, Innovation, Scholarship &amp; Creativity grant.</t>
  </si>
  <si>
    <t>1471-2148</t>
  </si>
  <si>
    <t>BMC EVOL BIOL</t>
  </si>
  <si>
    <t>BMC Evol. Biol.</t>
  </si>
  <si>
    <t>JAN 16</t>
  </si>
  <si>
    <t>10.1186/1471-2148-9-15</t>
  </si>
  <si>
    <t>Evolutionary Biology; Genetics &amp; Heredity</t>
  </si>
  <si>
    <t>403AY</t>
  </si>
  <si>
    <t>WOS:000263055400001</t>
  </si>
  <si>
    <t>Corsolini, S</t>
  </si>
  <si>
    <t>Corsolini, Simonetta</t>
  </si>
  <si>
    <t>Industrial contaminants in Antarctic biota</t>
  </si>
  <si>
    <t>JOURNAL OF CHROMATOGRAPHY A</t>
  </si>
  <si>
    <t>Antarctica; Southern Ocean; Organisms; Persistent organic pollutants; Emergent POPs; Temporal trend; Bioaccumulation</t>
  </si>
  <si>
    <t>POLYBROMINATED DIPHENYL ETHERS; PERSISTENT ORGANIC POLLUTANTS; LONG-RANGE TRANSPORT; DIBENZO-P-DIOXINS; ORGANOCHLORINE PESTICIDES; ADELIE PENGUINS; ROSS SEA; POLYCHLORINATED-BIPHENYLS; CHLORINATED HYDROCARBONS; WEDDELL SEALS</t>
  </si>
  <si>
    <t>A critical review of the levels and patterns of industrial contaminants in biota from Antarctica and the Southern Ocean revealed that concentrations are low with respect to other regions of the world, although in some specimens/species (e.g. leopard seal, some invertebrates) they are occasionally high and comparable to those found in regions with a strong human impact; the highest levels of persistent organic pollutants (POPs) were detected in the vicinity of scientific stations. Bioconcentration prevails at the lower trophic levels of pelagic food webs, while biomagnification can become the main route of contamination at higher levels. In a benthic food web, biomagnification poses a major risk for organisms that accumulate lipids to overwinter. compared to those that accumulate glycogen. Hexachlorobenzene, DDTs and chlordanes showed similar concentrations and patterns in the 1980s-1990s period in organisms from Western and Eastern Antarctica, while the polychlorinated biphenyls time trend was different in a variety of species from the two regions. (C) 2008 Elsevier B.V. All rights reserved.</t>
  </si>
  <si>
    <t>Univ Siena, Dept Environm Sci G Sarfatti, I-53100 Siena, Italy</t>
  </si>
  <si>
    <t>University of Siena</t>
  </si>
  <si>
    <t>Corsolini, S (corresponding author), Univ Siena, Dept Environm Sci G Sarfatti, Via PA Mattioli 4, I-53100 Siena, Italy.</t>
  </si>
  <si>
    <t>corsolini@unisi.it</t>
  </si>
  <si>
    <t>Corsolini, Simonetta/0000-0002-9772-2362</t>
  </si>
  <si>
    <t>0021-9673</t>
  </si>
  <si>
    <t>1873-3778</t>
  </si>
  <si>
    <t>J CHROMATOGR A</t>
  </si>
  <si>
    <t>J. Chromatogr. A</t>
  </si>
  <si>
    <t>10.1016/j.chroma.2008.08.012</t>
  </si>
  <si>
    <t>Biochemical Research Methods; Chemistry, Analytical</t>
  </si>
  <si>
    <t>398WT</t>
  </si>
  <si>
    <t>WOS:000262762900024</t>
  </si>
  <si>
    <t>Kumar, RR; Gordon, RG</t>
  </si>
  <si>
    <t>Kumar, Ravi R.; Gordon, Richard G.</t>
  </si>
  <si>
    <t>Horizontal thermal contraction of oceanic lithosphere: The ultimate limit to the rigid plate approximation</t>
  </si>
  <si>
    <t>PACIFIC-NORTH-AMERICA; HEAT-FLOW; STRESSES; THICKNESS; TECTONICS; FAULTS; SCALE</t>
  </si>
  <si>
    <t>There is a contradiction between two widely accepted pillars of global tectonics, (1) the central plate tectonic assumption of plate rigidity and (2) the explanation of the relief of the seafloor as being due to lithospheric subsidence from thermal contraction. Here we quantify the rate of predictable horizontal thermal contraction of the lithosphere using depth averages of widely accepted thermal models. Depth-averaged cooling rate, and thus depth-averaged contraction rate, is proportional to t(-1), where t is the age of the lithosphere. Depth-averaged thermal contraction rate of old (i.e., 167 Ma old) lithosphere is 10(-5) Ma(-1) (3 x 10(-19) s(-1)), which is an order of magnitude greater than the average strain rate inferred from seismic moment release. Newly created (i.e., 0.1 Ma old) lithosphere is displaced by thermal contraction toward lithosphere in old ocean basins at a rate that is 1.35% of the half rate of seafloor spreading, giving displacement rates of 0.1 to 1.1 km Ma(-1) (or, equivalently, 0.1 to 1.1 mm a(-1)). Predicted displacement rates parallel to midocean ridges depend strongly on lithospheric age and are proportional to the distance along which contractional strain rates are integrated. Displacement rates can be significant (&gt;= 1 km Ma(-1)) for young lithosphere. In particular the displacement of oceanic lithosphere adjacent to southern Baja California relative to lithosphere near the Pacific-Antarctic Rise has an indicated north-south displacement rate between approximate to 3 and approximate to 10 km Ma(-1). This suggests that global plate motion circuits based on the assumption of plate rigidity may be biased by a substantial velocity.</t>
  </si>
  <si>
    <t>[Kumar, Ravi R.; Gordon, Richard G.] Rice Univ, Dept Earth Sci, Houston, TX 77251 USA</t>
  </si>
  <si>
    <t>Rice University</t>
  </si>
  <si>
    <t>Kumar, RR (corresponding author), Rice Univ, Dept Earth Sci, Mail Stop 126,POB 1892, Houston, TX 77251 USA.</t>
  </si>
  <si>
    <t>National Science Foundation [OCE-0453219]</t>
  </si>
  <si>
    <t>We thank an anonymous reviewer, Norm Sleep, and associate editor Don Forsyth for helpful comments on the manuscript. This work was supported by National Science Foundation grant OCE-0453219.</t>
  </si>
  <si>
    <t>B01403</t>
  </si>
  <si>
    <t>10.1029/2007JB005473</t>
  </si>
  <si>
    <t>396YR</t>
  </si>
  <si>
    <t>WOS:000262629200001</t>
  </si>
  <si>
    <t>Wilson, RW; Millero, FJ; Taylor, JR; Walsh, PJ; Christensen, V; Jennings, S; Grosell, M</t>
  </si>
  <si>
    <t>Wilson, R. W.; Millero, F. J.; Taylor, J. R.; Walsh, P. J.; Christensen, V.; Jennings, S.; Grosell, M.</t>
  </si>
  <si>
    <t>Contribution of Fish to the Marine Inorganic Carbon Cycle</t>
  </si>
  <si>
    <t>INTESTINAL BICARBONATE SECRETION; CALCIUM-CARBONATE; ACID-BASE; OCEAN; DISSOLUTION; ARAGONITE; IMPACT; CO2; SEDIMENTATION; CHEMISTRY</t>
  </si>
  <si>
    <t>Oceanic production of calcium carbonate is conventionally attributed to marine plankton (coccolithophores and foraminifera). Here we report that marine fish produce precipitated carbonates within their intestines and excrete these at high rates. When combined with estimates of global fish biomass, this suggests that marine fish contribute 3 to 15% of total oceanic carbonate production. Fish carbonates have a higher magnesium content and solubility than traditional sources, yielding faster dissolution with depth. This may explain up to a quarter of the increase in titratable alkalinity within 1000 meters of the ocean surface, a controversial phenomenon that has puzzled oceanographers for decades. We also predict that fish carbonate production may rise in response to future environmental changes in carbon dioxide, and thus become an increasingly important component of the inorganic carbon cycle.</t>
  </si>
  <si>
    <t>[Wilson, R. W.] Univ Exeter, Sch Biosci, Exeter EX4 4PS, Devon, England; [Millero, F. J.; Taylor, J. R.; Walsh, P. J.; Grosell, M.] Univ Miami, Rosenstiel Sch Marine &amp; Atmospher Sci, Miami, FL 33149 USA; [Walsh, P. J.] Univ Ottawa, Ottawa, ON K1N 6N5, Canada; [Christensen, V.] Univ British Columbia, Fisheries Ctr, Vancouver, BC V6T 1Z4, Canada; [Jennings, S.] Ctr Environm Fisheries &amp; Aquaculture Sci, Lowestoft, Suffolk, England; [Jennings, S.] Univ E Anglia, Sch Environm Sci, Norwich NR4 7TJ, Norfolk, England</t>
  </si>
  <si>
    <t>University of Exeter; University of Miami; University of Ottawa; University of British Columbia; Centre for Environment Fisheries &amp; Aquaculture Science; University of East Anglia</t>
  </si>
  <si>
    <t>Wilson, RW (corresponding author), Univ Exeter, Sch Biosci, Exeter EX4 4PS, Devon, England.</t>
  </si>
  <si>
    <t>r.w.wilson@ex.ac.uk; fmillero@rsmas.miami.edu; mgrosell@rsmas.miami.edu</t>
  </si>
  <si>
    <t>; Christensen, Villy/C-3945-2009; Jennings, Simon/F-5085-2012</t>
  </si>
  <si>
    <t>Grosell, Martin/0000-0001-6117-8601; Christensen, Villy/0000-0003-0688-2633; Jennings, Simon/0000-0002-2390-7225</t>
  </si>
  <si>
    <t>UK Biotechnology and Biological Sciences Research Council [BB/D005108/1, BB/F009364/1, ISIS 1766]; The Royal Society [RSRG 24241]; Oceanographic Section of the U.S. National Science Foundation; Natural Sciences and Engineering Research Council; Canada and the Canada Research Chair; NSERC; Global Environment Facility's UNEP/UNESCO/IOC (Intergovernmental Oceanographic Commission); LME; The Pew Charitable Trusts; European Commission; UK Department of Environment, Food, and Rural Affairs; NSF [0416440, 0714024, 0743903]; Direct For Biological Sciences; Division Of Integrative Organismal Systems [0416440, 0714024] Funding Source: National Science Foundation; Division Of Ocean Sciences; Directorate For Geosciences [0752972] Funding Source: National Science Foundation; Biotechnology and Biological Sciences Research Council [BB/F009364/1, BB/D005108/1] Funding Source: researchfish; BBSRC [BB/F009364/1] Funding Source: UKRI</t>
  </si>
  <si>
    <t>UK Biotechnology and Biological Sciences Research Council(UK Research &amp; Innovation (UKRI)Biotechnology and Biological Sciences Research Council (BBSRC)); The Royal Society(Royal Society); Oceanographic Section of the U.S. National Science Foundation(National Science Foundation (NSF)); Natural Sciences and Engineering Research Council(Natural Sciences and Engineering Research Council of Canada (NSERC)); Canada and the Canada Research Chair; NSERC(Natural Sciences and Engineering Research Council of Canada (NSERC)); Global Environment Facility's UNEP/UNESCO/IOC (Intergovernmental Oceanographic Commission); LME; The Pew Charitable Trusts; European Commission(European Union (EU)European Commission Joint Research Centre); UK Department of Environment, Food, and Rural Affairs(Department for Environment, Food &amp; Rural Affairs (DEFRA)); NSF(National Science Foundation (NSF)); Direct For Biological Sciences; Division Of Integrative Organismal Systems(National Science Foundation (NSF)NSF - Directorate for Biological Sciences (BIO)NSF - Division of Integrative Organismal Systems (IOS)); Division Of Ocean Sciences; Directorate For Geosciences(National Science Foundation (NSF)NSF - Directorate for Geosciences (GEO)); Biotechnology and Biological Sciences Research Council(UK Research &amp; Innovation (UKRI)Biotechnology and Biological Sciences Research Council (BBSRC)); BBSRC(UK Research &amp; Innovation (UKRI)Biotechnology and Biological Sciences Research Council (BBSRC))</t>
  </si>
  <si>
    <t>R.W.W. acknowledges support from the UK Biotechnology and Biological Sciences Research Council (awards BB/D005108/1 , BB/F009364/1, and ISIS 1766) and The Royal Society (award RSRG 24241). F.J.M. acknowledges the Oceanographic Section of the U.S. National Science Foundation (NSF). P.J.W. is supported by the Natural Sciences and Engineering Research Council (NSERC) of Canada and the Canada Research Chair program. V. C. acknowledges support from NSERC, the Global Environment Facility's UNEP/UNESCO/IOC (Intergovernmental Oceanographic Commission) LME (Large Marine Ecosystem) activities, and from the Sea Around Us Project, initiated and funded by The Pew Charitable Trusts. S.J. thanks the European Commission and the UK Department of Environment, Food, and Rural Affairs for funding support, and A. Clarke (British Antarctic Survey, Cambridge) for providing a compilation of fish oxygen consumption data. M.G. and S.J. are supported by the NSF (awards 0416440, 0714024, and 0743903). We also thank referees for their insightful comments; K. Knapp (School of Physics, University of Exeter) for the fish x-ray images (Fig. 2); R. Walton (University of Warwick, UK) for the powder x-ray diffraction analysis (fig. S1); H. Stoll (Department of Geoscience, Williams College, Williamstown, MA) and A. Pritchard (University of Exeter, Biosciences) for the scanning electron micrographs of sediment trap samples and fish carbonates, respectively (fig. S3); R. Forster (Centre for Environment, Fisheries and Aquaculture Science, Lowestoft) for plotting fig. S4; FishBase (www.fishbase.org) for providing fish species' information; J. Whittamore for preparation of flounder for x-ray imaging; J. Corcoran and C. Cooper for the sheepshead minnow experiments in the Supporting Online Material; and R. van Aerle for assistance with graphical illustrations.</t>
  </si>
  <si>
    <t>10.1126/science.1157972</t>
  </si>
  <si>
    <t>394VP</t>
  </si>
  <si>
    <t>WOS:000262481400032</t>
  </si>
  <si>
    <t>Kawamoto, J; Kurihara, T; Yamamoto, K; Nagayasu, M; Tani, Y; Mihara, H; Hosokawa, M; Baba, T; Sato, SB; Esaki, N</t>
  </si>
  <si>
    <t>Kawamoto, Jun; Kurihara, Tatsuo; Yamamoto, Kentaro; Nagayasu, Makiko; Tani, Yasushi; Mihara, Hisaaki; Hosokawa, Masashi; Baba, Takeshi; Sato, Satoshi B.; Esaki, Nobuyoshi</t>
  </si>
  <si>
    <t>Eicosapentaenoic Acid Plays a Beneficial Role in Membrane Organization and Cell Division of a Cold-Adapted Bacterium, Shewanella livingstonensis Ac10</t>
  </si>
  <si>
    <t>POLYUNSATURATED FATTY-ACIDS; ESCHERICHIA-COLI; DOCOSAHEXAENOIC ACID; SP-NOV.; PROTEIN; IDENTIFICATION; BIOSYNTHESIS; ONEIDENSIS; STRESS</t>
  </si>
  <si>
    <t>Shewanella livingstonensis Ac10, a psychrotrophic gram-negative bacterium isolated from Antarctic seawater, produces eicosapentaenoic acid (EPA) as a component of phospholipids at low temperatures. EPA constitutes about 5% of the total fatty acids of cells grown at 4 degrees C. We found that five genes, termed orf2, orf5, orf6, orf7, and orf8, are specifically required for the synthesis of EPA by targeted disruption of the respective genes. The mutants lacking EPA showed significant growth retardation at 4 degrees C but not at 18 degrees C. Supplementation of a synthetic phosphatidylethanolamine that contained EPA at the sn-2 position complemented the growth defect. The EPA-less mutant became filamentous, and multiple nucleoids were observed in a single cell at 4 degrees C, indicating that the mutant has a defect in cell division. Electron microscopy of the cells by high-pressure freezing and freeze-substitution revealed abnormal intracellular membranes in the EPA-less mutant at 4 degrees C. We also found that the amounts of several membrane proteins were affected by the depletion of EPA. While polyunsaturated fatty acids are often considered to increase the fluidity of the hydrophobic membrane core, diffusion of a small hydrophobic molecule, pyrene, in the cell membranes and large unilamellar vesicles prepared from the lipid extracts was very similar between the EPA-less mutant and the parental strain. These results suggest that EPA in S. livingstonensis Ac10 is not required for bulk bilayer fluidity but plays a beneficial role in membrane organization and cell division at low temperatures, possibly through specific interaction between EPA and proteins involved in these cellular processes.</t>
  </si>
  <si>
    <t>[Kawamoto, Jun; Kurihara, Tatsuo; Yamamoto, Kentaro; Nagayasu, Makiko; Tani, Yasushi; Mihara, Hisaaki; Esaki, Nobuyoshi] Kyoto Univ, Inst Chem Res, Kyoto 6110011, Japan; [Hosokawa, Masashi] Hokkaido Univ, Fac Fisheries Sci, Hakodate, Hokkaido 0418611, Japan; [Baba, Takeshi] Ibaraki Prefectural Univ Hlth Sci, Ibaraki 3000394, Japan; [Sato, Satoshi B.] Kyoto Univ, Res Ctr Low Temp &amp; Mat Sci, Kyoto 6068501, Japan</t>
  </si>
  <si>
    <t>Kyoto University; Hokkaido University; Kyoto University</t>
  </si>
  <si>
    <t>Kurihara, T (corresponding author), Kyoto Univ, Inst Chem Res, Kyoto 6110011, Japan.</t>
  </si>
  <si>
    <t>kurihara@scl.kyoto-u.ac.jp; esakin@scl.kyoto-u.ac.jp</t>
  </si>
  <si>
    <t>Mihara, Hisaaki/F-2172-2010; Kurihara, Tatsuo/ACX-5827-2022; Hosokawa, Masashi/C-3024-2008</t>
  </si>
  <si>
    <t>Hosokawa, Masashi/0000-0003-1755-3173; Kawamoto, Jun/0000-0002-5025-5613; Mihara, Hisaaki/0000-0002-5153-4403</t>
  </si>
  <si>
    <t>Global COE program Integrated Materials Science [B-09]; JSPS [17404021, 19404020]; JST; Grants-in-Aid for Scientific Research [21405038, 17404021, 19404020] Funding Source: KAKEN</t>
  </si>
  <si>
    <t>Global COE program Integrated Materials Science(Ministry of Education, Culture, Sports, Science and Technology, Japan (MEXT)); JSPS(Ministry of Education, Culture, Sports, Science and Technology, Japan (MEXT)Japan Society for the Promotion of Science); JST(Japan Science &amp; Technology Agency (JST)); Grants-in-Aid for Scientific Research(Ministry of Education, Culture, Sports, Science and Technology, Japan (MEXT)Japan Society for the Promotion of ScienceGrants-in-Aid for Scientific Research (KAKENHI))</t>
  </si>
  <si>
    <t>This work was supported in part by the Global COE program Integrated Materials Science (B-09) (to N.E.), Grants-in-Aid for Scientific Research (B) 17404021 and 19404020 from JSPS (to T. K.), and a grant for Research for Promoting Technological Seeds from JST (to T. K.).</t>
  </si>
  <si>
    <t>JAN 15</t>
  </si>
  <si>
    <t>10.1128/JB.00881-08</t>
  </si>
  <si>
    <t>389TP</t>
  </si>
  <si>
    <t>WOS:000262117700020</t>
  </si>
  <si>
    <t>Giogios, I; Grigorakis, K; Nengas, I; Papasolomontos, S; Papaioannou, N; Alexis, MN</t>
  </si>
  <si>
    <t>Giogios, Ioannis; Grigorakis, Kriton; Nengas, Ioannis; Papasolomontos, Sotiris; Papaioannou, Nikos; Alexis, Maria N.</t>
  </si>
  <si>
    <t>Fatty acid composition and volatile compounds of selected marine oils and meals</t>
  </si>
  <si>
    <t>JOURNAL OF THE SCIENCE OF FOOD AND AGRICULTURE</t>
  </si>
  <si>
    <t>marine raw materials; flavour; aroma compounds; traceability</t>
  </si>
  <si>
    <t>BREAM SPARUS-AURATA; CHROMATOGRAPHY-MASS-SPECTROMETRY; SARDINE SARDINA-PILCHARDUS; CLUPEA-HARENGUS-MEMBRAS; SALMON SALMO-SALAR; FISH-OIL; MEGANYCTIPHANES-NORVEGICA; DOCOSAHEXAENOIC ACID; LIPID-COMPOSITION; AROMA COMPOUNDS</t>
  </si>
  <si>
    <t>BACKGROUND: Although volatile compounds characterising seafood have been studied extensively, no similar data are available regarding the volatiles of raw materials used in fish feed. Therefore the aim of this study was to make an initial screening of the volatiles of various common marine raw materials used in the aquaculture feed industry. Nine commercial marine oils (German (GFO1, GFO2 and GFO3) and Norwegian (NFO) fish oils and salmon (SO1 and SO2), tuna (TO), sardine (SRDO) and shrimp (SHO) oils) and eight commercial marine meals (Peruvian (PFM1 and PFM2), Danish (DFM1 and DFM2) and prime quality (PQFM1 and PQFM2) fish meals and Antarctic krill meals (KM1 and KM2)) were analysed for their fatty acid profiles and volatile flavour compounds. The relation between fatty acids and volatiles was examined. RESULTS: The highest polyunsaturated fatty acid and eicosapentaenoic acid (20:5 omega 3) contents and omega 3/omega 6 ratio were found in NFO. The fatty acid composition of all marine meals except krill meals was found to be more variable among batches than that of marine oils. Regarding volatiles, all marine raw materials were characterised by the complete absence or negligible levels of eight- and nine-carbon alcohols and carbonyls. All marine oils were found to have high 2-ethyl furan, 2-methylenebutyl cyclopropane, hexanal, 2,4-octadiene and 3,5-octadiene contents. Marine meals, unlike marine oils, were characterised by the almost complete absence of unsaturated and cyclic hydrocarbons and terpenes and very low levels of furans. CONCLUSION: Volatiles of marine meals differ from those of marine oils. Unlike fatty acids which give useful traceability information, volatiles seem to fail in this role owing to their strong variability. 2008 Society of Chemical Industry</t>
  </si>
  <si>
    <t>[Giogios, Ioannis; Grigorakis, Kriton; Nengas, Ioannis; Alexis, Maria N.] Hellen Ctr Marine Res, GR-16777 Athens, Greece; [Papasolomontos, Sotiris; Papaioannou, Nikos] KEGO SA, GR-34600 Artaki, Greece</t>
  </si>
  <si>
    <t>Hellenic Centre for Marine Research</t>
  </si>
  <si>
    <t>Grigorakis, K (corresponding author), Hellen Ctr Marine Res, GR-16777 Athens, Greece.</t>
  </si>
  <si>
    <t>kgrigo@ath.hcmr.gr</t>
  </si>
  <si>
    <t>Grigorakis, Kriton/H-6321-2019</t>
  </si>
  <si>
    <t>Grigorakis, Kriton/0000-0002-3367-7160</t>
  </si>
  <si>
    <t>European Regional Development Fund (ERDF); Region of Ionian Islands; General Secretariat of Research and Technology (GSRT)</t>
  </si>
  <si>
    <t>European Regional Development Fund (ERDF)(European Union (EU)); Region of Ionian Islands; General Secretariat of Research and Technology (GSRT)(Greek Ministry of Development-GSRT)</t>
  </si>
  <si>
    <t>This work was carried out within the framework of the operational programme PEP lonion Nison and co-funded by the European Regional Development Fund (ERDF) and the Region of Ionian Islands with final holder the General Secretariat of Research and Technology (GSRT). The authors wish to thank Dr. J. Haralabous for his valuable suggestions regarding statistical evaluation of the results.</t>
  </si>
  <si>
    <t>0022-5142</t>
  </si>
  <si>
    <t>1097-0010</t>
  </si>
  <si>
    <t>J SCI FOOD AGR</t>
  </si>
  <si>
    <t>J. Sci. Food Agric.</t>
  </si>
  <si>
    <t>10.1002/jsfa.3414</t>
  </si>
  <si>
    <t>Agriculture, Multidisciplinary; Chemistry, Applied; Food Science &amp; Technology</t>
  </si>
  <si>
    <t>Agriculture; Chemistry; Food Science &amp; Technology</t>
  </si>
  <si>
    <t>384VY</t>
  </si>
  <si>
    <t>WOS:000261773500012</t>
  </si>
  <si>
    <t>Heupel, MR; Williams, AJ; Welch, DJ; Ballagh, A; Mapstone, BD; Carlos, G; Davies, C; Simpfendorfer, CA</t>
  </si>
  <si>
    <t>Heupel, M. R.; Williams, A. J.; Welch, D. J.; Ballagh, A.; Mapstone, B. D.; Carlos, G.; Davies, C.; Simpfendorfer, C. A.</t>
  </si>
  <si>
    <t>Effects of fishing on tropical reef associated shark populations on the Great Barrier Reef</t>
  </si>
  <si>
    <t>Coral reef fishery; Reefshark; Carcharhinus; Effects of fishing; Logbook; Bycatch</t>
  </si>
  <si>
    <t>MARINE PROTECTED AREAS; ATLANTIC-OCEAN; CARCHARHINUS-AMBLYRHYNCHOS; NORTHWEST ATLANTIC; HAWAIIAN-ISLANDS; FISHERY; AUSTRALIA; COLLAPSE; ATTACKS; CAUGHT</t>
  </si>
  <si>
    <t>Three data sets were examined to define the level of interaction of reef associated sharks with the commercial Coral Reef Fin Fish Fishery within the Great Barrier Reef (GBR). Data were examined from fishery logbooks, an observer program within the fishery and a fishery-independent survey conducted as part of the Effects of Line Fishing (ELF) Experiment. The majority of the identified catch was comprised of grey reef (62-72%), whitetip reef (16-29%) and blacktip reef (6-13%) sharks. Logbook data revealed spatially and temporally variable landings of shark from the GBR. Catch per unit effort (CPUE) through time was stable for the period from 1989 to 2006 with no evidence of increase or decline. Data from observer and ELF data sets indicated no differences in CPUE among regions. The ELF data set demonstrated that CPUE was higher in Marine National Park zones (no fishing) when compared to General Use zones (open to fishing). The ongoing and consistent catches of reef sharks in the fishery and effectiveness of no-fishing zones suggest that management zones within the GBR Marine Park are effective at protecting a portion of the reef shark population from exploitation. (C) 2008 Elsevier B.V. All rights reserved.</t>
  </si>
  <si>
    <t>[Heupel, M. R.; Williams, A. J.; Welch, D. J.; Ballagh, A.; Simpfendorfer, C. A.] James Cook Univ, Sch Earth &amp; Environm Sci, Fishing &amp; Fisheries Res Ctr, Townsville, Qld 4811, Australia; [Welch, D. J.] Queensland Dept Primary Ind &amp; Fisheries, Oonoonba, Qld 4811, Australia; [Mapstone, B. D.] Univ Tasmania, Antarctic Climate &amp; Ecosyst Cooperat Res Ctr, Hobart, Tas 7001, Australia; [Carlos, G.] Univ Tasmania, Tasmanian Aquaculture &amp; Fisheries Inst, Hobart, Tas 7001, Australia; [Davies, C.] Commonwealth Sci &amp; Ind Res Org, Marine &amp; Atmospher Div, Hobart, Tas 7001, Australia</t>
  </si>
  <si>
    <t>James Cook University; Queensland Department of Agriculture &amp; Fisheries; University of Tasmania; Antarctic Climate &amp; Ecosystems Cooperative Research Centre (ACE CRC); University of Tasmania; Commonwealth Scientific &amp; Industrial Research Organisation (CSIRO)</t>
  </si>
  <si>
    <t>Heupel, MR (corresponding author), James Cook Univ, Sch Earth &amp; Environm Sci, Fishing &amp; Fisheries Res Ctr, Townsville, Qld 4811, Australia.</t>
  </si>
  <si>
    <t>michelle.heupel@jcu.edu.au</t>
  </si>
  <si>
    <t>Davies, Campbell R/N-8086-2013; Williams, Ashley/JAX-9689-2023; Williams, Ashley/ABA-5921-2020; Simpfendorfer, Colin A/G-9681-2011; Williams, Ashley J/J-7565-2013; Williams, Ashley/G-2017-2014; Ballagh, Aaron/E-4267-2010</t>
  </si>
  <si>
    <t>Williams, Ashley/0000-0002-5530-0073; Williams, Ashley/0000-0002-5530-0073; Heupel, Michelle/0000-0002-8245-7332; Ballagh, Aaron/0000-0002-8040-7788</t>
  </si>
  <si>
    <t>JAN 14</t>
  </si>
  <si>
    <t>10.1016/j.fishres.2008.10.005</t>
  </si>
  <si>
    <t>393DE</t>
  </si>
  <si>
    <t>WOS:000262350300025</t>
  </si>
  <si>
    <t>Biswas, T; Coleman, CO; Hendrycks, EA</t>
  </si>
  <si>
    <t>Biswas, Tapati; Coleman, Charles Oliver; Hendrycks, Ed A.</t>
  </si>
  <si>
    <t>Andeepia ingridae a new genus and species of Pardaliscidae (Crustacea, Amphipoda) from the Antarctic deep-sea and short redescription of Nicippe unidentata KH Barnard, 1932</t>
  </si>
  <si>
    <t>Taxonomy; Amphipoda; Andeepia gen. n.; Andeepia ingridae sp n.; Pardaliscidae; Nicippe unidentata; new species; deep-sea; Antarctic</t>
  </si>
  <si>
    <t>CAVE WATERS; ISLANDS</t>
  </si>
  <si>
    <t>The new genus and species Andeepia ingridae is described. The main features of this taxon are: urosomite 2 with middorsal tooth; massive propodi of gnathopods 1-2; carpus of gnathopod 1 short, weakly lobate and half the length of that of gnathopod 2; dactylus of gnathopod 2 with distinct dentition on the inner margin; dactylus of gnathopod 1 smooth, lacking dentition, but in the cuticle with faint trace of embedded teeth and reduced setation on pereopods and uropods. The related southern ocean pardaliscid, Nicippe unidentata K.H. Barnard, 1932 is also re-described and illustrated for the first time from the type material.</t>
  </si>
  <si>
    <t>[Biswas, Tapati; Coleman, Charles Oliver] Inst Syst Zool, Museum Nat, D-10115 Berlin, Germany; [Hendrycks, Ed A.] Canadian Museum Nat, Res Serv, Ottawa, ON K1P 6P4, Canada</t>
  </si>
  <si>
    <t>Coleman, CO (corresponding author), Inst Syst Zool, Museum Nat, Invalidenstr 43, D-10115 Berlin, Germany.</t>
  </si>
  <si>
    <t>tapati@zedat.fu-berlin.de; oliver.coleman@museum.hu-berlin.de; ehendrycks@mus-nature.ca</t>
  </si>
  <si>
    <t>10.11646/zootaxa.1997.1.2</t>
  </si>
  <si>
    <t>396ZQ</t>
  </si>
  <si>
    <t>WOS:000262631900002</t>
  </si>
  <si>
    <t>Simmonds, I; Lim, EP</t>
  </si>
  <si>
    <t>Simmonds, Ian; Lim, Eun-Pa</t>
  </si>
  <si>
    <t>Biases in the calculation of Southern Hemisphere mean baroclinic eddy growth rate</t>
  </si>
  <si>
    <t>WINTER STORM TRACK; ANTARCTIC SEA-ICE; CYCLONE BEHAVIOR; REANALYSIS; CLIMATOLOGY; OSCILLATION; VARIABILITY; CIRCULATION; INSTABILITY; FLUXES</t>
  </si>
  <si>
    <t>The maximum Eady growth rate measure of baroclinic instability is very commonly used in the literature. Its average is usually calculated directly from the time-mean flow. It is suggested here that this approach is not entirely suitable, but rather one should obtain the Eady growth rates at all relevant synoptic times and average these. It is found at the 850 hPa level in the Southern Hemisphere that the time-mean of the instantaneous rates exceed those calculated from the time-mean field over much of the mid and high latitudes, and the difference is even more marked at 500 hPa. At both levels the axes of the maxima Eady growth rates are displaced to the south. Some implications are discussed, including the need for caution when diagnosing changes in cyclone properties from changes in Eady growth rate calculated directly from the time-mean flow in climate change model simulations. Citation: Simmonds, I., and E.-P. Lim (2009), Biases in the calculation of Southern Hemisphere mean baroclinic eddy growth rate, Geophys. Res. Lett., 36, L01707, doi:10.1029/2008GL036320.</t>
  </si>
  <si>
    <t>[Simmonds, Ian] Univ Melbourne, Sch Earth Sci, Melbourne, Vic 3010, Australia; [Lim, Eun-Pa] Ctr Australian Weather &amp; Climate Res, Bur Meteorol, Melbourne, Vic 3010, Australia</t>
  </si>
  <si>
    <t>University of Melbourne; Melbourne Bioinformatics; Bureau of Meteorology - Australia; Commonwealth Scientific &amp; Industrial Research Organisation (CSIRO)</t>
  </si>
  <si>
    <t>Simmonds, I (corresponding author), Univ Melbourne, Sch Earth Sci, Melbourne, Vic 3010, Australia.</t>
  </si>
  <si>
    <t>simmonds@unimelb.edu.au</t>
  </si>
  <si>
    <t>Simmonds, Ian/0000-0002-4479-3255; Lim, Eun-Pa/0000-0001-8273-5358</t>
  </si>
  <si>
    <t>JAN 13</t>
  </si>
  <si>
    <t>L01707</t>
  </si>
  <si>
    <t>10.1029/2008GL036320</t>
  </si>
  <si>
    <t>396YD</t>
  </si>
  <si>
    <t>WOS:000262627800006</t>
  </si>
  <si>
    <t>Lunt, DJ; Haywood, AM; Foster, GL; Stone, EJ</t>
  </si>
  <si>
    <t>Lunt, Daniel J.; Haywood, Alan M.; Foster, Gavin L.; Stone, Emma J.</t>
  </si>
  <si>
    <t>The Arctic cryosphere in the Mid-Pliocene and the future</t>
  </si>
  <si>
    <t>PHILOSOPHICAL TRANSACTIONS OF THE ROYAL SOCIETY A-MATHEMATICAL PHYSICAL AND ENGINEERING SCIENCES</t>
  </si>
  <si>
    <t>Pliocene; ice sheets; cryosphere; Greenland; palaeoclimate</t>
  </si>
  <si>
    <t>GREENLAND ICE-SHEET; COUPLED MODEL; CLIMATE; CO2; GLACIATION; SIMULATION; VEGETATION; ATLANTIC; NEOGENE; WARMTH</t>
  </si>
  <si>
    <t>The Mid-Pliocene (ca 3 Myr ago) was a relatively warm period, with increased atmospheric CO2 relative to pre-industrial. It has therefore been highlighted as a possible palaeo-analogue for the future. However, changed vegetation patterns, orography and smaller ice sheets also influenced the Mid-Pliocene climate. Here, using a general circulation model and ice-sheet model, we determine the relative contribution of vegetation and soils, orography and ice, and CO2 to the Mid-Pliocene Arctic climate and cryosphere. Compared with pre-industrial, we find that increased Mid-Pliocene CO2 contributes 35 per cent, lower orography and ice-sheet feedbacks contribute 42 per cent, and vegetation changes contribute 23 per cent of Arctic temperature change. The simulated Mid-Pliocene Greenland ice sheet is substantially smaller than that of modern, mostly due to the higher CO2. However, our simulations of future climate change indicate that the same increase in CO2 is not sufficient to melt the modern ice sheet substantially. We conclude that, although the Mid-Pliocene resembles the future in some respects, care must be taken when interpreting it as an exact analogue due to vegetation and ice-sheet feedbacks. These act to intensify Mid-Pliocene Arctic climate change, and act on a longer time scale than the century scale usually addressed in future climate prediction.</t>
  </si>
  <si>
    <t>[Lunt, Daniel J.; Stone, Emma J.] Univ Bristol, Sch Geog Sci, BRIDGE, Bristol BS8 1SS, Avon, England; [Lunt, Daniel J.] British Antarctic Survey, Geol Sci Div, Cambridge CB3 0ET, England; [Haywood, Alan M.] Univ Leeds, Sch Earth &amp; Environm, Leeds LS2 9JT, W Yorkshire, England; [Foster, Gavin L.] Univ Bristol, Dept Earth Sci, Bristol Isotope Grp, Bristol BS8 1RJ, Avon, England</t>
  </si>
  <si>
    <t>University of Bristol; UK Research &amp; Innovation (UKRI); Natural Environment Research Council (NERC); NERC British Antarctic Survey; University of Leeds; University of Bristol</t>
  </si>
  <si>
    <t>Lunt, DJ (corresponding author), Univ Bristol, Sch Geog Sci, BRIDGE, Univ Rd, Bristol BS8 1SS, Avon, England.</t>
  </si>
  <si>
    <t>d.j.lunt@bristol.ac.uk</t>
  </si>
  <si>
    <t>Stone, Emma J/H-9549-2012; Foster, Gavin/CAF-4654-2022; Foster, Gavin/W-5968-2019; Lunt, Daniel/G-9451-2011</t>
  </si>
  <si>
    <t>Stone, Emma J/0000-0002-8633-8074; Foster, Gavin/0000-0003-3688-9668; Lunt, Daniel/0000-0003-3585-6928</t>
  </si>
  <si>
    <t>BAS and RCUK; NERC; NERC [bas010019] Funding Source: UKRI; Natural Environment Research Council [bas010019] Funding Source: researchfish</t>
  </si>
  <si>
    <t>BAS and RCUK;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</si>
  <si>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carried out in the framework of the British Antarctic Survey GEACEP (Greenhouse to ice house: Evolution of the Antarctic Cryosphere and Palaeoenvironment) programme. D. J. L. is funded by BAS and RCUK fellowships. G. L. F. is funded by a NERC research fellowship. E. J. S. is funded by a NERC studentship. The authors would like to thank Stephen Price, Los Alamos National Laboratory, USA, for discussions about ice-sheet modelling.</t>
  </si>
  <si>
    <t>1364-503X</t>
  </si>
  <si>
    <t>1471-2962</t>
  </si>
  <si>
    <t>PHILOS T R SOC A</t>
  </si>
  <si>
    <t>Philos. Trans. R. Soc. A-Math. Phys. Eng. Sci.</t>
  </si>
  <si>
    <t>10.1098/rsta.2008.0218</t>
  </si>
  <si>
    <t>375YW</t>
  </si>
  <si>
    <t>WOS:000261150700004</t>
  </si>
  <si>
    <t>Bonham, SG; Haywood, AM; Lunt, DJ; Collins, M; Salzmann, U</t>
  </si>
  <si>
    <t>Bonham, Sarah G.; Haywood, Alan M.; Lunt, Daniel J.; Collins, Mathew; Salzmann, Ulrich</t>
  </si>
  <si>
    <t>El Nino-Southern Oscillation, Pliocene climate and equifinality</t>
  </si>
  <si>
    <t>Pliocene; El Nino; El Nino-Southern Oscillation; teleconnections; climate models; equifinality</t>
  </si>
  <si>
    <t>CENTER COUPLED MODEL; NORTH-ATLANTIC OCEAN; SNAKE RIVER PLAIN; LA-NINA; PLEISTOCENE; RECORD; SEA; RECONSTRUCTION; PRECIPITATION; CIRCULATION</t>
  </si>
  <si>
    <t>It has been suggested that, during the Pliocene (ca 5 1.8 Ma), an El Nino state existed as a permanent rather than an intermittent feature; that is, the tropical Pacific Ocean was characterized by a much weaker east-west gradient than today. One line of inquiry used to investigate this idea relates modern El Nino teleconnections to Pliocene proxy data by comparing regional differences in precipitation and surface temperature with climate patterns associated with present-day El Nino events, assuming that agreement between Pliocene data and observations of modern El Nino events supports this interpretation. Here, we examine this assumption by comparing outputs from a suite of Mid-Pliocene climate simulations carried out with the UK Met Office climate model. Regional patterns of climate change associated with changes in model boundary conditions are compared with observed El Nino-Southern Oscillation teleconnection patterns. Our results indicate that many of the proposed 'permanent El Nino' surface temperature and precipitation patterns are observable in Mid-Pliocene climate simulations even when they display variability in tropical Pacific sea surface temperatures (SSTs) or when forced with a modern east west SST gradient. Our experiments highlight the possibility that the same outcome may be achieved through different initial conditions (equifinality); an important consideration for reconstructed patterns of regional Mid-Pliocene climate.</t>
  </si>
  <si>
    <t>[Bonham, Sarah G.; Haywood, Alan M.] Univ Leeds, Sch Earth &amp; Environm, Leeds LS2 9JT, W Yorkshire, England; [Lunt, Daniel J.] Univ Bristol, Sch Geog Sci, Bristol BS8 1SS, Avon, England; [Lunt, Daniel J.; Salzmann, Ulrich] British Antarctic Survey, Geol Sci Div, Cambridge CB3 0ET, England; [Collins, Mathew] Hadley Ctr, Met Off, Exeter EX1 3PB, Devon, England</t>
  </si>
  <si>
    <t>University of Leeds; University of Bristol; UK Research &amp; Innovation (UKRI); Natural Environment Research Council (NERC); NERC British Antarctic Survey; Met Office - UK; Hadley Centre</t>
  </si>
  <si>
    <t>Bonham, SG (corresponding author), Univ Leeds, Sch Earth &amp; Environm, Leeds LS2 9JT, W Yorkshire, England.</t>
  </si>
  <si>
    <t>s.bonham@leeds.ac.uk</t>
  </si>
  <si>
    <t>Salzmann, Ulrich/H-9929-2017; Collins, Matthew/F-8473-2011; Lunt, Daniel/G-9451-2011</t>
  </si>
  <si>
    <t>Salzmann, Ulrich/0000-0001-5598-5327; Collins, Matthew/0000-0003-3785-6008; Lunt, Daniel/0000-0003-3585-6928</t>
  </si>
  <si>
    <t>The Natural Environment Research Council [NE/F008309/1]; BAS; UK Department of the Environment, Food and Rural Affairs [PECD/7/12/37]; Natural Environment Research Council [bas010019] Funding Source: researchfish; NERC [bas010019] Funding Source: UKRI</t>
  </si>
  <si>
    <t>The Natural Environment Research Council(UK Research &amp; Innovation (UKRI)Natural Environment Research Council (NERC)); BAS; UK Department of the Environment, Food and Rural Affairs(Department for Environment, Food &amp; Rural Affairs (DEFRA)); Natural Environment Research Council(UK Research &amp; Innovation (UKRI)Natural Environment Research Council (NERC)); NERC(UK Research &amp; Innovation (UKRI)Natural Environment Research Council (NERC))</t>
  </si>
  <si>
    <t>The Natural Environment Research Council is acknowledged for its support to S. G. B., A. M. H. and U. S. (NERC studentship grant held by S. B. NE/F008309/1). D. J. L. is jointly funded by BAS and is currently a NERC/RCUK research fellow, and acknowledges their support. M. C. was supported by the UK Department of the Environment, Food and Rural Affairs under contract PECD/7/12/37. This paper is a contribution to the British Antarctic Survey's GEACEP programme (Greenhouse to Ice-house: Evolution of the Antarctic Cryosphere and Palaeoenvironment).</t>
  </si>
  <si>
    <t>10.1098/rsta.2008.0212</t>
  </si>
  <si>
    <t>WOS:000261150700008</t>
  </si>
  <si>
    <t>Dwyer, GS; Chandler, MA</t>
  </si>
  <si>
    <t>Dwyer, Gary S.; Chandler, Mark A.</t>
  </si>
  <si>
    <t>Mid-Pliocene sea level and continental ice volume based on coupled benthic Mg/Ca palaeotemperatures and oxygen isotopes</t>
  </si>
  <si>
    <t>Pliocene; sea level; ice volume; Mg/Ca; global warming</t>
  </si>
  <si>
    <t>ATLANTIC; TEMPERATURE; RECORDS</t>
  </si>
  <si>
    <t>Ostracode magnesium/calcium (Mg/Ca)-based bottom-water temperatures were combined with benthic foraminiferal oxygen isotopes in order to quantify the oxygen isotopic composition of seawater, and estimate continental ice volume and sea-level variability during the Mid-Pliocene warm period, ca 3.3 3.0 Ma. Results indicate that, following a low stand of approximately 65 m below present at marine isotope stage (MIS) M2 (ca 3.3 Ma), sea level generally fluctuated by 20 30 m above and below a mean value similar to present-day sea level. In addition to the low-stand event at MIS M2, significant low stands occurred at MIS KM2 (-40 m), G22 (-40 m) and G16 (-60 m). Six high stands of + 10 m or more above present day were also observed; four events (+10, +25, +15 and +30 m) from MIS M1 to KM3, a high stand of +15 m at MIS K1, and a high stand of +25 m at MIS G17. These results indicate that continental ice volume varied significantly during the Mid-Pliocene warm period and that at times there were considerable reductions of Antarctic ice.</t>
  </si>
  <si>
    <t>[Dwyer, Gary S.] Duke Univ, Nicholas Sch Environm, Div Earth &amp; Ocean Sci, Durham, NC 27708 USA; [Chandler, Mark A.] Columbia Univ, NASA, GISS, New York, NY 10025 USA</t>
  </si>
  <si>
    <t>Duke University; National Aeronautics &amp; Space Administration (NASA); NASA Goddard Space Flight Center; Goddard Institute for Space Studies; Columbia University</t>
  </si>
  <si>
    <t>Dwyer, GS (corresponding author), Duke Univ, Nicholas Sch Environm, Div Earth &amp; Ocean Sci, Durham, NC 27708 USA.</t>
  </si>
  <si>
    <t>gary.dwyer@duke.edu</t>
  </si>
  <si>
    <t>NSF [0323276, 0323516, 0214400]; NASA's climate program; Directorate For Geosciences; Div Atmospheric &amp; Geospace Sciences [0323276, 0323516, 0214400] Funding Source: National Science Foundation</t>
  </si>
  <si>
    <t>NSF(National Science Foundation (NSF)); NASA's climate program(National Aeronautics &amp; Space Administration (NASA)); Directorate For Geosciences; Div Atmospheric &amp; Geospace Sciences(National Science Foundation (NSF)NSF - Directorate for Geosciences (GEO))</t>
  </si>
  <si>
    <t>We are grateful to J. E. Repetski and G. L. Wingard for their comments on an earlier version of the manuscript, and to Emily Klein for access to The Duke University DCP-OES. We are also grateful to Tom Cronin for help with sampling of cores from Sites 925 and 926, and for countless, fruitful discussions regarding the Mid-Pliocene warm period, ostracode Mg/Ca palaeothermometry, and for the comments on an earlier version of the manuscript. We thank Mark Williams and an anonymous reviewer for their thoughtful and constructive reviews that improved the manuscript. Last, but certainly not least, we thank Alan Haywood for organizing the volume and his editorial patience. The samples analysed in this study were provided courtesy of the Ocean Drilling Program; we thank Gar Esmay and Walter Hale for assistance with logistics and sampling at ODP (IODP) facilities in New York and Bremen, Germany, respectively. G. S. D. was supported by NSF grant 0323276; M. A. C. was funded by NSF grants 0323516 and 0214400, and NASA's climate program.</t>
  </si>
  <si>
    <t>10.1098/rsta.2008.0222</t>
  </si>
  <si>
    <t>WOS:000261150700009</t>
  </si>
  <si>
    <t>Naish, TR; Wilson, GS</t>
  </si>
  <si>
    <t>Naish, Tim R.; Wilson, Gary S.</t>
  </si>
  <si>
    <t>Constraints on the amplitude of Mid-Pliocene (3.6-2.4 Ma) eustatic sea-level fluctuations from the New Zealand shallow-marine sediment record</t>
  </si>
  <si>
    <t>Mid-Pliocene; eustatic sea level; Wanganui Basin; shallow marine; oxygen isotope</t>
  </si>
  <si>
    <t>WANGANUI BASIN; SHELF; CALIBRATION</t>
  </si>
  <si>
    <t>Ice-volume calibrations of the deep-ocean foraminiferal delta O-18 record imply orbitally influenced sea-level fluctuations of up to 30 m amplitude during the Mid-Pliocene, and up to 30 per cent loss of the present-day mass of the East Antarctic Ice Sheet (EAIS) assuming complete deglaciation of the West Antarctic Ice Sheet (WAIS) and Greenland. These sea-level oscillations have driven recurrent transgressions and regressions across the world's continental shelves. Wanganui Basin, New Zealand, contains the most complete shallow-marine Late Neogene stratigraphic record in the form of a continuous cyclostratigraphy representing every 41 and 100 ka sea-level cycle since ca 3.6 Ma. This paper presents a synthesis of faunally derived palaeobathymetric data for shallow-marine sedimentary cycles corresponding to marine isotope stages M2 100 (ca 3.4 2.4 Ma). Our approach estimates the eustatic sea-level contribution to the palaeobathymetry curve by placing constraints on total subsidence and decompacted sediment accumulation. The sea-level estimates are consistent with those from delta O-18 curves and numerical ice sheet models, and imply a significant sensitivity of the WAIS and the coastal margins of the EAIS to orbital oscillations in insolation during the Mid-Pliocene period of relative global warmth. Sea-level oscillations of 10 30 m were paced by obliquity.</t>
  </si>
  <si>
    <t>[Naish, Tim R.] Victoria Univ Wellington, Antarct Res Ctr, Wellington 6140, New Zealand; [Naish, Tim R.] GNS Sci, Lower Hutt 5040, New Zealand; [Wilson, Gary S.] Univ Otago, Dept Geol, Dunedin 9016, Otago, New Zealand</t>
  </si>
  <si>
    <t>Victoria University Wellington; GNS Science - New Zealand; University of Otago</t>
  </si>
  <si>
    <t>Naish, TR (corresponding author), Victoria Univ Wellington, Antarct Res Ctr, POB 600, Wellington 6140, New Zealand.</t>
  </si>
  <si>
    <t>Wilson, Gary S/B-3803-2010</t>
  </si>
  <si>
    <t>Wilson, Gary/0000-0003-0025-3641; Naish, Tim/0000-0002-1185-9932</t>
  </si>
  <si>
    <t>10.1098/rsta.2008.0223</t>
  </si>
  <si>
    <t>WOS:000261150700010</t>
  </si>
  <si>
    <t>Salzmann, U; Haywood, AM; Lunt, DJ</t>
  </si>
  <si>
    <t>Salzmann, U.; Haywood, A. M.; Lunt, D. J.</t>
  </si>
  <si>
    <t>The past is a guide to the future? Comparing Middle Pliocene vegetation with predicted biome distributions for the twenty-first century</t>
  </si>
  <si>
    <t>climate change; vegetation; Pliocene; palaeobotany; general circulation model</t>
  </si>
  <si>
    <t>CLIMATE-CHANGE; CARBON-CYCLE; COUPLED MODEL; SIMULATION; GCM; RECONSTRUCTION; PROJECTIONS; ECOSYSTEMS; ATMOSPHERE; FEEDBACKS</t>
  </si>
  <si>
    <t>During the Middle Pliocene, the Earth experienced greater global warmth compared with today, coupled with higher atmospheric CO2 concentrations. To determine the extent to which the Middle Pliocene can be used as a 'test bed' for future warming, we compare data and model-based Middle Pliocene vegetation with simulated global biome distributions for the mid- and late twenty-first century. The best agreement is found when a Middle Pliocene biome reconstruction is compared with a future scenario using 560 ppmv atmospheric CO2. In accordance with palaeobotanical data, all model simulations indicate a generally warmer and wetter climate, resulting in a northward shift of the taiga tundra boundary and a spread of tropical savannahs and woodland in Africa and Australia at the expense of deserts. Our data model comparison reveals differences in the distribution of polar vegetation, which indicate that the high latitudes during the Middle Pliocene were still warmer than its predicted modern analogue by several degrees. However, our future scenarios do not consider multipliers associated with 'long-term' climate sensitivity. Changes in global temperature, and thus biome distributions, at higher atmospheric CO2 levels will not have reached an equilibrium state (as is the case for the Middle Pliocene) by the end of this century.</t>
  </si>
  <si>
    <t>[Salzmann, U.; Lunt, D. J.] British Antarctic Survey, Geol Sci Div, Cambridge CB3 0ET, England; [Haywood, A. M.] Univ Leeds, Sch Earth &amp; Environm, Leeds LS2 9JT, W Yorkshire, England; [Lunt, D. J.] Univ Bristol, Sch Geog Sci, Bristol BS8 1SS, Avon, England</t>
  </si>
  <si>
    <t>UK Research &amp; Innovation (UKRI); Natural Environment Research Council (NERC); NERC British Antarctic Survey; University of Leeds; University of Bristol</t>
  </si>
  <si>
    <t>Salzmann, U (corresponding author), British Antarctic Survey, Geol Sci Div, High Cross,Madingley Rd, Cambridge CB3 0ET, England.</t>
  </si>
  <si>
    <t>usa@bas.ac.uk</t>
  </si>
  <si>
    <t>Salzmann, Ulrich/H-9929-2017; Lunt, Daniel/G-9451-2011</t>
  </si>
  <si>
    <t>Salzmann, Ulrich/0000-0001-5598-5327; Lunt, Daniel/0000-0003-3585-6928</t>
  </si>
  <si>
    <t>The Natural Environment Research Council (NERC); Greenhouse to ice-house: evolution of the Antarctic cryosphere and palaeoenvironment' (GEACEP); Natural Environment Research Council [bas010019] Funding Source: researchfish; NERC [bas010019] Funding Source: UKRI</t>
  </si>
  <si>
    <t>The Natural Environment Research Council (NERC)(UK Research &amp; Innovation (UKRI)Natural Environment Research Council (NERC)); Greenhouse to ice-house: evolution of the Antarctic cryosphere and palaeoenvironment' (GEACEP); Natural Environment Research Council(UK Research &amp; Innovation (UKRI)Natural Environment Research Council (NERC)); NERC(UK Research &amp; Innovation (UKRI)Natural Environment Research Council (NERC))</t>
  </si>
  <si>
    <t>The Natural Environment Research Council (NERC) is acknowledged for supporting this work, which is part of the British Antarctic Survey's programme 'Greenhouse to ice-house: evolution of the Antarctic cryosphere and palaeoenvironment' (GEACEP).</t>
  </si>
  <si>
    <t>10.1098/rsta.2008.0200</t>
  </si>
  <si>
    <t>WOS:000261150700011</t>
  </si>
  <si>
    <t>Kawatani, Y; Takahashi, M; Sato, K; Alexander, SP; Tsuda, T</t>
  </si>
  <si>
    <t>Kawatani, Yoshio; Takahashi, Masaaki; Sato, Kaoru; Alexander, Simon P.; Tsuda, Toshitaka</t>
  </si>
  <si>
    <t>Global distribution of atmospheric waves in the equatorial upper troposphere and lower stratosphere: AGCM simulation of sources and propagation</t>
  </si>
  <si>
    <t>QUASI-BIENNIAL OSCILLATION; INERTIA-GRAVITY WAVES; QBO-LIKE OSCILLATION; MIDDLE ATMOSPHERE; MOMENTUM FLUX; KELVIN WAVE; GENERATION; CONVECTION; MODEL; TEMPERATURE</t>
  </si>
  <si>
    <t>The global distribution, sources, and propagation of atmospheric waves in the equatorial upper troposphere and lower stratosphere were investigated using an atmospheric general circulation model with T106L60 resolution (120-km horizontal and 550-m vertical resolution). The quasibiennial oscillation (QBO) with a period of similar to 1.5-2 years was simulated well without gravity wave drag parameterization. The zonal wave number versus the frequency spectra of simulated precipitation represent realistic signals of convectively coupled equatorial trapped waves (EQWs). The temperature spectra in the stratosphere also indicate dominant signals of EQWs. EQWs with equivalent depths in the range of 8-90 m from the n = -1 mode to n = 2 mode were extracted separately. Each EQW in the stratosphere generally corresponded well with the source of each convectively coupled EQW activity in the troposphere. The propagations of Kelvin waves and n = 0 eastward/westward propagating EQWs are strongly influenced by the Walker circulation and the phase of the QBO. Potential energy associated with EQWs is generally larger in the westerly than in the easterly shear phase of the QBO. EQWs with vertical wavelengths &lt;= 7 km contribute up to similar to 30% of total potential energy &lt;= 7 km over the equator at an altitude of 20-30 km. Gravity waves generated by cumulus convection with periods &lt;= 24 h are clearly visible over areas of Africa, the Amazon, and around Indonesia, and result in localized PE distributions in areas short distances from the source region. Comparisons of the model results and recent satellite observations are discussed.</t>
  </si>
  <si>
    <t>[Kawatani, Yoshio; Takahashi, Masaaki] Japan Agcy Marine Earth Sci &amp; Technol, Frontier Res Ctr Global Change, Kanazawa Ku, Yokohama, Kanagawa 2360001, Japan; [Alexander, Simon P.; Tsuda, Toshitaka] Kyoto Univ, Res Inst Sustainable Humanosphere, Kyoto 6110011, Japan; [Sato, Kaoru] Univ Tokyo, Grad Sch Sci, Dept Earth &amp; Planetary Sci, Bunkyo Ku, Tokyo 1130033, Japan; [Takahashi, Masaaki] Univ Tokyo, Ctr Climate Syst Res, Kashiwa, Chiba, Japan; [Alexander, Simon P.] Australian Antarctic Div, Kingston, Tas, Australia</t>
  </si>
  <si>
    <t>Japan Agency for Marine-Earth Science &amp; Technology (JAMSTEC); Kyoto University; University of Tokyo; University of Tokyo; Australian Antarctic Division</t>
  </si>
  <si>
    <t>Kawatani, Y (corresponding author), Japan Agcy Marine Earth Sci &amp; Technol, Frontier Res Ctr Global Change, Kanazawa Ku, 3173-25 Showamachi, Yokohama, Kanagawa 2360001, Japan.</t>
  </si>
  <si>
    <t>yoskawatani@jamstec.go.jp</t>
  </si>
  <si>
    <t>Tsuda, Toshitaka/GYJ-4925-2022; tsuda, toshitaka/A-3035-2015; Satoh, Kaoru/P-2047-2015; Kawatani, Yoshio/B-1777-2013; Sato, Kaoru/E-1693-2012</t>
  </si>
  <si>
    <t>Kawatani, Yoshio/0000-0003-3260-8830; Sato, Kaoru/0000-0002-6225-6066; Alexander, Simon/0000-0001-6823-8857</t>
  </si>
  <si>
    <t>Japan Society for the Promotion of Science [20740280]; Grants-in-Aid for Scientific Research [20740280]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</si>
  <si>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</si>
  <si>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 J. Dunkerton for helpful comments and variable advice on this study. We express our gratitude to J. Austin for editing the manuscript and two anonymous reviewers for constructive comments on the original manuscripts. This study is supported by a grant-in-aid for Young Scientists (B) (20740280) from the Japan Society for the Promotion of Science. The GFD-DENNOU library was used for spectral calculations and drawing figures. GrADS was also used for drawing figures.</t>
  </si>
  <si>
    <t>JAN 9</t>
  </si>
  <si>
    <t>D01102</t>
  </si>
  <si>
    <t>10.1029/2008JD010374</t>
  </si>
  <si>
    <t>393NT</t>
  </si>
  <si>
    <t>WOS:000262380700002</t>
  </si>
  <si>
    <t>van de Poll, WHV; Janknegt, PJ; van Leeuwe, MA; Visser, RJW; Buma, AGJ</t>
  </si>
  <si>
    <t>van de Poll, Willem H.; Janknegt, P. J.; van Leeuwe, M. A.; Visser, R. J. W.; Buma, A. G. J.</t>
  </si>
  <si>
    <t>Excessive irradiance and antioxidant responses of an Antarctic marine diatom exposed to iron limitation and to dynamic irradiance</t>
  </si>
  <si>
    <t>Antioxidant activity; Chaetoceros brevis; Iron limitation; Irradiance; Photosynthesis; pigments</t>
  </si>
  <si>
    <t>SUPEROXIDE-DISMUTASE; CHAETOCEROS-BREVIS; LIGHT; PHYTOPLANKTON; ACCLIMATION; DIFFERS; GROWTH; ASSAYS</t>
  </si>
  <si>
    <t>The synergistic effects of iron limitation and irradiance dynamics on growth, photosynthesis, antioxidant activity and excessive PAR (400-700 nm) and UV (280-400 nm) sensitivity were investigated for the Antarctic marine diatom Chaetoceros brevis. Iron-limited and iron-replete cultures were exposed to identical daily irradiance levels, Supplied as dynamic (20-1350 mu mol m(-2) s(-1)) and constant (260 [mu mol m(-2) s(-1)) irradiance. After acclimation, growth, maximal quantum yield of PSII (F-v/F-m), pigment composition, and the activities of the antioxidant enzymes superoxide dismutase (SOD), ascorbate peroxidase (APX) and glutathione reductase (GR) were determined. Then, excessive irradiance sensitivity was assessed by monitoring pigment composition, F-v/F-m and viability loss during a single excessive PAR and UV treatment. Iron limitation reduced growth rates, F-v/F-m, dynamics, and cellular pigments pools. Cellular pigiment concentrations were higher under dynamic irradiance than under constant irradiance but this difference was less pronounced under iron limitation compared to iron-replete conditions. SOD and APX activities increased during dynamic irradiance under iron limitation, suggesting increased radical formation around PSII Despite these physiological differences, no effects on growth were observed between constant and dynamic irradiance cultivation in iron-limited and iron-replete cells. The applied Culturing conditions did not affect glutathione reductase activity in C brevis. F-v/F-m and xanthophyll de-epoxidation dynamics during excessive irradiance were not different for iron-limited and replete cells and viability loss was not found during excessive irradiance. This Study revealed photoacclimation differences between iron-limited and iron-replete C brevis Cultures that did not affect growth rates and excessive irradiance sensitivity after acclimation to constant and dynamic irradiance. (C) 2008 Elsevier B.V. All rights reserved.</t>
  </si>
  <si>
    <t>[van de Poll, Willem H.; Janknegt, P. J.; van Leeuwe, M. A.; Visser, R. J. W.; Buma, A. G. J.] Univ Groningen, Dept Ocean Ecosyst, Ctr Ecol &amp; Evolutionary Studies, NL-9750 AA Haren, Netherlands</t>
  </si>
  <si>
    <t>University of Groningen</t>
  </si>
  <si>
    <t>van de Poll, WHV (corresponding author), Univ Groningen, Dept Ocean Ecosyst, Ctr Ecol &amp; Evolutionary Studies, POB 14, NL-9750 AA Haren, Netherlands.</t>
  </si>
  <si>
    <t>W.H.van.de.Poll@rug.nl</t>
  </si>
  <si>
    <t>Buma, Anita GJ/E-8372-2015</t>
  </si>
  <si>
    <t>van de Poll, Willem/0000-0003-4095-4338</t>
  </si>
  <si>
    <t>10.1016/j.jphotobiol.2008.09.003</t>
  </si>
  <si>
    <t>395XK</t>
  </si>
  <si>
    <t>WOS:000262556600006</t>
  </si>
  <si>
    <t>Qiu, J</t>
  </si>
  <si>
    <t>Qiu, Jane</t>
  </si>
  <si>
    <t>China builds inland Antarctic base</t>
  </si>
  <si>
    <t>JAN 8</t>
  </si>
  <si>
    <t>10.1038/457134a</t>
  </si>
  <si>
    <t>393GS</t>
  </si>
  <si>
    <t>WOS:000262360200004</t>
  </si>
  <si>
    <t>Bonadonna, F; Caro, SP; Brooke, MD</t>
  </si>
  <si>
    <t>Bonadonna, Francesco; Caro, Samuel P.; Brooke, M. de L.</t>
  </si>
  <si>
    <t>Olfactory Sex Recognition Investigated in Antarctic Prions</t>
  </si>
  <si>
    <t>ODOR RECOGNITION; BLUE PETRELS; SENSORY ECOLOGY; DISCRIMINATION; MECHANISM; NEST; COMMUNICATION; PACHYPTILA; NAVIGATION; SIGNATURE</t>
  </si>
  <si>
    <t>Chemical signals can yield information about an animal such as its identity, social status or sex. Such signals have rarely been considered in birds, but recent results have shown that chemical signals are actually used by different bird species to find food and to recognize their home and nest. This is particularly true in petrels whose olfactory anatomy is among the most developed in birds. Recently, we have demonstrated that Antarctic prions, Pachyptila desolata, are also able to recognize and follow the odour of their partner in a Y-maze. However, the experimental protocol left unclear whether this choice reflected an olfactory recognition of a particular individual (i.e. partner) or a more general sex recognition mechanism. To test this second hypothesis, male and female birds' odours were presented simultaneously to 54 Antarctic prions in a Y-maze. Results showed random behaviour by the tested bird, independent of its sex or reproductive status. Present results do not support the possibility that Antarctic prions can distinguish the sex of a conspecific through its odour but indirectly support the hypothesis that they can distinguish individual odours.</t>
  </si>
  <si>
    <t>[Caro, Samuel P.] CNRS, CEFE, Behav Ecol Grp, Montpellier, France; [Caro, Samuel P.] Univ N Carolina, Dept Biol, Chapel Hill, NC USA; [Brooke, M. de L.] Univ Cambridge, Dept Zool, Cambridge CB2 1TN, England</t>
  </si>
  <si>
    <t>Universite PSL; Ecole Pratique des Hautes Etudes (EPHE); Institut Agro; Montpellier SupAgro; CIRAD; Centre National de la Recherche Scientifique (CNRS); Institut de Recherche pour le Developpement (IRD); Universite Paul-Valery; Universite de Montpellier; University of North Carolina; University of North Carolina Chapel Hill; University of Cambridge</t>
  </si>
  <si>
    <t>Bonadonna, F (corresponding author), CNRS, CEFE, Behav Ecol Grp, Montpellier, France.</t>
  </si>
  <si>
    <t>francesco.bonadonna@cefe.cnrs.fr</t>
  </si>
  <si>
    <t>Bonadonna, Francesco/A-7456-2008; Caro, Samuel/A-5750-2008</t>
  </si>
  <si>
    <t>Bonadonna, Francesco/0000-0002-2702-5801; Caro, Samuel/0000-0002-5405-7753</t>
  </si>
  <si>
    <t>Institut Polaire Francais Paul Emile Victor; FRIA</t>
  </si>
  <si>
    <t>Institut Polaire Francais Paul Emile Victor; FRIA(Fonds de la Recherche Scientifique - FNRS)</t>
  </si>
  <si>
    <t>This work was supported by Institut Polaire Francais Paul Emile Victor (IPEV, Program no 354 to Francesco Bonadonna). S.P.Caro was a FRIA grant recipient. The funders had no role in study design, data collection and analysis, decision to publish, or preparation of the manuscript.</t>
  </si>
  <si>
    <t>JAN 7</t>
  </si>
  <si>
    <t>e4148</t>
  </si>
  <si>
    <t>10.1371/journal.pone.0004148</t>
  </si>
  <si>
    <t>437FX</t>
  </si>
  <si>
    <t>Green Published, Green Submitted, gold</t>
  </si>
  <si>
    <t>WOS:000265473300013</t>
  </si>
  <si>
    <t>Tang, KW; Smith, WO; Shields, AR; Elliott, DT</t>
  </si>
  <si>
    <t>Tang, Kam W.; Smith, Walker O., Jr.; Shields, Amy R.; Elliott, David T.</t>
  </si>
  <si>
    <t>Survival and recovery of Phaeocystis antarctica (Prymnesiophyceae) from prolonged darkness and freezing</t>
  </si>
  <si>
    <t>Phaeocystis antarctica; darkness; freezing; recovery; photosynthetic capacity; Southern Ocean</t>
  </si>
  <si>
    <t>ICE MICROBIAL COMMUNITIES; PHYTOPLANKTON ASSEMBLAGE COMPOSITION; ROSS SEA; PRIMARY PRODUCTIVITY; WEDDELL SEA; PACK ICE; BIOMASS; NUTRIENTS; DIATOM; TEMPERATURE</t>
  </si>
  <si>
    <t>The colony-forming haptophyte Phaeocystis antarctica is an important primary producer in the Ross Sea, and must survive long periods of darkness and freezing temperature in this extreme environment. We conducted experiments on the responses of P. antarctica-dominated phytoplankton assemblages to prolonged periods of darkness and freezing. Chlorophyll and photosynthetic capacity of the alga declined nonlinearly and independently of each other in the dark, and darkness alone would potentially reduce photosynthetic capacity by only 60 per cent over 150 days (approximately the length of the Antarctic winter in the southern Ross Sea). The estimated reduction of colonial mucous carbon is higher than that of colonial cell carbon, suggesting metabolism of the colonial matrix in the dark. The alga quickly resumed growth upon return to light. Phaeocystis antarctica also survived freezing, although longer freezing durations lengthened the lag before growth resumption. Particulate dimethylsulfoniopropionate relative to chlorophyll increased upon freezing and decreased upon darkness. Taken together, the abilities of P. antarctica to survive freezing and initiate growth quickly after darkness may provide it with the capability to survive in both the ice and the water column, and help explain its repeated dominance in austral spring blooms in the Ross Sea and elsewhere in the Southern Ocean.</t>
  </si>
  <si>
    <t>[Tang, Kam W.; Smith, Walker O., Jr.; Shields, Amy R.; Elliott, David T.] Virginia Inst Marine Sci, Coll William &amp; Mary, Gloucester Point, VA 23062 USA</t>
  </si>
  <si>
    <t>William &amp; Mary; Virginia Institute of Marine Science</t>
  </si>
  <si>
    <t>Tang, KW (corresponding author), Virginia Inst Marine Sci, Coll William &amp; Mary, Gloucester Point, VA 23062 USA.</t>
  </si>
  <si>
    <t>kamtang@vims.edu</t>
  </si>
  <si>
    <t>Elliott, David/G-2161-2012</t>
  </si>
  <si>
    <t>Raytheon Polar Services and McMurdo Station; ESCAP (Ecology of Solitary and Colonial Antarctic Phaeocystis); National Science Foundation OPP [ANT-0440478]</t>
  </si>
  <si>
    <t>Raytheon Polar Services and McMurdo Station; ESCAP (Ecology of Solitary and Colonial Antarctic Phaeocystis); National Science Foundation OPP(National Science Foundation (NSF))</t>
  </si>
  <si>
    <t>We thank the support staff of Raytheon Polar Services and McMurdo Station, and all the participants of the ESCAP (Ecology of Solitary and Colonial Antarctic Phaeocystis) project. Funding was provided by National Science Foundation OPP grant ANT-0440478. A.R.S., an employee of the US Environmental Protection Agency (EPA), participated in this research prior to her employment with EPA. It was conducted independent of her EPA employment and has not been subjected to the Agency's peer and administrative review. Therefore, the conclusions and opinions drawn are solely those of the authors and are not necessarily the views of the Agency. This is VIMS contribution 2956.</t>
  </si>
  <si>
    <t>10.1098/rspb.2008.0598</t>
  </si>
  <si>
    <t>388FE</t>
  </si>
  <si>
    <t>WOS:000262004900011</t>
  </si>
  <si>
    <t>Rüdiger, C; Walker, JP; Allahmoradi, M; Barrett, D; Costelloe, J; Gurney, R; Hacker, J; Kerr, YH; Kim, E; Le Marshall, J; Lieff, W; Marks, A; Peischl, S; Ryu, D; Ye, N</t>
  </si>
  <si>
    <t>Anderssen, RS; Braddock, RD; Newham, LTH</t>
  </si>
  <si>
    <t>Ruediger, C.; Walker, J. P.; Allahmoradi, M.; Barrett, D.; Costelloe, J.; Gurney, R.; Hacker, J.; Kerr, Y. H.; Kim, E.; Le Marshall, J.; Lieff, W.; Marks, A.; Peischl, S.; Ryu, D.; Ye, N.</t>
  </si>
  <si>
    <t>Identification of Spaceborne Microwave Radiometer Calibration Sites for Satellite Missions</t>
  </si>
  <si>
    <t>18TH WORLD IMACS CONGRESS AND MODSIM09 INTERNATIONAL CONGRESS ON MODELLING AND SIMULATION: INTERFACING MODELLING AND SIMULATION WITH MATHEMATICAL AND COMPUTATIONAL SCIENCES</t>
  </si>
  <si>
    <t>IMACS World Congress/Modelling and Simulation Society-of-Australia-and-New-Zealand (MSSANZ)/18th MODSIM09 Biennial Conference on Modelling and Simulation</t>
  </si>
  <si>
    <t>JUL 13-17, 2009</t>
  </si>
  <si>
    <t>Cairns, AUSTRALIA</t>
  </si>
  <si>
    <t>Soil Moisture; Remote Sensing; Microwave Radiometry; SMOS; Field Campaign</t>
  </si>
  <si>
    <t>SALINITY; EMISSION</t>
  </si>
  <si>
    <t>The first dedicated soil moisture satellite mission will be the European Space Agency's Soil Moisture and Ocean Salinity (SMOS) mission. This satellite, scheduled for launch in the second half of 2009, has a new type of satellite design that is based on the radio-astronomy technique of simulating a large antenna from a number of smaller ones placed some distance apart. Because of its unique design and the fact it is sensing in a currently unutilized frequency range makes it critical that on-orbit calibration targets be included in the calibration strategy. Consequently, targets such as the Antarctic, cold oceans, tropical forests and deserts are being considered. However, the large footprint size of passive microwave observations means that large scale homogeneous regions must be identified for calibration purposes. Moreover, these sites must also be either stable through time or the temporal variation easily described by models. In order to satisfy the calibration accuracy required by SMOS for soil moisture retrieval, such sites should be characterized with a brightness temperature uncertainty of less than 4K. A field experiment has been undertaken in November 2008 in the Australian Arid Zone to explore the suitability of three potential on-orbit calibration targets for SMOS. These sites were chosen for their assumed spatial homogeneity in terms of surface conditions (soil moisture and temperature, vegetation, soil type etc.), and consequently their expected microwave response. Each site covers an area of approximately 50km x 50km, being the approximate size of a satellite footprint. These sites include i) Wirringula Hills, a station to the north-east of Coober Pedy that is characterized by a dense cover of gibber; ii) Lake Eyre, characterized by a predominantly moist material under a layer of salt crust; and iii) Simpson Desert, characterized by sand dunes orientated in a north-south direction. The data collected during this field campaign consists of both airborne and ground-based measurements. The airborne data includes passive microwave emissions obtained with an L-band airborne radiometer, thermal infrared observations, and optical data. The ground data collection consisted of surface soil moisture measurements at targeted locations along sections of the high-resolution flight tracks, and station measurements of soil moisture and temperature profiles to a depth of 40cm. Additionally, there were soil core samples to a depth of 2m, surface characterization and surface roughness measurements. The airborne data were collected at two different resolutions, 1km and 50m. This paper presents the results from airborne observations made during this campaign, and discusses their significance in relation to the calibration of SMOS. Of the three study sites assessed, Wirringula Hills appears to be the most promising, having a spatial variability in brightness temperatures of less than 4K at H polarisation. In comparison, the Simpson Desert had a spatial variability of about 10K, and the moist region of Lake Eyre had a spatial variability of about 13K. Moreover, Lake Eyre was found to also have considerable spatial heterogeneity, making it unsuitable for calibration at the spatial resolution of SMOS.</t>
  </si>
  <si>
    <t>[Ruediger, C.; Walker, J. P.; Allahmoradi, M.; Costelloe, J.; Peischl, S.; Ryu, D.; Ye, N.] Univ Melbourne, Dept Civil &amp; Environm Engn, Parkville, Vic 3052, Australia</t>
  </si>
  <si>
    <t>University of Melbourne</t>
  </si>
  <si>
    <t>Rüdiger, C (corresponding author), Univ Melbourne, Dept Civil &amp; Environm Engn, Parkville, Vic 3052, Australia.</t>
  </si>
  <si>
    <t>crudiger@unimelb.edu.au</t>
  </si>
  <si>
    <t>Walker, Jeffrey P/D-2624-2009; Kerr, Yann/Z-2432-2019; Ryu, Dongryeol/C-5903-2008; Barrett, Damian J/C-7972-2009</t>
  </si>
  <si>
    <t>Ryu, Dongryeol/0000-0002-5335-6209; Barrett, Damian J/0000-0002-8215-4892; Walker, Jeffrey/0000-0002-4817-2712; KIM, Edward J./0000-0002-9828-4624; Hacker, Jorg/0000-0002-3458-3465; Rudiger, Christoph/0000-0003-4375-4446</t>
  </si>
  <si>
    <t>MODELLING &amp; SIMULATION SOC AUSTRALIA &amp; NEW ZEALAND INC</t>
  </si>
  <si>
    <t>CHRISTCHURCH</t>
  </si>
  <si>
    <t>MSSANZ, CHRISTCHURCH, 00000, NEW ZEALAND</t>
  </si>
  <si>
    <t>978-0-9758400-7-8</t>
  </si>
  <si>
    <t>Computer Science, Interdisciplinary Applications; Operations Research &amp; Management Science; Mathematics, Applied; Mathematics, Interdisciplinary Applications</t>
  </si>
  <si>
    <t>Computer Science; Operations Research &amp; Management Science; Mathematics</t>
  </si>
  <si>
    <t>BUQ27</t>
  </si>
  <si>
    <t>WOS:000290045003112</t>
  </si>
  <si>
    <t>Chen, DS; Wang, T; Liang, JH; Wang, TM</t>
  </si>
  <si>
    <t>IEEE</t>
  </si>
  <si>
    <t>Chen Diansheng; Wang Ting; Liang Jianhong; Wang Tianmiao</t>
  </si>
  <si>
    <t>The Design and Application of a sUAV System for Antarctic Expedition</t>
  </si>
  <si>
    <t>2008 IEEE INTERNATIONAL CONFERENCE ON ROBOTICS AND BIOMIMETICS, VOLS 1-4</t>
  </si>
  <si>
    <t>IEEE International Conference on Robotics and Biomimetics (ROBIO)</t>
  </si>
  <si>
    <t>FEB 22-25, 2009</t>
  </si>
  <si>
    <t>Bangkok, THAILAND</t>
  </si>
  <si>
    <t>sUAV; Antarctic Application</t>
  </si>
  <si>
    <t>Antarctic conditions are critical, which means low attitude flight is quite dangerous. However, with the development of the polar expedition and the upgrade of miniature sensor equipments, the Introduction of small unmanned aircraft systems as a new polar expedition method, is one of the international forefront innovative research. This paper will introduce the background, research, development and scientific research flight of a small unmanned aircraft system (sUAV), which is aimed to the scientific expedition use In Antarctica.</t>
  </si>
  <si>
    <t>[Chen Diansheng; Wang Ting; Liang Jianhong; Wang Tianmiao] Beijing Univ Aeronaut &amp; Astronaut, Inst Robot, Beijing 100083, Peoples R China</t>
  </si>
  <si>
    <t>Beihang University</t>
  </si>
  <si>
    <t>Chen, DS (corresponding author), Beijing Univ Aeronaut &amp; Astronaut, Inst Robot, Beijing 100083, Peoples R China.</t>
  </si>
  <si>
    <t>wt7575120@gmail.com</t>
  </si>
  <si>
    <t>345 E 47TH ST, NEW YORK, NY 10017 USA</t>
  </si>
  <si>
    <t>978-1-4244-2678-2</t>
  </si>
  <si>
    <t>10.1109/ROBIO.2009.4913159</t>
  </si>
  <si>
    <t>Engineering, Electrical &amp; Electronic; Instruments &amp; Instrumentation; Robotics</t>
  </si>
  <si>
    <t>Engineering; Instruments &amp; Instrumentation; Robotics</t>
  </si>
  <si>
    <t>BME14</t>
  </si>
  <si>
    <t>WOS:000271966900190</t>
  </si>
  <si>
    <t>Yu, Y; Niu, SJ; Niu, HW; Wu, ZY; Wu, XH</t>
  </si>
  <si>
    <t>Qi, L</t>
  </si>
  <si>
    <t>Yu, Yong; Niu, Shengjie; Niu, Haiwen; Wu, Ziyue; Wu, Xianghua</t>
  </si>
  <si>
    <t>The Weakening Relationship between the Precipitation in North China during Rainy Season and the Two High in the Southern Hemisphere</t>
  </si>
  <si>
    <t>2008 INTERNATIONAL WORKSHOP ON EDUCATION TECHNOLOGY AND TRAINING AND 2008 INTERNATIONAL WORKSHOP ON GEOSCIENCE AND REMOTE SENSING, VOL 1, PROCEEDINGS</t>
  </si>
  <si>
    <t>International Workshop on Education Technology and Training/International Workshop on Geoscience and Remote Sensing (ETT and GRS 2008)</t>
  </si>
  <si>
    <t>DEC 21-22, 2008</t>
  </si>
  <si>
    <t>Shanghai, PEOPLES R CHINA</t>
  </si>
  <si>
    <t>rainfall of North China; interdecadal variability; Southern hemisphere atmospheric circulation</t>
  </si>
  <si>
    <t>SUMMER; CIRCULATION; MONSOON</t>
  </si>
  <si>
    <t>Based on the reanalysis data from NCEP/NCAR and other observational data, interannual correlation of the Mascarene high (MH), Australian high (AH) and rainfall of North China during rainy season from 1948 to 2003 are examined. It is shown that there exits significant negative correlation between the two high and rainfall of North China during rainy season. The variabitity of precipitation in North China over the past 50 years is characterized by the three interdecadal periods. Associated with the three stages, anomaly patterns of southern hemisphere atmospheric circulation are respectively: Antarctic oscillation is negative phase, the two high are lower than the normal when precipitation in North China is in the flood period, The filed distribution of sea level pressure in 20 degrees S-50 degrees S is -+-+ pattern, MH is higher than normal and AH is lower than the normal when precipitation in North China is in the adjusting period. Antarctic oscillation is positive phase, both high are higher than the normal when precipitation in North China is in the drought period.</t>
  </si>
  <si>
    <t>[Yu, Yong] Nanjing Univ Informat Sci &amp; Technol, Sch Remote Sensing, Nanjing, Peoples R China; [Niu, Shengjie] Nanjing Univ Sci &amp; Technol, Coll Atmospher Phys, Nanjing, Peoples R China; [Niu, Haiwen] Chinese Acad Meteorol Sci, Natl Climate Ctr, Beijing, Peoples R China; [Wu, Ziyue] Pukou Meteorol Bereau Jiangsu Province, Nanjing, Peoples R China; [Wu, Xianghua] Nanjing Univ Informat Sci &amp; Tec, Coll Math &amp; Phys, Nanjing, Peoples R China</t>
  </si>
  <si>
    <t>Nanjing University of Information Science &amp; Technology; Nanjing University of Science &amp; Technology; China Meteorological Administration; Chinese Academy of Meteorological Sciences (CAMS)</t>
  </si>
  <si>
    <t>Yu, Y (corresponding author), Nanjing Univ Informat Sci &amp; Technol, Sch Remote Sensing, Nanjing, Peoples R China.</t>
  </si>
  <si>
    <t>yuyong@nuist.com</t>
  </si>
  <si>
    <t>Wu, Ziyue/JFA-1255-2023</t>
  </si>
  <si>
    <t>National Natural Science Foundation of China [40775012]; Natural Science Great Basic Res earch Project of Colleges in Jiangsu Province [06KJA17021]; Meteorology Industry Special Funds of Science and Technology Ministry [GYHY (QX) 2007-6-26]</t>
  </si>
  <si>
    <t>National Natural Science Foundation of China(National Natural Science Foundation of China (NSFC)); Natural Science Great Basic Res earch Project of Colleges in Jiangsu Province; Meteorology Industry Special Funds of Science and Technology Ministry</t>
  </si>
  <si>
    <t>Funding for this work was provided by the National Natural Science Foundation of China (Grant No. 40775012), Natural Science Great Basic Res earch Project of Colleges in Jiangsu Province (Grant No. 06KJA17021) and Meteorology Industry Special Funds of Science and Technology Ministry (Grant No. GYHY (QX) 2007-6-26).</t>
  </si>
  <si>
    <t>IEEE COMPUTER SOC</t>
  </si>
  <si>
    <t>LOS ALAMITOS</t>
  </si>
  <si>
    <t>10662 LOS VAQUEROS CIRCLE, PO BOX 3014, LOS ALAMITOS, CA 90720-1264 USA</t>
  </si>
  <si>
    <t>978-0-7695-3563-0</t>
  </si>
  <si>
    <t>+</t>
  </si>
  <si>
    <t>10.1109/ETTandGRS.2008.139</t>
  </si>
  <si>
    <t>Computer Science, Artificial Intelligence; Computer Science, Interdisciplinary Applications; Education, Scientific Disciplines; Remote Sensing</t>
  </si>
  <si>
    <t>Computer Science; Education &amp; Educational Research; Remote Sensing</t>
  </si>
  <si>
    <t>BKZ53</t>
  </si>
  <si>
    <t>WOS:000269688700064</t>
  </si>
  <si>
    <t>Haselwimmer, C; Fretwell, P</t>
  </si>
  <si>
    <t>Haselwimmer, Christian; Fretwell, Peter</t>
  </si>
  <si>
    <t>FIELD REFLECTANCE SPECTROSCOPY OF SPARSE VEGETATION COVER ON THE ANTARCTIC PENINSULA</t>
  </si>
  <si>
    <t>2009 FIRST WORKSHOP ON HYPERSPECTRAL IMAGE AND SIGNAL PROCESSING: EVOLUTION IN REMOTE SENSING</t>
  </si>
  <si>
    <t>1st Workshop on Hyperspectral Image and Signal Processing - Evolution in Remote Sensing</t>
  </si>
  <si>
    <t>AUG 26-29, 2009</t>
  </si>
  <si>
    <t>Grenoble, FRANCE</t>
  </si>
  <si>
    <t>Antarctic Peninsula; vegetation; field spectroscopy</t>
  </si>
  <si>
    <t>SPECTRAL REFLECTANCE; LICHENS</t>
  </si>
  <si>
    <t>The results of a field spectroscopy campaign that aimed to provide ground truth data for validation of NDVI-based vegetation maps of the region around the British Antarctic Survey Rothera Research Station are presented. As part of this research, laboratory and field reflectance spectra were acquired from the main vegetation types exposed in the study area that included grasses, mosses, lichens and algae. High-quality lab spectra of fresh and senesced vegetation samples displayed typical reflectance properties and were compiled into a spectral library of Antarctic Peninsula vegetation types. Field spectral surveys over sparsely vegetated areas were used to estimate the fractional cover of Photosynthetic Vegetation (PV) and different vegetation species with results that were consistent with a high-resolution VNIR aerial photograph.</t>
  </si>
  <si>
    <t>[Haselwimmer, Christian; Fretwell, Peter] British Antarctic Survey, Cambridge CB3 OET, England</t>
  </si>
  <si>
    <t>Haselwimmer, C (corresponding author), British Antarctic Survey, Madingley Rd, Cambridge CB3 OET, England.</t>
  </si>
  <si>
    <t>978-1-4244-4686-5</t>
  </si>
  <si>
    <t>Engineering, Electrical &amp; Electronic; Remote Sensing</t>
  </si>
  <si>
    <t>Engineering; Remote Sensing</t>
  </si>
  <si>
    <t>BOC66</t>
  </si>
  <si>
    <t>WOS:000276190400040</t>
  </si>
  <si>
    <t>Jezek, K; Floricioiu, D; Farness, K; Yague-Martinez, N; Eineder, M</t>
  </si>
  <si>
    <t>Jezek, Kenneth; Floricioiu, Dana; Farness, Katy; Yague-Martinez, Nestor; Eineder, Michael</t>
  </si>
  <si>
    <t>TerraSAR-X Observations of the Recovery Glacier System, Antarctica</t>
  </si>
  <si>
    <t>2009 IEEE INTERNATIONAL GEOSCIENCE AND REMOTE SENSING SYMPOSIUM, VOLS 1-5</t>
  </si>
  <si>
    <t>IEEE International Symposium on Geoscience and Remote Sensing IGARSS</t>
  </si>
  <si>
    <t>IEEE International Geoscience and Remote Sensing Symposium</t>
  </si>
  <si>
    <t>JUL 12-17, 2009</t>
  </si>
  <si>
    <t>Cape Town, SOUTH AFRICA</t>
  </si>
  <si>
    <t>Geophysics; synthetic aperture radar</t>
  </si>
  <si>
    <t>INTERFEROMETRY</t>
  </si>
  <si>
    <t>We present a comparison of 1997 RADARSAT Antarctic Mapping Project (RAMP) SAR data with 2008-09 TerraSAR-X observations of a tributary glacier that is part of the Recovery Glacier drainage network in Coates Land Antarctica. The Recovery Glacier system is of scientific interest because of its role in discharging East Antarctic ice to the sea and because it has been subsequently learned that the flow of the glacier is likely controlled by the presence of subglacial lakes near the onset of faster glacier flow.</t>
  </si>
  <si>
    <t>[Jezek, Kenneth; Farness, Katy] Ohio State Univ, Byrd Polar Res Ctr, Columbus, OH 43210 USA; [Floricioiu, Dana; Yague-Martinez, Nestor; Eineder, Michael] German Aerosp Org, Remote Sensing Technol Inst Oberpfaffenhofen, D-82234 Wessling, Germany</t>
  </si>
  <si>
    <t>University System of Ohio; Ohio State University; Helmholtz Association; German Aerospace Centre (DLR)</t>
  </si>
  <si>
    <t>Jezek, K (corresponding author), Ohio State Univ, Byrd Polar Res Ctr, Columbus, OH 43210 USA.</t>
  </si>
  <si>
    <t>jezek.1@osu.edu; dana.floricioiu@dlr.de</t>
  </si>
  <si>
    <t>2153-6996</t>
  </si>
  <si>
    <t>978-1-4244-3394-0</t>
  </si>
  <si>
    <t>INT GEOSCI REMOTE SE</t>
  </si>
  <si>
    <t>10.1109/IGARSS.2009.5418049</t>
  </si>
  <si>
    <t>Geosciences, Multidisciplinary; Remote Sensing</t>
  </si>
  <si>
    <t>Geology; Remote Sensing</t>
  </si>
  <si>
    <t>BQI05</t>
  </si>
  <si>
    <t>WOS:000281054100121</t>
  </si>
  <si>
    <t>Hayden, L; Powell, JH; Akers, E</t>
  </si>
  <si>
    <t>Hayden, Linda; Powell, Je'aime H.; Akers, Eric</t>
  </si>
  <si>
    <t>Servers for Remote Sensing of Ice Sheets in Ilulissat, Greenland</t>
  </si>
  <si>
    <t>Cluster; CReSIS; Polar Grid; RAID; Rsync</t>
  </si>
  <si>
    <t>The University of Indiana and Elizabeth City State University are working with the Center for Remote Sensing of Ice Sheets (CReSIS) to develop and deploy cyberinfrastructure grid computing resources and synthetic aperture radar (SAR) data storage capabilities for Greenland and Antarctic fieldwork. This paper will detail the Summer 2008 efforts of the Polar Grid team to configure and establish field and base camp servers. The base camp system consists of one eight-core server, three raid arrays with 34 terabytes (TB) of total storage in a RAID 10 configuration (13 TB useable), a custom designed compact peripheral control interface (CPCI) system, and 80 TB of external storage in the form of 40 two TB My Book external hard drives. The field camp system also consisted of one eight-core server, but did not contain the raid arrays. Multiple SATA hard drives were used to store the data.</t>
  </si>
  <si>
    <t>Powell, Jeaime/0000-0003-1377-5422</t>
  </si>
  <si>
    <t>10.1109/IGARSS.2009.5418148</t>
  </si>
  <si>
    <t>WOS:000281054100208</t>
  </si>
  <si>
    <t>Macelloni, G; Brogioni, M; Crepaz, A; Drinkwater, M; Zaccaria, J</t>
  </si>
  <si>
    <t>Macelloni, Giovanni; Brogioni, Marco; Crepaz, Andrea; Drinkwater, Mark; Zaccaria, Jonathan</t>
  </si>
  <si>
    <t>DOMEX-2: L-BAND MICROWAVE EMISSION MEASUREMENTS OF THE ANTARCTIC PLATEAU</t>
  </si>
  <si>
    <t>Antarctica; SMOS; Microwave Radiometer</t>
  </si>
  <si>
    <t>In recent years there is growing interest, on the part of the remote sensing community, in using the Antarctic area, for calibrating and validating data of satellite-borne microwave radiometers. With a view to the launching of the ESA's SMOS satellite, which is a satellite designed to observe soil moisture over the Earth landmasses, salinity over the oceans and to provide observations over regions of ice and snow, an experimental activity called DOMEX-2 was started at Dome-C Antarctica. The main scientific objectives of this activity are to provide microwave data for SMOS satellite calibration and in particular the continuous acquisition of a calibrated timesenes of microwave (L-band) and thermal Infrared (8-14micron) emission over an entire Austral annual cycle, the acquisition of a long time-series of snow measurements and the acquisition of relevant local atmospheric measurements from the local weather station. This paper is focusing on the preparation and installation of DOMEX-2 experiment and a preliminary analysis of data.</t>
  </si>
  <si>
    <t>[Macelloni, Giovanni; Brogioni, Marco] CNR, IFAC, Inst Appl Phys, Florence, Italy; [Crepaz, Andrea] CVA, ARPAV, Arabba, BL, Italy; [Drinkwater, Mark] ESA, ESTEC, Noordwijk, Netherlands; [Zaccaria, Jonathan] Italian Programe Natl Res PNRA, Rome, Italy</t>
  </si>
  <si>
    <t>Consiglio Nazionale delle Ricerche (CNR); Istituto di Fisiologia Clinica (IFC-CNR); Istituto di Fisica Applicata Nello Carrara (IFAC-CNR); European Space Agency</t>
  </si>
  <si>
    <t>Macelloni, G (corresponding author), CNR, IFAC, Inst Appl Phys, Florence, Italy.</t>
  </si>
  <si>
    <t>Brogioni, Marco/Q-6583-2019; Macelloni, Giovanni/B-7518-2015; Brogioni, Marco/B-7522-2015; Drinkwater, Mark/C-2478-2011</t>
  </si>
  <si>
    <t>Brogioni, Marco/0000-0001-6232-6020; Brogioni, Marco/0000-0001-6232-6020; MACELLONI, GIOVANNI/0000-0002-9738-7939; Drinkwater, Mark/0000-0002-9250-3806</t>
  </si>
  <si>
    <t>PNRA Consortium through collaboration with ENEA Roma; ESA [20066/06/NL/EL]</t>
  </si>
  <si>
    <t>PNRA Consortium through collaboration with ENEA Roma; ESA(European Space Agency)</t>
  </si>
  <si>
    <t>Research was carried out in the framework of the Project on Glaciology of the PNRA-MIUR and financially supported by the PNRA Consortium through collaboration with ENEA Roma. This work is a French-Italian contribution to the CONCORDIA Station. This work was also funded by ESA (ESA contract N. 20066/06/NL/EL). The authors are grateful to the Italian-French logistic team at CONCORDIA Station for their kind assistance during the experimental campaign and to Paolo Labrini and Lapo Pieri for his contribution to the construction of the instruments</t>
  </si>
  <si>
    <t>10.1109/IGARSS.2009.5418276</t>
  </si>
  <si>
    <t>WOS:000281054100321</t>
  </si>
  <si>
    <t>Fraser, AD; Massom, RA; Michael, KJ</t>
  </si>
  <si>
    <t>Fraser, Alexander D.; Massom, Robert A.; Michael, Kelvin J.</t>
  </si>
  <si>
    <t>A METHOD FOR COMPOSITING MODIS SATELLITE IMAGES TO REMOVE CLOUD COVER</t>
  </si>
  <si>
    <t>Techniques are presented for generating thermal infrared and visible composite images from cloud-free portions of MODIS (MODerate resolution Imaging Spectroradiometer) images closely spaced in time, with a focus on studies of landfast sea ice along the East Antarctic coast. Composite image inclusion criteria are based on modified MODIS EOS cloud mask product results. The compositing process places emphasis on retaining maximum spatial resolution while minimizing computing storage space requirements. Composite images can be produced either as a regular product (e.g., on a 10-day grid), or dynamically (whenever enough information is acquired to produce a new output image). The techniques presented are applicable at any latitude, are available for all MODIS channels at their native resolution, can combine Aqua and Terra images, and can produce maps in any output projection However, due to the polar orbit of NASA's Terra and Aqua satellites which host the MODIS instrument, more frequent coverage is produced at higher latitudes. Thus, the techniques presented are particularly applicable to polar research. Examples of summertime (visible) and wintertime (IR) composite image generation of the landfast sea ice around the Mertz Glacier region, East Antarctica, are included</t>
  </si>
  <si>
    <t>[Fraser, Alexander D.; Michael, Kelvin J.] Univ Tasmania, Inst Antarctic &amp; So Ocean Studies, Sandy Bay, Tas, Australia; [Fraser, Alexander D.; Massom, Robert A.; Michael, Kelvin J.] Univ Tasmania, Antarctic Climate &amp; Ecosyst Cooperat Res Ctr, Sandy Bay, Tas, Australia; [Massom, Robert A.] Australian Antarctic Div, Kingston, Tas, Australia</t>
  </si>
  <si>
    <t>University of Tasmania; Antarctic Climate &amp; Ecosystems Cooperative Research Centre (ACE CRC); University of Tasmania; Australian Antarctic Division</t>
  </si>
  <si>
    <t>Fraser, AD (corresponding author), Univ Tasmania, Inst Antarctic &amp; So Ocean Studies, Sandy Bay, Tas, Australia.</t>
  </si>
  <si>
    <t>Fraser, Alexander/AFO-7186-2022; Michael, Kelvin/J-7217-2014</t>
  </si>
  <si>
    <t>Fraser, Alexander/0000-0003-1924-0015; Massom, Robert/0000-0003-1533-5084; Michael, Kelvin/0000-0002-5427-7393</t>
  </si>
  <si>
    <t>Space Science and Engineering Center; University of Wisconsin-Madison; Advanced Computing and IT Resources, University of Tasmania</t>
  </si>
  <si>
    <t>This work was carried out with the support of the Australian Governments Cooperative Research Centres Program through the Antarctic Climate &amp; Ecosystems Cooperative Research Centre (ACE CRC) and the Australian Antarctic Science proposal 3024. MODIS data were obtained from the NASA Level 1 Atmosphere Archive and Distribution System (LAADS) (http://ladsweb.nascom.nasa.gov/). The authors wish to thank Richard Frey (Space Science and Engineering Center, University of Wisconsin-Madison) for discussions about cloud mask intricacies, and Leigh Gordon and Ben Joseph (Tasmanian Partnership for Advanced Computing and IT Resources, University of Tasmania) for their valued technical support.</t>
  </si>
  <si>
    <t>10.1109/IGARSS.2009.5417841</t>
  </si>
  <si>
    <t>WOS:000281054101163</t>
  </si>
  <si>
    <t>Gouws, G; Ingham, M; Buchanan, S; Hibbard, A; Mahoney, A; Gough, A</t>
  </si>
  <si>
    <t>Gouws, Gideon; Ingham, Malcolm; Buchanan, Sean; Hibbard, Ann; Mahoney, Andy; Gough, Alec</t>
  </si>
  <si>
    <t>Low frequency permittivity measurements of sea ice</t>
  </si>
  <si>
    <t>2009 IEEE SENSORS, VOLS 1-3</t>
  </si>
  <si>
    <t>IEEE Sensors</t>
  </si>
  <si>
    <t>8th IEEE Conference on Sensors</t>
  </si>
  <si>
    <t>OCT 25-28, 2009</t>
  </si>
  <si>
    <t>Christchurch, NEW ZEALAND</t>
  </si>
  <si>
    <t>A portable impedance measuring system and capacitive sensor array was developed to perform in-situ measurements on sea ice. This equipment was installed close to McMurdo Sound in the Antarctic and measurements are currently being made during the Southern winter and spring. These measurements are compared to measurements made on laboratory grown ice using a commercial impedance analyser. From these measurements information on the temporal and structural evolution of the ice can be obtained.</t>
  </si>
  <si>
    <t>[Gouws, Gideon; Ingham, Malcolm; Buchanan, Sean; Hibbard, Ann] Victoria Univ Wellington, Sch Chem &amp; Phys Sci, Wellington, New Zealand; [Mahoney, Andy; Gough, Alec] Univ Otago, Dept Phys, Dunedin, New Zealand</t>
  </si>
  <si>
    <t>Victoria University Wellington; University of Otago</t>
  </si>
  <si>
    <t>Gouws, G (corresponding author), Victoria Univ Wellington, Sch Chem &amp; Phys Sci, Wellington, New Zealand.</t>
  </si>
  <si>
    <t>gideon.gouws@vuw.ac.nz; malcolm.ingham@vuw.ac.nz; mahoney@physics.otago.ac.nz</t>
  </si>
  <si>
    <t>Ingham, Malcolm/0000-0003-3128-7131</t>
  </si>
  <si>
    <t>1930-0395</t>
  </si>
  <si>
    <t>978-1-4244-4548-6</t>
  </si>
  <si>
    <t>IEEE SENSOR</t>
  </si>
  <si>
    <t>10.1109/ICSENS.2009.5398226</t>
  </si>
  <si>
    <t>Engineering, Electrical &amp; Electronic</t>
  </si>
  <si>
    <t>BPT80</t>
  </si>
  <si>
    <t>WOS:000279891700022</t>
  </si>
  <si>
    <t>Sato, N; Doi, H</t>
  </si>
  <si>
    <t>Ismail, M</t>
  </si>
  <si>
    <t>Sato, Natsuo; Doi, Hiroko</t>
  </si>
  <si>
    <t>Conjugate Aurora: A Case Study of Westward Traveling Surge</t>
  </si>
  <si>
    <t>2009 INTERNATIONAL CONFERENCE ON SPACE SCIENCE AND COMMUNICATION</t>
  </si>
  <si>
    <t>International Conference on Space Science and Communication</t>
  </si>
  <si>
    <t>OCT 26-27, 2009</t>
  </si>
  <si>
    <t>Port Dickson, MALAYSIA</t>
  </si>
  <si>
    <t>Aurora; conjugacy; westward travelling surge; Antarctica; Iceland</t>
  </si>
  <si>
    <t>MAGNETOSPHERIC SUBSTORMS; DYNAMICS</t>
  </si>
  <si>
    <t>We report on spatial and temporal conjugacy of meso-scale (similar to 10-200 km) westward traveling surge auroras that were simultaneously acquired with all-sky TV cameras situated at two geomagnetically conjugate points, at Raufarhofn in Iceland and at Syowa Station in Antarctica on 30 September 2000. During this event, dynamic features of WTS for westward traveling, meso-scale vortex and curl structure and small-scale ray structure, latitudinal location of surge front of WTS showed good conjugacy. On the other hand, longitudinal displacement of surge front between Syowa and Raufarhofn was 570 km, and westward traveling speed is about 1.4 km/sec in the southern hemisphere but it is about 0.8 km/sec in the northern hemisphere.</t>
  </si>
  <si>
    <t>[Sato, Natsuo] Natl Inst Polar Res, Tokyo, Japan; [Doi, Hiroko] Univ Tokyo, Kanagawa, Japan</t>
  </si>
  <si>
    <t>Research Organization of Information &amp; Systems (ROIS); National Institute of Polar Research (NIPR) - Japan; University of Tokyo</t>
  </si>
  <si>
    <t>Sato, N (corresponding author), Natl Inst Polar Res, Tokyo, Japan.</t>
  </si>
  <si>
    <t>nsato@nipr.ac.jp</t>
  </si>
  <si>
    <t>Japan Society for the Promotion of Science (JSPS) [13573007, 17403009]; Grants-in-Aid for Scientific Research [17403009, 13573007]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</si>
  <si>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</si>
  <si>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M. Sato and the 41st Japanese Antarctic Research Expedition (JARE) carried out the optical operation at Syowa Station. T. Saemundsson, S. Johannesson, A. Egilsson, Y. Murata, and Y. Shinkai supported the auroral observations in Iceland. K. Tsunezawa assisted with the analysis of the auroral data. This research was supported by the Grant-in Aid for Scientific Research (B: 13573007 and B: 17403009) from the Japan Society for the Promotion of Science (JSPS).</t>
  </si>
  <si>
    <t>978-1-4244-4955-2</t>
  </si>
  <si>
    <t>Astronomy &amp; Astrophysics; Computer Science, Theory &amp; Methods; Engineering, Electrical &amp; Electronic; Telecommunications</t>
  </si>
  <si>
    <t>Astronomy &amp; Astrophysics; Computer Science; Engineering; Telecommunications</t>
  </si>
  <si>
    <t>BOP76</t>
  </si>
  <si>
    <t>WOS:000277251100001</t>
  </si>
  <si>
    <t>Suparta, W; Bakar, FNA; Abdullah, M; Sato, N; Kadokura, A; Bjornsson, G</t>
  </si>
  <si>
    <t>Suparta, W.; Bakar, F. N. A.; Abdullah, M.; Sato, N.; Kadokura, A.; Bjornsson, G.</t>
  </si>
  <si>
    <t>Monitoring of GPS PWV Variability at Bipolar Conjugate Points</t>
  </si>
  <si>
    <t>GPS PWV; monitoring; conjugate points; total ozone column</t>
  </si>
  <si>
    <t>WATER-VAPOR</t>
  </si>
  <si>
    <t>Atmospheric precipitable water vapour (PWV) is one of the most environment parameters that play a key role of the Earth's atmosphere. Characterization of their physical process and forecast the global climate system is a great challenge to investigate how much atmospheric difference between the North Pole and the South Pole in order to understand coupled climate system and global change. This paper presents a capability of GPS technique to measure the PWV content as a climate variable at conjugate points between Husafell station, Arctic (HUSA) and Syowa station, Antarctic (SVOG) using ground-based CPS receivers and surface meteorological measurements. Using data gathered from March to 31(st) May 2009, PWV variability at both regions is monitored. Analysis results of the surface meteorological parameters (pressure, temperature and humidity) and total ozone column data at both regions are also presented.</t>
  </si>
  <si>
    <t>[Suparta, W.] Univ Kebangsaan Malaysia, Inst Space Sci ANGKASA, Ukm Bangi 43600, Selangor, Malaysia; [Bakar, F. N. A.; Abdullah, M.] Univ Kebangsaan Malaysia, Dept Elect Elect &amp; Syst Engn, Ukm Bangi 43600, Selangor, Malaysia; [Sato, N.; Kadokura, A.] Natl Inst Polar Res, Tokyo 1908516, Japan; [Bjornsson, G.] Univ Iceland, Inst Sci, Reykjavik, Iceland</t>
  </si>
  <si>
    <t>Universiti Kebangsaan Malaysia; Universiti Kebangsaan Malaysia; Research Organization of Information &amp; Systems (ROIS); National Institute of Polar Research (NIPR) - Japan; University of Iceland</t>
  </si>
  <si>
    <t>Suparta, W (corresponding author), Univ Kebangsaan Malaysia, Inst Space Sci ANGKASA, Ukm Bangi 43600, Selangor, Malaysia.</t>
  </si>
  <si>
    <t>wayan@ukm.my</t>
  </si>
  <si>
    <t>Abdullah, Mohammad/E-8396-2010; SUPARTA, WAYAN/K-3110-2013; Abdullah, Mardina/J-9781-2016</t>
  </si>
  <si>
    <t>SUPARTA, WAYAN/0000-0002-6193-1867; Bjornsson, Gunnlaugur/0000-0003-1800-6382; Abdullah, Mardina/0000-0003-0725-2852</t>
  </si>
  <si>
    <t>Institute of Space Science (ANGKASA); Universiti Kebangsaan Malaysia (UKM); Academy Science Malaysia through Ministry of Science, Technology and Innovation (MOSTI) [PKT1/2003]</t>
  </si>
  <si>
    <t>Institute of Space Science (ANGKASA); Universiti Kebangsaan Malaysia (UKM); Academy Science Malaysia through Ministry of Science, Technology and Innovation (MOSTI)</t>
  </si>
  <si>
    <t>This work was supported by Institute of Space Science (ANGKASA), Universiti Kebangsaan Malaysia (UKM) and Academy Science Malaysia through Ministry of Science, Technology and Innovation (MOSTI) under research grant PKT1/2003. We would like to thank to Snorri Johannesson for maintaining the GPS PWV system and their kind hospitality during our stay at Husafell, the Scripps Orbit and Permanent Array Center (SOPAC) for GPS data, British Antarctic Survey for meteorology database, and Japan Meteorology Agency (JMA) and Swedish Meteorology and Hydrological Institute (SMHI) for total ozone column data respectively.</t>
  </si>
  <si>
    <t>10.1109/ICONSPACE.2009.5352638</t>
  </si>
  <si>
    <t>WOS:000277251100045</t>
  </si>
  <si>
    <t>Lawrence, JS; Ashley, MCB; Burton, MG; Gillingham, PR; McGrath, A; Haynes, R; Saunders, W; Storey, JWV</t>
  </si>
  <si>
    <t>Spinoglio, L; Epchtein, N</t>
  </si>
  <si>
    <t>Lawrence, J. S.; Ashley, M. C. B.; Burton, M. G.; Gillingham, P. R.; McGrath, A.; Haynes, R.; Saunders, W.; Storey, J. W. V.</t>
  </si>
  <si>
    <t>DOME C SITE TESTING IMPLICATIONS FOR SCIENCE AND TECHNOLOGY OF FUTURE TELESCOPES</t>
  </si>
  <si>
    <t>3RD ARENA CONFERENCE ON AN ASTRONOMICAL OBSERVATORY AT CONCORDIA (DOME C, ANTARCTICA)</t>
  </si>
  <si>
    <t>EAS Publications Series</t>
  </si>
  <si>
    <t>3rd ARENA Conference on Astronomical Observatory at CONCORDIA (Dome C, Antarctica)</t>
  </si>
  <si>
    <t>MAY 11-15, 2009</t>
  </si>
  <si>
    <t>Frascati, ITALY</t>
  </si>
  <si>
    <t>HIGH-ANTARCTIC PLATEAU; SKY BRIGHTNESS; TURBULENCE; INSTRUMENT; ASTRONOMY; MONITOR</t>
  </si>
  <si>
    <t>Site testing data provides an essential part of the justification for funding any new astronomical facility by defining the technological design and determining the telescope performance, thus allowing the scientific objectives to be prioritised Here we review the current status of site testing at Dome C by examining the range of instruments that have been, or are planned to be, deployed to the site We then investigate in mole detail preliminary data which has so far proven crucial for telescope design, data for which discrepancies exist between two or more instruments, and required data for which there are no current plans to obtain We discuss the implications of this data on the technical design, expected performance and the scientific capabilities for a 2 5 m class optical/infrared telescope Finally, we identify the site parameters that require further study, and define the experiments necessary to determine these parameters</t>
  </si>
  <si>
    <t>[Lawrence, J. S.; Ashley, M. C. B.; Burton, M. G.; Storey, J. W. V.] Univ New S Wales, Sch Phys, Sydney, NSW 2052, Australia; [Lawrence, J. S.; Gillingham, P. R.; McGrath, A.; Haynes, R.; Saunders, W.] Macquarie Univ, Dept Phys &amp; Engn, Sydney, NSW 1209, Australia; [Lawrence, J. S.] Anglo Australian Observ, Epping, NSW 1710, Australia</t>
  </si>
  <si>
    <t>University of New South Wales Sydney; Macquarie University</t>
  </si>
  <si>
    <t>Lawrence, JS (corresponding author), Univ New S Wales, Sch Phys, Sydney, NSW 2052, Australia.</t>
  </si>
  <si>
    <t>Ashley, Michael/0000-0003-1412-2028; Burton, Michael/0000-0001-7289-1998; Lawrence, Jon/0000-0002-6998-6993</t>
  </si>
  <si>
    <t>E D P SCIENCES</t>
  </si>
  <si>
    <t>CEDEX A</t>
  </si>
  <si>
    <t>17 AVE DU HOGGAR PARC D ACTIVITES COUTABOEUF BP 112, F-91944 CEDEX A, FRANCE</t>
  </si>
  <si>
    <t>1633-4760</t>
  </si>
  <si>
    <t>978-2-7598-0485-6</t>
  </si>
  <si>
    <t>EAS PUBLICATIONS</t>
  </si>
  <si>
    <t>10.1051/eas/1040004</t>
  </si>
  <si>
    <t>BSU34</t>
  </si>
  <si>
    <t>WOS:000285825400004</t>
  </si>
  <si>
    <t>Masciadri, E; Lascaux, F; Hagelin, S; Stoesz, J; Le Moigne, P; Noilhan, J</t>
  </si>
  <si>
    <t>Masciadri, E.; Lascaux, F.; Hagelin, S.; Stoesz, J.; Le Moigne, P.; Noilhan, J.</t>
  </si>
  <si>
    <t>OPTICAL TURBULENCE ABOVE THE INTERNAL ANTARCTIC PLATEAU</t>
  </si>
  <si>
    <t>DOME-C; SIMULATIONS; ATMOSPHERE; MODEL; LAYER</t>
  </si>
  <si>
    <t>The internal antarctic plateau revealed in the last years to be a site with interesting potentialities for the astronomical applications due to the extreme dryness and low temperatures, the typical high altitude of the plateau, the weak level of turbulence in the free atmosphere down to a just few tens of meters from the ground and the thin optical turbulence layer developed at the ground The main to characterize the site (optical turbulence and classical meteorological parameters) and to quantify which is the gain we might obtain with respect to equivalent astronomical observations done above mid-latitude sites to support plans for future astronomical facilities Our group has been involved, since a few years, in studies related to the assessment of this site for astronomical applications that include the characterization of the meteorological parameters and optical turbulence provided by general circulation models as well as mesoscale atmospherical models and the quantification of the performances of Adaptive Optics (AO) systems In this talk I will draw the status of art of this site assessment putting our studies in the context of the wide international site testing activity that has been done in Antarctica I will focus on the site assessment relevant to astronomical applications to be done in the visible up to the near infrared ranges, i e those ranges for which the optical turbulence represents a perturbing element for the quality of the images and the AO techniques an efficient tool to correct these wavefront perturbations</t>
  </si>
  <si>
    <t>[Masciadri, E.; Lascaux, F.; Hagelin, S.; Stoesz, J.] Osserv Astrofis Arcetri, INAF, L Go E Fermi 5, Florence, Italy; [Le Moigne, P.; Noilhan, J.] CNRM, Toulouse, France</t>
  </si>
  <si>
    <t>Masciadri, E (corresponding author), Osserv Astrofis Arcetri, INAF, L Go E Fermi 5, Florence, Italy.</t>
  </si>
  <si>
    <t>Le+Moigne, Patrick/AAU-9622-2020; Hagelin, Susanna/AAA-2956-2021; Lascaux, Franck/AAK-4581-2021; Masciadri, Elena/AAC-5611-2021</t>
  </si>
  <si>
    <t>Hagelin, Susanna/0000-0003-3167-3016; Masciadri, Elena/0000-0002-0450-4092; Lascaux, Franck/0000-0002-0099-0740</t>
  </si>
  <si>
    <t>Marie Curie Excellence [MEXTCT-2005-023878-FP6]; ECMWF</t>
  </si>
  <si>
    <t>Marie Curie Excellence(European Union (EU)); ECMWF</t>
  </si>
  <si>
    <t>This study has been funded by the Marie Curie Excellence Grant (ForOT) MEXTCT-2005-023878 - FP6 Program. ECMWF products are extracted from the MARScatalog, http://www.ecmwf.int. Meteorological parameters measurements from the Progetto di Ricerca Osservatorio Meteo Climatologico of the Programma Nazionale di Ricerche in Antartide (PNRA), http://www.climantartide.it and from the AMRC (Antarctic Meteorological Research Center, University of Wis-</t>
  </si>
  <si>
    <t>10.1051/eas/1040006</t>
  </si>
  <si>
    <t>WOS:000285825400006</t>
  </si>
  <si>
    <t>Gong, X; Wang, L; Cui, X; Feng, L; Yuan, X; Ashley, MCB; Allen, G; Bonnei, CS; Biadley, SG; Everett, JR; Hengst, S; Hu, J; Jiang, Z; Kulesa, CA; Lawrence, JS; Li, Y; Luong-Van, DM; McCaughrean, MJ; Moore, AM; Pennypacker, C; Qin, W; Riddle, R; Shang, Z; Storey, JWV; Sun, B; Suntzeff, N; Tothill, NFH; Travouillon, T; Walker, CK; Yan, J; Yang, H; Yang, J; York, DG; Zhang, X; Zhang, Z; Zhou, X; Zhu, Z</t>
  </si>
  <si>
    <t>Gong, X.; Wang, L.; Cui, X.; Feng, L.; Yuan, X.; Ashley, M. C. B.; Allen, G.; Bonnei, C. S.; Biadley, S. G.; Everett, J. R.; Hengst, S.; Hu, J.; Jiang, Z.; Kulesa, C. A.; Lawrence, J. S.; Li, Y.; Luong-Van, D. M.; McCaughrean, M. J.; Moore, A. M.; Pennypacker, C.; Qin, W.; Riddle, R.; Shang, Z.; Storey, J. W. V.; Sun, B.; Suntzeff, N.; Tothill, N. F. H.; Travouillon, T.; Walker, C. K.; Yan, J.; Yang, H.; Yang, J.; York, D. G.; Zhang, X.; Zhang, Z.; Zhou, X.; Zhu, Z.</t>
  </si>
  <si>
    <t>DOME A SITE TESTING AND FUTURE PLANS</t>
  </si>
  <si>
    <t>ANTARCTICA</t>
  </si>
  <si>
    <t>In January 2005, members of a Chinese expedition team were the first humans to visit Dome A on the Antarctic plateau, a site predicted to be one of the very best astronomical sites on earth In 2006, the Chinese Center for Antarctic Astronomy (CCAA) was founded to promote the development of astronomy in Antarctica, especially at Dome A CCAA has since taken part in two traverses to Dome A, organized by the Polar Research Institute of China (PRIC), in the austral summers of 2007/2008 and 2008/2009 These traverses resulted in the installation of many site-testing and science instruments supported by the PLATO observatory The Chinese Small Telescope ARray (CSTAR) has produced excellent results from Dome A Our future plans include further site-testing work, and the following full-scale science instruments three 0 5-m Antarctic Schmidt Telescopes (AST3) and a proposed 4-m telescope for wide-field infrared high spatial-resolution surveys The first AST3 telescope is under construction and is scheduled for installation in 2011</t>
  </si>
  <si>
    <t>[Gong, X.; Cui, X.] Chinese Acad Sci, Nanjing Inst Astron Opt &amp; Technol, Natl Astron Observ, Nanjing 210012, Peoples R China; [Gong, X.; Wang, L.; Cui, X.; Yuan, X.; Hu, J.; Jiang, Z.; Li, Y.; Qin, W.; Shang, Z.; Sun, B.; Yan, J.; Yang, H.; Yang, J.; Zhang, X.; Zhang, Z.; Zhou, X.; Zhu, Z.] Chinese Ctr Antarct Astron, Nanjing, Peoples R China; [Wang, L.] Texas A&amp;M Univ, Dept Phys, College Stn, TX 77843 USA; [Wang, L.; Yuan, X.; Hu, J.; Jiang, Z.] Chinese Acad Sci, Natl Astron Observ, Beijing 100012, Peoples R China; [Feng, L.; Yan, J.; Yang, J.; Zhang, X.; Zhu, Z.] Purple Mt Observ, Nanjing 210008, Peoples R China; [Ashley, M. C. B.; Bonnei, C. S.; Everett, J. R.; Hengst, S.; Lawrence, J. S.; Luong-Van, D. M.; Storey, J. W. V.] Univ New South Wales, Sch Phys, Sydney, NSW 2052, Australia; [Allen, G.] Solar Mobil Pty Ltd, Thornleigh, NSW 2120, Australia; [Biadley, S. G.] Univ Auckland, Dept Phys, Auckland 1142, New Zealand; [Kulesa, C. A.; Walker, C. K.] Univ Arizona, Steward Observ, Tucson, AZ 85721 USA; [Lawrence, J. S.] Macquarie Univ, Dept Phys &amp; Engn, N Ryde, NSW 2109, Australia; [Lawrence, J. S.] Anglo Australian Observ, Sydney, NSW 1710, Australia; [Li, Y.; Qin, W.; Sun, B.; Yang, H.; Zhang, Z.] Polar Res Inst China, Shanghai 200136, Peoples R China; [McCaughrean, M. J.; Tothill, N. F. H.] Univ Exeter, Sch Phys, Exeter EX4 4QL, Devon, England; [Moore, A. M.] CALTECH, Caltech Opt Observ, Pasadena, CA 91125 USA; [Pennypacker, C.] Univ Calif Berkeley, Lawrence Berkeley Natl Lab, Berkeley, CA 94720 USA; [Riddle, R.; Travouillon, T.] Thirty Meter Telescope Project, Pasadena, CA 91107 USA; [Shang, Z.] Tianjin Normal Univ, Tianjin 300074, Peoples R China; [York, D. G.] Univ Chicago, Enrico Fermi Inst, Dept Astron &amp; Astrophys, Chicago, IL 60637 USA</t>
  </si>
  <si>
    <t>Chinese Academy of Sciences; National Astronomical Observatory, CAS; Nanjing Institute of Astronomical Optics &amp; Technology, NAOC, CAS; Texas A&amp;M University System; Texas A&amp;M University College Station; Chinese Academy of Sciences; National Astronomical Observatory, CAS; Chinese Academy of Sciences; Nanjing Institute of Astronomical Optics &amp; Technology, NAOC, CAS; Purple Mountain Observatory, CAS; University of New South Wales Sydney; University of Auckland; University of Arizona; Macquarie University; Polar Research Institute of China; University of Exeter; California Institute of Technology; United States Department of Energy (DOE); Lawrence Berkeley National Laboratory; University of California System; University of California Berkeley; Tianjin Normal University; University of Chicago</t>
  </si>
  <si>
    <t>Gong, X (corresponding author), Chinese Acad Sci, Nanjing Inst Astron Opt &amp; Technol, Natl Astron Observ, Nanjing 210012, Peoples R China.</t>
  </si>
  <si>
    <t>Tothill, Nicholas/O-2682-2019; Tothill, Nicholas/M-6379-2016</t>
  </si>
  <si>
    <t>Lawrence, Jon/0000-0002-6998-6993; McCaughrean, Mark/0000-0002-1452-5268; Moore, Anna/0000-0002-2894-6936; Ashley, Michael/0000-0003-1412-2028; Travouillon, Tony/0000-0001-9304-6718; Bradley, Stuart/0000-0003-4441-7791; Tothill, Nicholas/0000-0002-9931-5162</t>
  </si>
  <si>
    <t>10.1051/eas/1040007</t>
  </si>
  <si>
    <t>WOS:000285825400007</t>
  </si>
  <si>
    <t>Ashley, MCB; Allen, G; Bonner, CS; Bradley, SG; Cui, X; Everett, JR; Feng, L; Gong, X; Hengst, S; Hu, J; Jiang, Z; Kulesa, CA; Lawrence, JS; Li, Y; Luong-Van, DM; McCaughrean, MJ; Moore, AM; Pennypacker, C; Qin, W; Riddle, R; Shang, Z; Storey, JWV; Sun, B; Suntzeff, N; Tothill, NFH; Travouillon, T; Walker, CK; Wang, L; Yan, J; Yang, H; Yang, J; York, DG; Yuan, X; Zhang, X; Zhang, Z; Zhou, X; Zhu, Z</t>
  </si>
  <si>
    <t>Ashley, M. C. B.; Allen, G.; Bonner, C. S.; Bradley, S. G.; Cui, X.; Everett, J. R.; Feng, L.; Gong, X.; Hengst, S.; Hu, J.; Jiang, Z.; Kulesa, C. A.; Lawrence, J. S.; Li, Y.; Luong-Van, D. M.; McCaughrean, M. J.; Moore, A. M.; Pennypacker, C.; Qin, W.; Riddle, R.; Shang, Z.; Storey, J. W. V.; Sun, B.; Suntzeff, N.; Tothill, N. F. H.; Travouillon, T.; Walker, C. K.; Wang, L.; Yan, J.; Yang, H.; Yang, J.; York, D. G.; Yuan, X.; Zhang, X.; Zhang, Z.; Zhou, X.; Zhu, Z.</t>
  </si>
  <si>
    <t>PLATO-A ROBOTIC OBSERVATORY FOR THE ANTARCTIC PLATEAU</t>
  </si>
  <si>
    <t>PLATO is a fully-robotic observatory designed for operation in Antarctica It generates its own electricity (about 1 kW) heat (sufficient to keep two 10-foot shipping containers comfortably above 0 degrees C when the outside temperature is at -70 degrees C), and connects to the Internet using the Iridium satellite system (providing similar to 30 MB/day of data transfer) Following a successful first year of operation at Dome A during 2008, PLATO was upgraded with new instruments for 2009</t>
  </si>
  <si>
    <t>[Ashley, M. C. B.; Bonner, C. S.; Everett, J. R.; Hengst, S.; Lawrence, J. S.; Luong-Van, D. M.; Storey, J. W. V.] Univ New S Wales, Sch Phys, Sydney, NSW 2052, Australia; [Allen, G.] Solar Mobil Pty Ltd, Thornleigh, NSW 2120, Australia; [Bradley, S. G.] Univ Auckland, Dept Phys, Auckland 1142, New Zealand; [Cui, X.; Gong, X.; Yuan, X.] Nanjing Inst Astronom Opt &amp; Technol, Nanjing 210042, Peoples R China; [Feng, L.; Wang, L.; Yan, J.; Yang, J.; Zhang, X.; Zhu, Z.] Purple Mt Observ, Nanjing 210008, Peoples R China; [Hu, J.; Jiang, Z.; Zhou, X.] Chinese Acad Sci, Natl Astron Observ, Beijing 100012, Peoples R China; [Kulesa, C. A.; Walker, C. K.] Univ Arizona, Steward Observ, Tucson, AZ 85721 USA; [Lawrence, J. S.] Macquarie Univ, Dept Phys &amp; Engn, N Ryde, NSW 2109, Australia; [Lawrence, J. S.] Anglo Australian Observ, Sydney, NSW 1710, Australia; [Li, Y.; Qin, W.; Sun, B.; Yang, H.; Zhang, Z.] Polar Res Inst China, Shanghai 200136, Peoples R China; [McCaughrean, M. J.; Tothill, N. F. H.] Univ Exeter, Sch Phys, Exeter EX4 4QL, Devon, England; [Moore, A. M.] CALTECH, Caltech Opt Observ, Pasadena, CA 91125 USA; [Pennypacker, C.] Univ Calif Berkeley, Lawrence Berkeley Natl Lab, Berkeley, CA 94720 USA; [Riddle, R.; Travouillon, T.] Thirty Meter Telescope Project, Pasadena, CA 91107 USA; [Shang, Z.] Tianjin Normal Univ, Tianjin 300074, Peoples R China; [Suntzeff, N.; Wang, L.] Texas A&amp;M Univ, Dept Phys, College Stn, TX 77843 USA; [York, D. G.] Univ Chicago, Enrico Fermi Inst, Dept Astron &amp; Astrophys, Chicago, IL 60637 USA</t>
  </si>
  <si>
    <t>University of New South Wales Sydney; University of Auckland; Chinese Academy of Sciences; Nanjing Institute of Astronomical Optics &amp; Technology, NAOC, CAS; Purple Mountain Observatory, CAS; Chinese Academy of Sciences; Nanjing Institute of Astronomical Optics &amp; Technology, NAOC, CAS; Chinese Academy of Sciences; National Astronomical Observatory, CAS; University of Arizona; Macquarie University; Polar Research Institute of China; University of Exeter; California Institute of Technology; University of California System; University of California Berkeley; United States Department of Energy (DOE); Lawrence Berkeley National Laboratory; Tianjin Normal University; Texas A&amp;M University System; Texas A&amp;M University College Station; University of Chicago</t>
  </si>
  <si>
    <t>Ashley, MCB (corresponding author), Univ New S Wales, Sch Phys, Sydney, NSW 2052, Australia.</t>
  </si>
  <si>
    <t>Ashley, Michael/0000-0003-1412-2028; Lawrence, Jon/0000-0002-6998-6993; Moore, Anna/0000-0002-2894-6936; Bradley, Stuart/0000-0003-4441-7791; Travouillon, Tony/0000-0001-9304-6718; Tothill, Nicholas/0000-0002-9931-5162; McCaughrean, Mark/0000-0002-1452-5268</t>
  </si>
  <si>
    <t>10.1051/eas/1040009</t>
  </si>
  <si>
    <t>WOS:000285825400009</t>
  </si>
  <si>
    <t>Saunders, W; Lawrence, JS; Storey, JWV; Ashley, MCB; Kato, S; Minnis, P; Winkei, DM; Liu, G; Kulesa, C</t>
  </si>
  <si>
    <t>Saunders, W.; Lawrence, J. S.; Storey, J. W. V.; Ashley, M. C. B.; Kato, S.; Minnis, P.; Winkei, D. M.; Liu, G.; Kulesa, C.</t>
  </si>
  <si>
    <t>THE BEST SITE ON EARTH?</t>
  </si>
  <si>
    <t>ANTARCTIC CONTINENT; ATMOSPHERE; PLATEAU</t>
  </si>
  <si>
    <t>We compare the merits of potential observatory site, on the Antarctic Plateau, in regard to the boundary layer, cloud cover, free atmosphere seeing, aurorae, airglow, and precipitable water vapour We find that (a) all Antarctic sites are likely compromised for optical work by airglow and aurorae, (b) Dome A is the best existing site in almost all respects, (c) there is an even better site (Ridge A') 150 kms SW of Dome A, (d) Dome F is a remarkably good site except for aurorae, (e) Dome C probably has the least cloud cover of any of the sites, and might be able to use a predicted 'OH hole' m the Spring</t>
  </si>
  <si>
    <t>Minnis, Patrick/G-1902-2010</t>
  </si>
  <si>
    <t>Minnis, Patrick/0000-0002-4733-6148; Ashley, Michael/0000-0003-1412-2028; Lawrence, Jon/0000-0002-6998-6993</t>
  </si>
  <si>
    <t>10.1051/eas/1040011</t>
  </si>
  <si>
    <t>WOS:000285825400011</t>
  </si>
  <si>
    <t>Lascaux, F; Masciadri, E; Hagelin, S; Stoesz, J</t>
  </si>
  <si>
    <t>Lascaux, F.; Masciadri, E.; Hagelin, S.; Stoesz, J.</t>
  </si>
  <si>
    <t>NUMERICAL SIMULATIONS OF OPTICAL TURBULENCE AT LOW AND HIGH HORIZONTAL RESOLUTION IN ANTARCTICA WITH A MESOSCALE METEOROLOGICAL MODEL</t>
  </si>
  <si>
    <t>DOME-C</t>
  </si>
  <si>
    <t>It has already been demonstrated that a mesoscale meteorological model such as Meso-NH (Lafore et al 1998) is highly reliable in reproducing 3D maps of optical turbulence (Mascradri et al 1999, Mascradri &amp; Jabouille 2001, Mascradri et al 2004) Preliminary measurements above the Antarctic Plateau have so far indicated 9, pretty good value for the seeing 0 27 '' (Lawrence et al 2004), 0 36 '' (Agabi et al 2008) or 0 4 '' (Trinquet et al 2008) at Dome C However some uncertainties remain That's why our group is focusing on a detailed study of the atmospheric flow and turbulence in the internal Antarctic Plateau Our intention is to use the Meso-NH model to do predictions of the atmospheric flow and the corresponding optical turbulence in the internal plateau The use of this model has another huge ad vantage we have access to informations inside an entire 3D volume which is not the case with observations only Two different configurations have been used a low horizontal resolution (with a mesh-size of 100 km) and a high horizontal resolution with the grid-nesting interactive technique (with a mesh-size of 1 km in the innermost domain centered above the area of interest) We present here the turbulence distribution reconstructed by Meso-NH for 16 nights monitored in winter time 2005, looking at the the seeing and the surface layer thickness</t>
  </si>
  <si>
    <t>[Lascaux, F.; Masciadri, E.; Hagelin, S.; Stoesz, J.] Osserv Astrofis Arcetri, INAF, I-50125 Florence, Italy</t>
  </si>
  <si>
    <t>Lascaux, F (corresponding author), Osserv Astrofis Arcetri, INAF, Largo E Fermi 5, I-50125 Florence, Italy.</t>
  </si>
  <si>
    <t>Hagelin, Susanna/AAA-2956-2021; Lascaux, Franck/AAK-4581-2021; Masciadri, Elena/AAC-5611-2021</t>
  </si>
  <si>
    <t>10.1051/eas/1040012</t>
  </si>
  <si>
    <t>WOS:000285825400012</t>
  </si>
  <si>
    <t>STUDY OF THE WINTER 2005 ANTARCTICA POLAR VORTEX</t>
  </si>
  <si>
    <t>VORTICES; CLIMATOLOGY</t>
  </si>
  <si>
    <t>During winter and springtime, the flow above Antarctica at high altitude (upper troposphere and stratosphere) is dominated by the presence of a vortex centered above the continent It lasts typically from August to November This vortex is characterized by a strong cyclonic jet centered above the polar high In a recent study of our group (Hagelin at al 2008) of four different sites in the Antarctic internal plateau (South Pole, Dome C, Dome A and Dome F), it was made the hypothesis that the wind speed strength in the upper atmosphere should be related to the distance of the site to the center of the Antarctic polar vortex This high altitude wind is very important from an astronomical point of view since It might trigger the onset of the optical turbulence and strongly affect other optical turbulence parameters What we are Interested in here is to localize the position of the minimum value of the wind speed at high altitude in order to confirm the hypothesis of Hagelin et al (2008)</t>
  </si>
  <si>
    <t>Hagelin, Susanna/AAA-2956-2021; Masciadri, Elena/AAC-5611-2021; Lascaux, Franck/AAK-4581-2021</t>
  </si>
  <si>
    <t>10.1051/eas/1040013</t>
  </si>
  <si>
    <t>WOS:000285825400013</t>
  </si>
  <si>
    <t>Gardini, A; Damiani, A; Storini, M</t>
  </si>
  <si>
    <t>Gardini, A.; Damiani, A.; Storini, M.</t>
  </si>
  <si>
    <t>USE OF AURA MICROWAVE LIMB SOUNDER DATA FOR DOME C AND DOME A SITE-TESTING</t>
  </si>
  <si>
    <t>The Antarctic Plateau is considered an ideal location for ground-based astronomy from the visible to the millimetric wavelength, thanks to both the low thermal emission and the high transparency of the atmosphere The Microwave Limb Sounder instrument on board the AURA satellite, provides the vertical profiles of temperature, humidity and several gases present in atmosphere These profiles can be used as input in radiative transfer model to simulate the atmospheric transmissivity at the different wavelengths</t>
  </si>
  <si>
    <t>[Gardini, A.; Damiani, A.; Storini, M.] INAF IFSI Roma, I-00133 Rome, Italy</t>
  </si>
  <si>
    <t>Gardini, A (corresponding author), INAF IFSI Roma, Via Fosso del Cavaliere 100, I-00133 Rome, Italy.</t>
  </si>
  <si>
    <t>Damiani, Alessandro/X-4677-2019; gardini, angela/AAD-8404-2021</t>
  </si>
  <si>
    <t>Damiani, Alessandro/0000-0003-3014-6193; gardini, angela/0000-0002-3234-9130</t>
  </si>
  <si>
    <t>10.1051/eas/1040015</t>
  </si>
  <si>
    <t>WOS:000285825400015</t>
  </si>
  <si>
    <t>Busso, M; Bagaglia, M; Guandalini, R; Mancini, A; Nucciarelli, G; Piluso, A; Tosti, G; Dolci, M; Straniero, O; Abia, C</t>
  </si>
  <si>
    <t>Busso, M.; Bagaglia, M.; Guandalini, R.; Mancini, A.; Nucciarelli, G.; Piluso, A.; Tosti, G.; Dolci, M.; Straniero, O.; Abia, C.</t>
  </si>
  <si>
    <t>SCIENCE WITH THE IRAIT TELESCOPE THE COMMISSIONING PHASE</t>
  </si>
  <si>
    <t>GIANT BRANCH STARS; LOSING AGB STARS; INFRARED PHOTOMETRY; SOLAR-SYSTEM; EVOLUTION; ENRICHMENT</t>
  </si>
  <si>
    <t>We briefly outline the plans for scientific activities with the International Robotic Antarctic Infrared Telescope (TRAIT), recently mounted at Dome C We summarize a few fields where infrared observations with the TRAIT telescope can be effective and we focus on a key project for the Commissioning Phase, namely the determination of the luminosity and of evolutionary parameters for evolved Long-Period Variables (LPVs)</t>
  </si>
  <si>
    <t>[Busso, M.; Bagaglia, M.; Guandalini, R.; Mancini, A.; Nucciarelli, G.; Piluso, A.; Tosti, G.] Univ Perugia, Dipartimento Fis, I-06100 Perugia, Italy; [Dolci, M.; Straniero, O.] Osservatorio Collurania, INAF, Teramo, Italy; [Abia, C.] Univ Granada, Dept Fis Teor &amp; Cosmos, Granada, Spain</t>
  </si>
  <si>
    <t>University of Perugia; Istituto Nazionale Astrofisica (INAF); University of Granada</t>
  </si>
  <si>
    <t>Busso, M (corresponding author), Univ Perugia, Dipartimento Fis, I-06100 Perugia, Italy.</t>
  </si>
  <si>
    <t>Tosti, Gino/E-9976-2013; Abia Ladron De Guevara, Carlos Antonio/O-9585-2017; Busso, Maurizio Maria/K-7075-2015</t>
  </si>
  <si>
    <t>Tosti, Gino/0000-0002-0839-4126; Abia Ladron De Guevara, Carlos Antonio/0000-0002-5665-2716; Dolci, Mauro/0000-0001-8000-5642; Straniero, Oscar/0000-0002-5514-6125; Busso, Maurizio Maria/0000-0001-8944-5820</t>
  </si>
  <si>
    <t>10.1051/eas/1040022</t>
  </si>
  <si>
    <t>WOS:000285825400022</t>
  </si>
  <si>
    <t>Dolci, M; Straniero, O; Di Rico, G; Ragni, M; Valentini, G; Di Cianno, A; Giuliani, C; Valentini, A; Taraschi, V; Bortoletto, F; D'Alessandro, M; Magrin, D; Bonoli, C; Fantinel, D; Corcione, L; Riva, A; Abia, C; Busso, M; Tosti, G</t>
  </si>
  <si>
    <t>Dolci, M.; Straniero, O.; Di Rico, G.; Ragni, M.; Valentini, G.; Di Cianno, A.; Giuliani, C.; Valentini, A.; Taraschi, V.; Bortoletto, F.; D'Alessandro, M.; Magrin, D.; Bonoli, C.; Fantinel, D.; Corcione, L.; Riva, A.; Abia, C.; Busso, M.; Tosti, G.</t>
  </si>
  <si>
    <t>STATUS OF THE AMICA PROJECT READY FOR THE ANTARCTIC ADVENTURE</t>
  </si>
  <si>
    <t>The status of the AMICA project is reported Final tests are currently running at Teramo Observatory before moving the instrument to Antarctica AMICA is a camera equipped with two array detectors to perform astronomical imaging in the 2-28 mu m band It will be mounted at the TRAIT focal plane Its very special feature is the antarctic operability AMICA subsystems have been tested at typical antarctic conditions, in order to adopt technological solutions that ensure the correct operation of AMICA even on the antarctic plateau Moreover, since human operations are not possible during the antarctic winter, AMICA has been designed to operate in a completely automatic mode AMICA is essentially aimed to demonstrate the potential of Antarctica for Infrared Astronomy and should therefore produce significant data, both for astronomy and site-testing In addition, the experience gained in its technological development will be useful for building future astronomical instruments for extreme environment sites</t>
  </si>
  <si>
    <t>[Dolci, M.; Straniero, O.; Di Rico, G.; Ragni, M.; Valentini, G.; Di Cianno, A.; Giuliani, C.; Valentini, A.; Taraschi, V.] Osservatorio Astron Collurania Teramo, INAF, Teramo, Italy; [Bortoletto, F.; D'Alessandro, M.; Magrin, D.; Bonoli, C.; Fantinel, D.] Osserv Astron Padova, INAF, Padua, Italy; [Corcione, L.; Riva, A.] Osserv Astron Torino, INAF, Turin, Italy; [Abia, C.] Univ Granada, Granada, Spain; [Busso, M.; Tosti, G.] Univ Perugia, Perugia, Italy</t>
  </si>
  <si>
    <t>Istituto Nazionale Astrofisica (INAF); University of Padua; Istituto Nazionale Astrofisica (INAF); Istituto Nazionale Astrofisica (INAF); University of Granada; University of Perugia</t>
  </si>
  <si>
    <t>Dolci, M (corresponding author), Osservatorio Astron Collurania Teramo, INAF, Teramo, Italy.</t>
  </si>
  <si>
    <t>Tosti, Gino/E-9976-2013; Busso, Maurizio Maria/K-7075-2015; Abia Ladron De Guevara, Carlos Antonio/O-9585-2017</t>
  </si>
  <si>
    <t>Tosti, Gino/0000-0002-0839-4126; Straniero, Oscar/0000-0002-5514-6125; Dolci, Mauro/0000-0001-8000-5642; Fantinel, Daniela/0000-0001-8152-9480; Busso, Maurizio Maria/0000-0001-8944-5820; corcione, leonardo/0000-0002-6497-5881; Di Rico, Gianluca/0000-0002-5213-8269; Riva, Alberto/0000-0002-6928-8589; Magrin, Demetrio/0000-0003-0312-313X; d'alessandro, maurizio/0000-0002-8318-0988; Abia Ladron De Guevara, Carlos Antonio/0000-0002-5665-2716</t>
  </si>
  <si>
    <t>10.1051/eas/1040023</t>
  </si>
  <si>
    <t>WOS:000285825400023</t>
  </si>
  <si>
    <t>Magrin, D; Bortoletto, F; Bonoli, C; D'Alessandro, M; Giro, E; Fantinel, D; Corcione, L; Giuliani, C; Di Cianno, A; Di Rico, G; Dolci, M; Straniero, O</t>
  </si>
  <si>
    <t>Magrin, D.; Bortoletto, F.; Bonoli, C.; D'Alessandro, M.; Giro, E.; Fantinel, D.; Corcione, L.; Giuliani, C.; Di Cianno, A.; Di Rico, G.; Dolci, M.; Straniero, O.</t>
  </si>
  <si>
    <t>AMICA CONTROL SYSTEM PROGRESS STATUS</t>
  </si>
  <si>
    <t>The Antarctic Multi-band Infrared Camera is a NIR/MIR double armed camera operating in the K, L, M, N, Q photometrical bands that will be mounted at one of the F/21 65 IRAIT Nasmyth foci (Tosti et al 2006, Dolci et al 2009) AMICA will host two detectors the short wavelength radiation, 1 - 5 5 mu m NIR band, is sensed by a Raytheon CRC-463 InSb 256 x 256 detector, while the long wavelengths 7 - 25 mu m MIR band - is served by a DRS Technologies BIB Sr As 128 x 128 pixels art ay optimized for moderate photon flux A fully reflective optical system, composed of two off-axis parabolic mirrors and one fixed 45 degrees flat mirror, achieves a county:in, optimized, focal ratio reduction to F/14 73 at the detectors focal plane Taking advantage horn the large difference in pixel size between the NIR/MIR detectors, the resulting field-of-view will be 2 29 x 2 29 al arcmin(2) and 2 87 x 2 87 arcmin(2) on the NIR and MIR array, respectively In the present paper we report on the successful tests of the NIR/MIR multiplexers functionality at the maximum required readout frequency</t>
  </si>
  <si>
    <t>[Magrin, D.; Bortoletto, F.; Bonoli, C.; D'Alessandro, M.; Giro, E.; Fantinel, D.] Osserv Astron Padova, INAF, I-35122 Padua, Italy; [Corcione, L.] Osserv Astron Torino, INAF, Turin, Italy; [Giuliani, C.; Di Cianno, A.; Di Rico, G.; Dolci, M.; Straniero, O.] Osservatorio Astron Collurania Teramo, INAF, Teramo, Italy</t>
  </si>
  <si>
    <t>University of Padua; Istituto Nazionale Astrofisica (INAF); Istituto Nazionale Astrofisica (INAF); Istituto Nazionale Astrofisica (INAF)</t>
  </si>
  <si>
    <t>Magrin, D (corresponding author), Osserv Astron Padova, INAF, I-35122 Padua, Italy.</t>
  </si>
  <si>
    <t>Giro, Enrico/JGD-2364-2023</t>
  </si>
  <si>
    <t>Di Rico, Gianluca/0000-0002-5213-8269; Magrin, Demetrio/0000-0003-0312-313X; Giro, Enrico/0000-0001-7301-8285; corcione, leonardo/0000-0002-6497-5881; Straniero, Oscar/0000-0002-5514-6125; Fantinel, Daniela/0000-0001-8152-9480; Dolci, Mauro/0000-0001-8000-5642; d'alessandro, maurizio/0000-0002-8318-0988</t>
  </si>
  <si>
    <t>10.1051/eas/1040024</t>
  </si>
  <si>
    <t>WOS:000285825400024</t>
  </si>
  <si>
    <t>Mora, A; Eiroa, C; Navascues, DBY; Garcia-Vargas, ML; Maldonado, M; Sanchez-Blanco, E; Abia, C; Persi, P</t>
  </si>
  <si>
    <t>Mora, A.; Eiroa, C.; Barrado y Navascues, D.; Garcia-Vargas, M. L.; Maldonado, M.; Sanchez-Blanco, E.; Abia, C.; Persi, P.</t>
  </si>
  <si>
    <t>INFRARED INSTRUMENTS FOR A 2 5 M TELESCOPE AT DOME C</t>
  </si>
  <si>
    <t>We have carried out a conceptual design study for a near-infrared (NIR) wide-field camera and a mid-infrared (MIR) camera-spectrograph for a 2 5 m telescope at Dome C The main scientific drivers are the characterisation of young embedded objects, the evolution of crystalline silicates in circumstellar disks and the observation of exoplanet secondary transits Both instrument exploit the unique features of Dome C improved infrared transmission, reduced sky background, superb seeing, low temperature, and increased atmospheric stability The NIR camera covers the wavelength range 0 8-5 5 mu m and is optimized for the K-dark and L bands The MIR instrument is sensitive in the range 7-40 mu m with a possible extension to the sub-mm It is optimized for the Q window, including the Q+ extended portion (25-40 mu m) only observable from the Antarctic Plateau</t>
  </si>
  <si>
    <t>[Mora, A.; Eiroa, C.] Univ Autonoma Madrid, Dept Fis Teor, E-28049 Madrid, Spain; [Barrado y Navascues, D.] CAB INTA, Lab Astrofis Estelar &amp; Exoplanets, Madrid, Spain; [Garcia-Vargas, M. L.; Maldonado, M.; Sanchez-Blanco, E.] FRACTAL SLNE, Madrid, Spain; [Abia, C.] Univ Granada, Dept Fis Teor &amp; Cosmos, Granada, Spain; [Persi, P.] Inst Astrophys Spatiale Fis Cosmica, Rome, Italy</t>
  </si>
  <si>
    <t>Autonomous University of Madrid; Consejo Superior de Investigaciones Cientificas (CSIC); CSIC - UAM - Institut de Fisica Teorica (IFT); University of Granada; Istituto Nazionale Astrofisica (INAF)</t>
  </si>
  <si>
    <t>Mora, A (corresponding author), Univ Autonoma Madrid, Dept Fis Teor, E-28049 Madrid, Spain.</t>
  </si>
  <si>
    <t>Navascues, David Barrado/C-1439-2017; Abia Ladron De Guevara, Carlos Antonio/O-9585-2017</t>
  </si>
  <si>
    <t>Navascues, David Barrado/0000-0002-5971-9242; Abia Ladron De Guevara, Carlos Antonio/0000-0002-5665-2716</t>
  </si>
  <si>
    <t>10.1051/eas/1040025</t>
  </si>
  <si>
    <t>WOS:000285825400025</t>
  </si>
  <si>
    <t>Guandalini, R; Le Bertie, T; Busso, M</t>
  </si>
  <si>
    <t>Guandalini, R.; Le Bertie, T.; Busso, M.</t>
  </si>
  <si>
    <t>A SPECTROPHOTOMETRIC STUDY OF THE EVOLUTIONARY PROPERTIES OF AGB STARS AT INFRARED WAVELENGTHS</t>
  </si>
  <si>
    <t>GIANT BRANCH STARS; CARBON STARS; PHOTOMETRY; IRTS</t>
  </si>
  <si>
    <t>Spectrophotometric data at near- and mid-infrared (IR) wavelengths are crucial to understand the main evolutionary properties of the Asymptotic Giant Branch (AGB) phase They can be used to reveal relations between spectral features at near-IR wavelengths and parameters obtained with mid-IR photometric observations (i e bolometric luminosity) We are performing such an analysis on a,ample of Galactic AGB stars spectrophotometric data from the IRTS satellite are studied and compared with observations in the mid-IR range obtained by other instruments In this contribution we present preliminary results for a sub-sample of C-rich sources We show which spectral features in the 1-4 mu m region are most enhanced in the C-rich stars and explore how these features relate with the bolometric stellar luminosity Finally, we comment on how an Antarctic IR telescope at Dome C will help this research by observations of AGB sources in the Galaxy and in the Magellanic Clouds</t>
  </si>
  <si>
    <t>[Guandalini, R.; Busso, M.] Univ Perugia, Dipartimento Fis, Via A Pascoli, I-06123 Perugia, Italy; [Guandalini, R.; Busso, M.] Ist Nazl Fis Nucl, I-06123 Perugia, Italy; [Le Bertie, T.] LERMA, Observ Paris, Paris, France</t>
  </si>
  <si>
    <t>University of Perugia; Istituto Nazionale di Fisica Nucleare (INFN); Sorbonne Universite; Universite PSL; Observatoire de Paris</t>
  </si>
  <si>
    <t>Guandalini, R (corresponding author), Univ Perugia, Dipartimento Fis, Via A Pascoli, I-06123 Perugia, Italy.</t>
  </si>
  <si>
    <t>Busso, Maurizio Maria/K-7075-2015</t>
  </si>
  <si>
    <t>Busso, Maurizio Maria/0000-0001-8944-5820</t>
  </si>
  <si>
    <t>10.1051/eas/1040028</t>
  </si>
  <si>
    <t>WOS:000285825400028</t>
  </si>
  <si>
    <t>Le Bertre, T; Epchtein, N; Vauglin, I; Guandalini, R; Busso, M; Dartois, E; d'Hendecourt, L; Krieg, JM</t>
  </si>
  <si>
    <t>Le Bertre, T.; Epchtein, N.; Vauglin, I.; Guandalini, R.; Busso, M.; Dartois, E.; d'Hendecourt, L.; Krieg, J. M.</t>
  </si>
  <si>
    <t>AIFU AN ANTARCTIC INTEGRAL FIELD UNIT FOR NEAR-INFRARED SPECTRO-IMAGING</t>
  </si>
  <si>
    <t>Near-infrared spectro-photometry, at a spectral resolution of similar to 100, allows to characterize a great variety of stellar sources, from late-type giants to emission line stars Various components of the interstellar medium, including circumstellar environments and Planetary Nebulae, can also be traced We propose AIFU, a fiber-fed near-infrared low-resolution spectrograph With a 1' x 1' field of view and a 2 '' sampling, AIFU will be well suited to survey spectroscopically stellar populations in large areas of the Galaxy and of the Magellanic Clouds, as e g star-forming regions, as well as to image extended sources, like circumstellar shells around nearby evolved stars, PDRs, simultaneously in many different emission lines</t>
  </si>
  <si>
    <t>[Le Bertre, T.; Krieg, J. M.] Paris Observ, CNRS UMR 8112, LERMA, Paris, France; [Epchtein, N.] UNS, CNRS UMR 6525, Lab Fizeau, Nice, France; [Vauglin, I.] Lyon Observ, CNRS UMR 5574, CRAL, Lyon, France; [Guandalini, R.; Busso, M.] Univ Perugia, Dipartimento Fis, Perugia, Italy; [Dartois, E.; d'Hendecourt, L.] Paris Sud Univ, CNRS UMR 8617, IAS, Paris, France</t>
  </si>
  <si>
    <t>Universite PSL; Observatoire de Paris; Universite Cote d'Azur; Ecole Normale Superieure de Lyon (ENS de LYON); Universite Claude Bernard Lyon 1; Centre National de la Recherche Scientifique (CNRS); CNRS - National Institute for Earth Sciences &amp; Astronomy (INSU); University of Perugia; Centre National de la Recherche Scientifique (CNRS); CNRS - National Institute for Earth Sciences &amp; Astronomy (INSU); Universite Paris Saclay</t>
  </si>
  <si>
    <t>Le Bertre, T (corresponding author), Paris Observ, CNRS UMR 8112, LERMA, Paris, France.</t>
  </si>
  <si>
    <t>Busso, Maurizio Maria/0000-0001-8944-5820; Dartois, Emmanuel/0000-0003-1197-7143</t>
  </si>
  <si>
    <t>10.1051/eas/1040029</t>
  </si>
  <si>
    <t>WOS:000285825400029</t>
  </si>
  <si>
    <t>Kelz, A; Roth, MM; Lohmannsroben, HG; Kumke, M</t>
  </si>
  <si>
    <t>Kelz, A.; Roth, M. M.; Lohmannsroben, H-G; Kumke, M.</t>
  </si>
  <si>
    <t>ASTROCHEMISTRY AND ASTROPHOTONICS FOR AN ANTARCTIC OBSERVATORY</t>
  </si>
  <si>
    <t>DIFFUSE INTERSTELLAR BANDS; CARRIERS</t>
  </si>
  <si>
    <t>Due to its location and climate, Antarctica offers unique conditions for long-period observations across a broad wavelength regime, where important diagnostic lines for molecules and ions can be found, that are essential to understand the chemical properties of the interstellar medium In addition to the natural benefits of the site, new technologies, resulting from astrophotonics, may allow miniaturised instruments, that are easier to winterise and advanced filters to further reduce the background in the infrared</t>
  </si>
  <si>
    <t>[Kelz, A.; Roth, M. M.] Astrophys Inst Potsdam, Sternwarte 16, D-14482 Potsdam, Germany; [Lohmannsroben, H-G; Kumke, M.] Univ Potsdam, Inst Chem, D-14476 Potsdam, Germany</t>
  </si>
  <si>
    <t>University of Potsdam</t>
  </si>
  <si>
    <t>Kelz, A (corresponding author), Astrophys Inst Potsdam, Sternwarte 16, D-14482 Potsdam, Germany.</t>
  </si>
  <si>
    <t>Löhmannsröben, Hans-Gerd/U-5884-2019</t>
  </si>
  <si>
    <t>Kumke, Michael/0000-0002-3395-9379</t>
  </si>
  <si>
    <t>ARENA</t>
  </si>
  <si>
    <t>ARENA(Australian Renewable Energy Agency (ARENA))</t>
  </si>
  <si>
    <t>AK gratefully acknowledges support from ARENA to attend this conference</t>
  </si>
  <si>
    <t>10.1051/eas/1040031</t>
  </si>
  <si>
    <t>WOS:000285825400031</t>
  </si>
  <si>
    <t>du Foresto, VC; Surdej, J</t>
  </si>
  <si>
    <t>du Foresto, V. Coude; Surdej, J.</t>
  </si>
  <si>
    <t>WORKING GROUP 3 INFRARED INTERFEROMETRY AT DOME C</t>
  </si>
  <si>
    <t>NULLING INTERFEROMETRY; ANTARCTICA; STARS; CHARA/FLUOR; PLANETS; SITES; SPACE</t>
  </si>
  <si>
    <t>The goal of the working group was to define and realize a pre-feasibility study of an Antarctic interferometer dedicated to the characterization of exozodis with the sensitivity required (30 zodis 5 sigma detection) to discriminate sources suitable for future exoearth spectroscopic analysis The engineering study was carried out at AMOS, based on a concept by Thales Alenia Space derived from the GENIE instrument studied for ESA Particular emphasis was put on the compatibility with Concordia logistic and operational constraints, for which input was provided by IPEV through long visits by a system engineer student, Xavier Daudigeos The preliminary results are encouraging enough so that we recommend to move forward with a proposal for full industrial feasibility study that could be submitted to FP7 and/or to ESA</t>
  </si>
  <si>
    <t>[du Foresto, V. Coude] Observ Paris, LESIA, F-92190 Meudon, France</t>
  </si>
  <si>
    <t>Universite PSL; Observatoire de Paris</t>
  </si>
  <si>
    <t>du Foresto, VC (corresponding author), Observ Paris, LESIA, 5 Pl Jules Janssen, F-92190 Meudon, France.</t>
  </si>
  <si>
    <t>10.1051/eas/1040032</t>
  </si>
  <si>
    <t>WOS:000285825400032</t>
  </si>
  <si>
    <t>Ridgway, S; Glindemann, A</t>
  </si>
  <si>
    <t>Ridgway, S.; Glindemann, A.</t>
  </si>
  <si>
    <t>LONG TERM PERSPECTIVES IN THE POST-VLTI INTERFEROMETRY CONTEXT</t>
  </si>
  <si>
    <t>Optical(1) Interferometry has had an impressive 30-year run of innovation, prototyping and implementation Some half-dozen arrays are now in operation Publications are increasing exponentially In a future phase of advanced facility development, interferometry could move in any of several directions increased sensitivity, higher resolution, better imaging What role may the Antarctic have in the future?</t>
  </si>
  <si>
    <t>[Ridgway, S.] Natl Opt Astron Observ, Tucson, AZ 85726 USA</t>
  </si>
  <si>
    <t>National Optical Astronomy Observatory</t>
  </si>
  <si>
    <t>Ridgway, S (corresponding author), Natl Opt Astron Observ, POB 26732, Tucson, AZ 85726 USA.</t>
  </si>
  <si>
    <t>10.1051/eas/1040034</t>
  </si>
  <si>
    <t>WOS:000285825400034</t>
  </si>
  <si>
    <t>Barillot, M; du Foresto, VC; Surdej, J; Absil, O; Jamar, C; Di Folco, E</t>
  </si>
  <si>
    <t>Barillot, M.; du Foresto, V. Coude; Surdej, J.; Absil, O.; Jamar, C.; Di Folco, E.</t>
  </si>
  <si>
    <t>ALADDIN NULLING INSTRUMENT</t>
  </si>
  <si>
    <t>GENIE</t>
  </si>
  <si>
    <t>The ALADDIN project aims at detecting warm dust populations around nearby main sequence stars In order to achieve the significantly Improved sensitivity with respect to existing instruments, the architecture of the system is focused and optimised for the mission ALADDIN implements the nulling interferometry technique at the focal plane of a 2-telescope interferometer mounted on a rotating structural beam Concerning the beam combining nulling instrument, the ALADDIN design is inherited from a Definition Study of the VLTI/GENIE instrument In this paper, we demonstrate how the ALADDIN instrument preliminary definition can be made simpler and more representative of a space instrument than GENIE thinks to both the outstanding atmospheric properties of Dome C and the dedicated architecture of the system Finally, we discuss the compatibility of the instrument with the Antarctic environment and constraints, and underline the experimental and industrial know-how learnt from the MAII and PERSEE nulling breadboards in which our Team is also involved</t>
  </si>
  <si>
    <t>[Barillot, M.] Thales Alemia Space, Cannes La Bocca, France; [du Foresto, V. Coude; Di Folco, E.] Observ Paris, LESIA, Paris, France; [Surdej, J.; Absil, O.] Univ Liege, AGO, Liege, Belgium; [Jamar, C.] AMOS, Liege, Belgium</t>
  </si>
  <si>
    <t>Thales Group; Universite PSL; Observatoire de Paris; University of Liege</t>
  </si>
  <si>
    <t>Barillot, M (corresponding author), Thales Alemia Space, Cannes La Bocca, France.</t>
  </si>
  <si>
    <t>10.1051/eas/1040036</t>
  </si>
  <si>
    <t>WOS:000285825400036</t>
  </si>
  <si>
    <t>Absil, O; du Foresto, VC; Barillot, M; Daudigeos, X; Defrere, D; den Hartog, R; Di Folco, E; Surdej, J</t>
  </si>
  <si>
    <t>Absil, O.; du Foresto, V. Coude; Barillot, M.; Daudigeos, X.; Defrere, D.; den Hartog, R.; Di Folco, E.; Surdej, J.</t>
  </si>
  <si>
    <t>EXOZODIACAL DISCS WITH ALADDIN HOW FAINT CAN WE DETECT THEM?</t>
  </si>
  <si>
    <t>DOME-C; PERFORMANCE; ANTARCTICA</t>
  </si>
  <si>
    <t>In this paper, we describe the expected performance of ALADDIN, a nulling interferometer project optimised for operation at Dome C After reviewing the main atmospheric parameters pertaining to infrared interferometry on the high Antarctic plateau, we shortly describe the ALADDIN instrument and compute its estimated performance in terms of the smallest exozodiacal dust disc density that can be detected Our estimations are based on a thorough end-to-end software simulator previously developed for the GENIE nulling interferometer project at VLTI We then propose a possible mission scenario, where the southern target stars of future exo-Earth characterisation missions can be surveyed for the presence of bright exozodiacal discs (&gt;50 zodi) within one winter-over at Concordia</t>
  </si>
  <si>
    <t>[Absil, O.; Defrere, D.; Surdej, J.] Univ Liege, Dept Astrophys Geophys &amp; Oceanog, B-4000 Liege, Belgium</t>
  </si>
  <si>
    <t>Absil, O (corresponding author), Univ Liege, Dept Astrophys Geophys &amp; Oceanog, B-4000 Liege, Belgium.</t>
  </si>
  <si>
    <t>Defrere, Denis/0000-0003-3499-2506</t>
  </si>
  <si>
    <t>10.1051/eas/1040037</t>
  </si>
  <si>
    <t>WOS:000285825400037</t>
  </si>
  <si>
    <t>Minier, V; Olmi, L; Durand, G; Daddi, E; Israel, F; Kramer, C; Lagage, PO; de Petris, M; Sabbatini, L; Spinogho, L; Schneider, N; Tothill, N; Tremblin, P; Valenziano, L; Veyssiere, C</t>
  </si>
  <si>
    <t>Minier, V.; Olmi, L.; Durand, G.; Daddi, E.; Israel, F.; Kramer, C.; Lagage, P-O; de Petris, M.; Sabbatini, L.; Spinogho, L.; Schneider, N.; Tothill, N.; Tremblin, P.; Valenziano, L.; Veyssiere, C.</t>
  </si>
  <si>
    <t>THE ANTARCTIC SUBMILLIMETRE TELESCOPE</t>
  </si>
  <si>
    <t>This report aims to provide a summary of the status of our Antarctic Submillimetre Telescope (AST) project up to date It is a very new project for Antarctic astronomy Necessary prerequisites for a future deployment of a large size telescope infrastructure have been tested in years 2007 and 2008 The knowledge of the transmission, frost formation and temperature gradient were fundamental parameters before starting a feasibility study The telescope specifications and requirements are currently discussed with the industrial partnership</t>
  </si>
  <si>
    <t>[Minier, V.; Durand, G.; Daddi, E.; Lagage, P-O; Schneider, N.; Tremblin, P.] CEA Saclay, Lab AIM, Serv Astrophys Irfu, Gif Sur Yvette, France; [Olmi, L.] INAF, Osservatorio Arcetri, Rome, Italy; [Olmi, L.] Univ Puerto Rico, San Juan, PR 00936 USA; [Israel, F.] Leiden Observ, Leiden, Netherlands; [Kramer, C.; Valenziano, L.] Univ Cologne, Cologne, Germany; [Kramer, C.; Valenziano, L.] IRAM, Barcelona, Spain; [de Petris, M.] La Sapienza, Rome, Italy; [Sabbatini, L.] Dipartimento Fis, Rome 3, Italy; [Spinogho, L.] INAF Roma, IFSI, Rome, Italy; [Tothill, N.] Univ Exeter, Dept Phys, Exeter, Devon, England; [Veyssiere, C.] CEA Saclay, SIS Irfu, Gif Sur Yvette, France</t>
  </si>
  <si>
    <t>Universite Paris Saclay; CEA; Centre National de la Recherche Scientifique (CNRS); Universite Paris Cite; Istituto Nazionale Astrofisica (INAF); University of Puerto Rico; Leiden University; Leiden University - Excl LUMC; University of Cologne; Istituto Nazionale Astrofisica (INAF); University of Exeter; Universite Paris Saclay; CEA</t>
  </si>
  <si>
    <t>Minier, V (corresponding author), CEA Saclay, Lab AIM, Serv Astrophys Irfu, Gif Sur Yvette, France.</t>
  </si>
  <si>
    <t>Daddi, Emanuele/D-1649-2012; Spinoglio, Luigi/AAM-8365-2021; Tothill, Nicholas/O-2682-2019; De Petris, Marco/IXD-7671-2023; Schneider, Nicola/GPK-5451-2022; Tothill, Nicholas/M-6379-2016</t>
  </si>
  <si>
    <t>Daddi, Emanuele/0000-0002-3331-9590; Spinoglio, Luigi/0000-0001-8840-1551; Tremblin, Pascal/0000-0001-6172-3403; Tothill, Nicholas/0000-0002-9931-5162; Olmi, Luca/0000-0002-1162-7947; De Petris, Marco/0000-0001-7859-2139; Valenziano, Luca/0000-0002-1170-0104</t>
  </si>
  <si>
    <t>Science Ministry of the Land Nordrhein-Westfalen; Deutsche Forschungsgemeinschaft [SFB 301]; United States National Science Foundation [DPP88-18384]; Center for Astrophysical Research in Antarctica; NSF [OPP89-20223]</t>
  </si>
  <si>
    <t>Science Ministry of the Land Nordrhein-Westfalen; Deutsche Forschungsgemeinschaft(German Research Foundation (DFG)); United States National Science Foundation(National Science Foundation (NSF)); Center for Astrophysical Research in Antarctica; NSF(National Science Foundation (NSF))</t>
  </si>
  <si>
    <t>Rodney Marks died while serving as the year 2000 AST/RO winter-over scientist, and it is to him that this paper is dedicated. We thank Edgar Castro, Jeff Capara, Peter Cheimets, Jingquan Cheng, Robert Doherty, Urs Graf, James Howard, Gopal Narayanan, Maureen Savage, Oliver Siebertz, and Volker Tolls for their contributions to the project. Jonas Zmuidzinas has generously provided examples of his excellent SIS mixers. We also thank Rick LeDuc and Bruce Bumble at JPL for making SIS junctions and Tom Phillips at Caltech for making them available to us. We thank Eric Silverberg and the Smithsonian Submillimeter Array Project for the optical guide telescope. We thank Simon Radford of NRAO and Jeff Peterson of CMU for the data shown in Figure 6. We thank Juan R. Pardo of Caltech for discussions on atmospheric modeling and for carrying out the calculations shown in Figure 7. The AST/RO group is grateful for the logistical support of the National Science Foundation (NSF), Antarctic Support Associates, Raytheon Polar Services Company, and CARA during our polar expeditions. The University of Cologne contribution to AST/RO was supported by special funding from the Science Ministry of the Land Nordrhein-Westfalen and by the Deutsche Forschungsgemeinschaft through grant SFB 301. This work was supported in part by United States National Science Foundation grant DPP88-18384, and by the Center for Astrophysical Research in Antarctica and the NSF under Cooperative Agreement OPP89-20223.</t>
  </si>
  <si>
    <t>10.1051/eas/1040039</t>
  </si>
  <si>
    <t>WOS:000285825400039</t>
  </si>
  <si>
    <t>Tothill, NFH; Kulesa, CA; Walkei, CK; Yang, J; Ashley, MCB; Lawrence, JS; Luong-Van, D; Storey, JWV; Yang, H; Zhou, X; Zhu, Z; Bardin, J; Cui, X; Everett, J; Feng, L; Golish, D; Gong, X; Hu, J; Jacobs, K; Jiang, Z; Jones, G; Li, Y; Martin, CL; McCaughrean, MJ; Qin, W; Schein, M; Shang, Z; Siegel, P; Sun, B; Walsh, W; Wang, L; Weinreb, S; Xu, Z; Yan, J; Yuan, X; Zhang, XG</t>
  </si>
  <si>
    <t>Tothill, N. F. H.; Kulesa, C. A.; Walkei, C. K.; Yang, J.; Ashley, M. C. B.; Lawrence, J. S.; Luong-Van, D.; Storey, J. W. V.; Yang, H.; Zhou, X.; Zhu, Z.; Bardin, J.; Cui, X.; Everett, J.; Feng, L.; Golish, D.; Gong, X.; Hu, J.; Jacobs, K.; Jiang, Z.; Jones, G.; Li, Y.; Martin, C. L.; McCaughrean, M. J.; Qin, W.; Schein, M.; Shang, Z.; Siegel, P.; Sun, B.; Walsh, W.; Wang, L.; Weinreb, S.; Xu, Z.; Yan, J.; Yuan, X.; Zhang, X-G</t>
  </si>
  <si>
    <t>THZ ASTROPHYSICS FROM DOME A</t>
  </si>
  <si>
    <t>The THz spectral region includes a number of important transitions which allow us to trace the evolution of the interstellar medium Because of the opacity of the atmosphere in this spectral range, the best sites for ground-based THz observations are on the Antarctic Plateau, of these sites, Dome A is expected to be the best THz survey science can be carried out with small telescopes, easing logistical constraints By deploying a submillimetre-wave tipper/telescope to Dome A, we have trialled several technologies for such in instrument, and we are able to test whether the site quality is sufficient for THz surveys</t>
  </si>
  <si>
    <t>[Tothill, N. F. H.; McCaughrean, M. J.] Univ Exeter, Sch Phys, Stocker Rd, Exeter EX4 4QL, Devon, England; [Kulesa, C. A.; Walkei, C. K.; Golish, D.; Schein, M.] Steward Observ, Tucson, AZ 85721 USA; [Yang, J.; Zhu, Z.; Feng, L.; Wang, L.; Yan, J.; Zhang, X-G] Purple Mt Observ, Nanjing 210008, Jiangsu, Peoples R China; [Ashley, M. C. B.; Lawrence, J. S.; Luong-Van, D.; Storey, J. W. V.; Everett, J.] Univ New South Wales, Sch Phys, Sydney, NSW 2052, Australia; [Lawrence, J. S.] Macquarie Univ, Dept Phys &amp; Engn, N Ryde, NSW 1209, Australia; [Yang, H.; Li, Y.; Qin, W.; Sun, B.; Xu, Z.] Polar Res Inst China, Shanghai 200136, Peoples R China; [Zhou, X.; Hu, J.; Jiang, Z.] Natl Astron Observ, Beijing 100012, Peoples R China; [Bardin, J.; Jones, G.; Siegel, P.; Weinreb, S.] CALTECH, Jet Prop Lab, Pasadena, CA USA; [Cui, X.; Gong, X.; Yuan, X.] Nanjing Inst Astron Opt &amp; Technol, Nanjing 210042, Jiangsu, Peoples R China; [Jacobs, K.] Univ Cologne, Phys Inst 1, D-50937 Cologne, Germany; [Martin, C. L.] Oberlin Coll, Dept Phys &amp; Astron, Oberlin, OH 44074 USA; [Shang, Z.] Tianjin Normal Univ, Tianjin 300074, Peoples R China; [Walsh, W.] Univ Newcastle, Singapore 169567, Singapore; [Wang, L.] Texas A&amp;M Univ, Dept Phys, College Stn, TX 77843 USA</t>
  </si>
  <si>
    <t>University of Exeter; Chinese Academy of Sciences; Nanjing Institute of Astronomical Optics &amp; Technology, NAOC, CAS; Purple Mountain Observatory, CAS; University of New South Wales Sydney; Macquarie University; Polar Research Institute of China; Chinese Academy of Sciences; National Astronomical Observatory, CAS; National Aeronautics &amp; Space Administration (NASA); NASA Jet Propulsion Laboratory (JPL); California Institute of Technology; Chinese Academy of Sciences; Nanjing Institute of Astronomical Optics &amp; Technology, NAOC, CAS; University of Cologne; University System of Ohio; Oberlin College; Tianjin Normal University; University of Newcastle; Texas A&amp;M University System; Texas A&amp;M University College Station</t>
  </si>
  <si>
    <t>Tothill, NFH (corresponding author), Univ Exeter, Sch Phys, Stocker Rd, Exeter EX4 4QL, Devon, England.</t>
  </si>
  <si>
    <t>Cabeza-Lainez, Joseph/Q-3170-2018; Zhu, Li/KBA-1685-2024; Tothill, Nicholas/O-2682-2019; Tothill, Nicholas/M-6379-2016</t>
  </si>
  <si>
    <t>Cabeza-Lainez, Joseph/0000-0003-1763-9452; Martin, Christopher/0000-0002-8078-8859; Lawrence, Jon/0000-0002-6998-6993; Ashley, Michael/0000-0003-1412-2028; Tothill, Nicholas/0000-0002-9931-5162; McCaughrean, Mark/0000-0002-1452-5268; Bardin, Joseph/0000-0002-6523-6730</t>
  </si>
  <si>
    <t>10.1051/eas/1040040</t>
  </si>
  <si>
    <t>WOS:000285825400040</t>
  </si>
  <si>
    <t>Bally, J</t>
  </si>
  <si>
    <t>Bally, J.</t>
  </si>
  <si>
    <t>STAR FORMATION STUDIES FROM ANTARCTICA</t>
  </si>
  <si>
    <t>225-GHZ ATMOSPHERIC OPACITY</t>
  </si>
  <si>
    <t>Star formation is the fundamental cosmic process that determines the evolution of ordinary baryonic matter in the Universe Because stars form from cold, dense, and obscured cores in interstellar molecular clouds, star formation investigations require observations in the infrared to radio wavelength portions of the electromagnetic spectrum The high elevations and dry conditions at sites on the Antarctic plateau provide the darkest sky and best transparency available from any ground-based location I present an overview of unique observational opportunities in the general area of star and planet formation studies from Antarctica A 2 to 3 meter diameter mid-IR telescope optimized for wide-field imaging provides the most exciting near-term opportunities for a program of star formation studies</t>
  </si>
  <si>
    <t>Univ Colorado, Dept Astrophys &amp; Planetary Sci, Boulder, CO 80309 USA</t>
  </si>
  <si>
    <t>University of Colorado System; University of Colorado Boulder</t>
  </si>
  <si>
    <t>Bally, J (corresponding author), Univ Colorado, Dept Astrophys &amp; Planetary Sci, Boulder, CO 80309 USA.</t>
  </si>
  <si>
    <t>10.1051/eas/1040042</t>
  </si>
  <si>
    <t>WOS:000285825400042</t>
  </si>
  <si>
    <t>Tremblin, P; Schneider, N; Miniei, V; Durand, G; Reinert, Y; Busso, M; Sabbatini, L; Storey, JWV; Urban, J; Calisse, P; Veyssiere, C</t>
  </si>
  <si>
    <t>Tremblin, P.; Schneider, N.; Miniei, V.; Durand, G.; Reinert, Y.; Busso, M.; Sabbatini, L.; Storey, J. W. V.; Urban, J.; Calisse, P.; Veyssiere, C.</t>
  </si>
  <si>
    <t>DOME C THE BEST ACCESSIBLE SITE ON EARTH FOR SUBMILLIMETRE ASTRONOMY</t>
  </si>
  <si>
    <t>We present preliminary results of the measurements of sky transparency conducted at Dome C during the winter 2008 Using MOLIERE modeling, we estimate a low precipitable water vapour content above Concordia station, which is very promising for future sub-millimetre wave observations on the Antarctic Plateau</t>
  </si>
  <si>
    <t>[Tremblin, P.; Schneider, N.; Miniei, V.; Durand, G.; Reinert, Y.] CEA Saclay, DSM, IRFU, Serv Astrophys, Gif Sur Yvette, France; [Busso, M.] Univ Perugia, Dipartimento Fis, I-06100 Perugia, Italy; [Sabbatini, L.] Dipartimento Fis, Rome 3, Italy; [Storey, J. W. V.] Univ New South Wales, Sch Phys, Sydney, NSW 2052, Australia; [Urban, J.] Chalmers Univ Technol, Dept Radio &amp; Space Sci, S-41296 Gothenburg, Sweden; [Calisse, P.] Cardiff Univ, Sch Phys &amp; Astron, Cardiff, S Glam, Wales; [Veyssiere, C.] CEA Saclay DSM IRFU SIS, Gif Sur Yvette, France</t>
  </si>
  <si>
    <t>CEA; Universite Paris Saclay; University of Perugia; University of New South Wales Sydney; Chalmers University of Technology; Cardiff University</t>
  </si>
  <si>
    <t>Tremblin, P (corresponding author), CEA Saclay, DSM, IRFU, Serv Astrophys, Gif Sur Yvette, France.</t>
  </si>
  <si>
    <t>Schneider, Nicola/GPK-5451-2022; Busso, Maurizio Maria/K-7075-2015</t>
  </si>
  <si>
    <t>Tremblin, Pascal/0000-0001-6172-3403; Busso, Maurizio Maria/0000-0001-8944-5820</t>
  </si>
  <si>
    <t>10.1051/eas/1040047</t>
  </si>
  <si>
    <t>WOS:000285825400047</t>
  </si>
  <si>
    <t>Marchiori, G; Rampini, F; De Lorenzi, S</t>
  </si>
  <si>
    <t>Marchiori, G.; Rampini, F.; De Lorenzi, S.</t>
  </si>
  <si>
    <t>PRELIMINARY FEASIBILITY STUDY OF A DOME C RADIOANTENNA</t>
  </si>
  <si>
    <t>As science makes progress, proposing new discoveries every day, it is more and more interesting for the astronomical world to perform sub-millimeter observations from very suitable terrestrial sites, due to the purity of the air as well as to other environmental factors A site with these characteristics has been identified in the area of the DOME C in the South Pole The problems, both technical and logistic, that the installation of a radio antenna in the South Pole requires, are easily understandable Proceeding at the same rate as the progress of science, also the technological and industrial capacities improve, so that the problems that the realization of a sub-millimiter Observatory in the South Pole implies, can be overcome This is a summary of a Preliminary Feasibility Study of the AST (Antarctic Sub-millimeter Telescope) Radioantenna that is intended to be installed at Dome C</t>
  </si>
  <si>
    <t>[Marchiori, G.; Rampini, F.; De Lorenzi, S.] European Ind Engn Srl, Venice, VE, Italy</t>
  </si>
  <si>
    <t>Marchiori, G (corresponding author), European Ind Engn Srl, Venice, VE, Italy.</t>
  </si>
  <si>
    <t>10.1051/eas/1040048</t>
  </si>
  <si>
    <t>WOS:000285825400048</t>
  </si>
  <si>
    <t>Crouzet, N; Guillot, T; Agabi, A; Fantei-Caujolle, Y; Fressin, F; Rivet, JP; Bondoux, E; Chalhta, Z; Abe, L; Blazit, A; Bonhomme, S; Daban, JB; Gouvret, C; Mekarnia, D; Schmider, FX; Valbousquet, F</t>
  </si>
  <si>
    <t>Crouzet, N.; Guillot, T.; Agabi, A.; Fantei-Caujolle, Y.; Fressin, F.; Rivet, J-P; Bondoux, E.; Chalhta, Z.; Abe, L.; Blazit, A.; Bonhomme, S.; Daban, J-B; Gouvret, C.; Mekarnia, D.; Schmider, F-X; Valbousquet, F.</t>
  </si>
  <si>
    <t>ASTEP Team</t>
  </si>
  <si>
    <t>PHOTOMETRIC QUALITY OF DOME C FOR THE WINTER 2008 FROM ASTEP SOUTH</t>
  </si>
  <si>
    <t>ASTEP South is an Antarctic Search for Transiting ExoPlanets in the South pole field, from the Concordia station, Dome C, Antarctica The instrument consists of a thermalized 10 cm refractor observing a fixed 3 88 x 3 88 field of view to perform photometry of several thousand stars at visible wavelengths (700-900 nm) The first winter campaign in 2008 led to the retrieval of nearly 1600 hours of data WE. derive the fraction of photometric nights by measuring the number of detectable stars in the field The method is sensitive to the presence of small cirrus clouds which are invisible to the naked eye The fraction of night-time for which at least 50% of the stars are detected is 74% from June to September 2008 Most of the lost time (18 5% out of 26%) is due to periods of bad weather conditions lasting for a few days (white outs) Extended periods of clear weather exist For example, between July 10 and August 10, 2008, the total fraction of time (day-I-night) for which photometric observations were possible was 60% This confirms the very high quality of Dome C for nearly continuous photometric observations during the Antarctic winter</t>
  </si>
  <si>
    <t>[Crouzet, N.; Guillot, T.; Agabi, A.; Fantei-Caujolle, Y.; Rivet, J-P; Bondoux, E.; Chalhta, Z.; Abe, L.; Blazit, A.; Bonhomme, S.; Daban, J-B; Gouvret, C.; Mekarnia, D.; Schmider, F-X] Univ Nice Sophia Antipolis, CNRS, Observ Cote Azur, BP 4229, F-06304 Nice 4, France; [Agabi, A.; Fantei-Caujolle, Y.; Bondoux, E.; Chalhta, Z.; Abe, L.; Blazit, A.; Daban, J-B; Gouvret, C.; Mekarnia, D.; Schmider, F-X] Univ Nice Sophia Antipolis, CNRS, Observ Cote Azur, F-06108 Nice, France; [Fressin, F.] Harvard Smithsonian Ctr Astrophys, Cambridge, MA 02138 USA; [Bondoux, E.; Chalhta, Z.] Concordia Stn, Dome, France; [Valbousquet, F.] Opt &amp; Vis, F-06162 Juan Les Pins, France</t>
  </si>
  <si>
    <t>Universite Cote d'Azur; Observatoire de la Cote d'Azur; Centre National de la Recherche Scientifique (CNRS); Universite Cote d'Azur; Observatoire de la Cote d'Azur; Centre National de la Recherche Scientifique (CNRS); Harvard University; Smithsonian Institution; Smithsonian Astrophysical Observatory</t>
  </si>
  <si>
    <t>Crouzet, N (corresponding author), Univ Nice Sophia Antipolis, CNRS, Observ Cote Azur, BP 4229, F-06304 Nice 4, France.</t>
  </si>
  <si>
    <t>Schmider, François-Xavier/C-5435-2012</t>
  </si>
  <si>
    <t>Guillot, Tristan/0000-0002-7188-8428</t>
  </si>
  <si>
    <t>Agence Nationale de la Recherche; Institut des Sciences de l'Univers; Programme National de Planetologie</t>
  </si>
  <si>
    <t>Agence Nationale de la Recherche(Agence Nationale de la Recherche (ANR)); Institut des Sciences de l'Univers; Programme National de Planetologie</t>
  </si>
  <si>
    <t>ASTEP has been funded by the Agence Nationale de la Recherche, the Institut des Sciences de lUnivers and the Programme National de Planetologie. Operations at Concordia were made possible by the Institut Paul Emile Victor. ASTEP is led by the Observatoire de la Cote dAzur and Universite de Nice-Sophia Antipolis. Other participating institutes include the Observatoire de Haute Provence, DLR and the University of Exeter. NC acknowledges funding by the Observatoire de la Cote dAzur and the Region Provence Alpes Cote dAzur.</t>
  </si>
  <si>
    <t>10.1051/eas/1040051</t>
  </si>
  <si>
    <t>WOS:000285825400051</t>
  </si>
  <si>
    <t>Di Varano, I; Strassmeier, KG; Granzer, T; Woche, M</t>
  </si>
  <si>
    <t>Di Varano, I.; Strassmeier, K. G.; Granzer, T.; Woche, M.</t>
  </si>
  <si>
    <t>DEVELOPMENT OF THE OPTO-MECHANICAL DESIGN FOR ICE-T</t>
  </si>
  <si>
    <t>ICE-T (International Concordia Explorer Telescope) is a double 60 cm f/1 1 photometric robotic telescope, on a parallactic mount, which will operate at Dome C, in the long Antarctic night, aiming to investigate exoplanets and activity of the hosting stars Antarctic Plateau site is well known to be one of the best in the world for observations because of sky transparency in ill wavelengths and low scintillation noise Due to the extremely harsh environmental conditions (the lowest average temperature is -80 degrees C) the criteria adopted for an optimal design are really challenging Here we present the strategies we have adopted so far to fulfill the mechanical and optical requirements</t>
  </si>
  <si>
    <t>[Di Varano, I.; Strassmeier, K. G.; Granzer, T.; Woche, M.] AIP, D-14482 Potsdam, Germany</t>
  </si>
  <si>
    <t>Leibniz Institut fur Astrophysik Potsdam (AIP)</t>
  </si>
  <si>
    <t>Di Varano, I (corresponding author), AIP, Sternwarte 16, D-14482 Potsdam, Germany.</t>
  </si>
  <si>
    <t>Granzer, Thomas/0000-0002-5310-1521</t>
  </si>
  <si>
    <t>10.1051/eas/1040052</t>
  </si>
  <si>
    <t>WOS:000285825400052</t>
  </si>
  <si>
    <t>Dame, L; Andretta, V</t>
  </si>
  <si>
    <t>Dame, L.; Andretta, V.</t>
  </si>
  <si>
    <t>Arena Solar Astrophys Working Grp</t>
  </si>
  <si>
    <t>ARENA SOLAR ASTROPHYSICS WORKING GROUP REPORTING ON DOME C EXCEPTIONAL POTENTIAL FOR SOLAR OBSERVATIONS</t>
  </si>
  <si>
    <t>HIGH-ANTARCTIC PLATEAU; POLARIZATION; STATISTICS; TELESCOPES; ATMOSPHERE; CORONA; WAVES; FIELD</t>
  </si>
  <si>
    <t>The ARENA Solar Astrophysics Working Group (WG6) is reviewing the exceptional site conditions prevailing at Dome C/Concordia making it a unique place on Earth for solar observations excellent seeing, low sky brightness, low water vapour and high duty cycle These qualities open science programmes which can combine very high resolution, coronagraphy, infrared access, and long time series (continuity) Major objectives accessible are the chromosphere-corona interface at very high resolution, direct magnetic field measurements in the chromosphere (prominences) and in the corona, 2D imaging spectroscopy and waves A first mid-size facility is proposed and described, AFSIIC (Antarctica Facility for Solar Interferometric Imaging and Coronagraphy), using 3xO50 cm off-axis telescopes (1 4 m equivalent telescope) to access these objectives with the proper flux, angular resolution and coronagraphic potential Support infrastructure and logistics have been studied and are discussed, noticeably a 30 m tower to place the observatory over the very thin surface turbulent layer of Dome C</t>
  </si>
  <si>
    <t>[Dame, L.] LATMOS CNRS, Verrieres Le Buisson, France; [Dame, L.] Observ Paris, LESIA, Meudon, France; [Andretta, V.] INAF Osservatorio Astron Capodimonte, Naples, Italy</t>
  </si>
  <si>
    <t>Centre National de la Recherche Scientifique (CNRS); Universite Paris Saclay; Universite PSL; Observatoire de Paris; Istituto Nazionale Astrofisica (INAF)</t>
  </si>
  <si>
    <t>Dame, L (corresponding author), LATMOS CNRS, Verrieres Le Buisson, France.</t>
  </si>
  <si>
    <t>Andretta, Vincenzo/0000-0003-1962-9741</t>
  </si>
  <si>
    <t>10.1051/eas/1040062</t>
  </si>
  <si>
    <t>WOS:000285825400062</t>
  </si>
  <si>
    <t>Kaufman-Szymczyk, A; Wojtasik, A; Parniewski, P; Bialkowska, A; Tkaczuk, K; Turkiewicz, M</t>
  </si>
  <si>
    <t>Kaufman-Szymczyk, Agnieszka; Wojtasik, Arkadiusz; Parniewski, Pawel; Bialkowska, Aneta; Tkaczuk, Karolina; Turkiewicz, Marianna</t>
  </si>
  <si>
    <t>Identification of the csp gene and molecular modelling of the CspA-like protein from Antarctic soil-dwelling psychrotrophic bacterium Psychrobacter sp B6</t>
  </si>
  <si>
    <t>ACTA BIOCHIMICA POLONICA</t>
  </si>
  <si>
    <t>Cold-living bacterium; cold shock protein; CspA-like protein; RNA chaperone; nucleic acid binding</t>
  </si>
  <si>
    <t>COLD-SHOCK PROTEIN; SOLUTION NMR STRUCTURE; SINGLE-STRANDED-DNA; ESCHERICHIA-COLI; BACILLUS-SUBTILIS; CRYSTAL-STRUCTURE; BACKBONE DYNAMICS; BINDING; FAMILY; DOMAIN</t>
  </si>
  <si>
    <t>We cloned and sequenced the cspA-like gene from a psychrotrophic Antarctic soil-dwelling bacterial strain Psychrobacter sp. B6. The gene is 213 bp long and shows 99% and 98% sequence identity with the Psychrobacter cryohalolentis K5 gene encoding a cold-shock DNA-binding domain protein and the Psychrobacter arcticus transcriptional regulator-CspA gene, respectively. The protein encoded by the Psychrobacter sp. B6 cspA-like gene shows 100% identity with the two proteins mentioned above, and also 61% sequence identity with CspB from Bacillus subtilis and Csp from Bacillus caldolyticus, and 56% - with Escherichia coli CspA protein. A three-dimensional model of the CspA-like protein from Psychrobacter sp. B6 was generated based on three known structures of cold shock proteins: the crystal structure of the major cold shock protein from Escherichia coli (CspA), the NMR structure of the latter protein, and the NMR structure of Csp from Thermotoga maritima. The deduced structure of the CspA-like protein from Psychrobacter sp. B6 was found to be very similar to these known structures of Csp-like proteins.</t>
  </si>
  <si>
    <t>[Kaufman-Szymczyk, Agnieszka; Bialkowska, Aneta; Tkaczuk, Karolina; Turkiewicz, Marianna] Tech Univ Lodz, Inst Tech Biochem, PL-90924 Lodz, Poland; [Wojtasik, Arkadiusz; Parniewski, Pawel] Polish Acad Sci, Ctr Med Biol, Lodz, Poland</t>
  </si>
  <si>
    <t>Lodz University of Technology; Polish Academy of Sciences</t>
  </si>
  <si>
    <t>Kaufman-Szymczyk, A (corresponding author), Tech Univ Lodz, Inst Tech Biochem, Stefanowskiego 4-10, PL-90924 Lodz, Poland.</t>
  </si>
  <si>
    <t>agakauf@yahoo.com</t>
  </si>
  <si>
    <t>Kaufman-Szymczyk, Agnieszka Aleksandra/S-9624-2016; Białkowska, Aneta/P-4481-2019</t>
  </si>
  <si>
    <t>Białkowska, Aneta/0000-0001-7319-238X; Kaufman-Szymczyk, Agnieszka/0000-0001-6014-7280</t>
  </si>
  <si>
    <t>PASTEURA 3, 02-093 WARSAW, POLAND</t>
  </si>
  <si>
    <t>0001-527X</t>
  </si>
  <si>
    <t>1734-154X</t>
  </si>
  <si>
    <t>ACTA BIOCHIM POL</t>
  </si>
  <si>
    <t>Acta Biochim. Pol.</t>
  </si>
  <si>
    <t>427SC</t>
  </si>
  <si>
    <t>WOS:000264798400007</t>
  </si>
  <si>
    <t>S</t>
  </si>
  <si>
    <t>Reid, PC; Fischer, AC; Lewis-Brown, E; Meredith, MP; Sparrow, M; Andersson, AJ; Antia, A; Bates, NR; Bathmann, U; Beaugrand, G; Brix, H; Dye, S; Edwards, M; Furevik, T; Gangsto, R; Hátún, H; Hopcroft, RR; Kendall, M; Kasten, S; Keeling, R; Le Quéré, C; Mackenzie, FT; Malin, G; Mauritzen, C; Olafsson, J; Paull, C; Rignot, E; Shimada, K; Vogt, M; Wallace, C; Wang, ZM; Washington, R</t>
  </si>
  <si>
    <t>Sims, DW</t>
  </si>
  <si>
    <t>Reid, Philip C.; Fischer, Astrid C.; Lewis-Brown, Emily; Meredith, Michael P.; Sparrow, Mike; Andersson, Andreas J.; Antia, Avan; Bates, Nicholas R.; Bathmann, Ulrich; Beaugrand, Gregory; Brix, Holger; Dye, Stephen; Edwards, Martin; Furevik, Tore; Gangsto, Reidun; Hatun, Hjalmar; Hopcroft, Russell R.; Kendall, Mike; Kasten, Sabine; Keeling, Ralph; Le Quere, Corinne; Mackenzie, Fred T.; Malin, Gill; Mauritzen, Cecilie; Olafsson, Jon; Paull, Charlie; Rignot, Eric; Shimada, Koji; Vogt, Meike; Wallace, Craig; Wang, Zhaomin; Washington, Richard</t>
  </si>
  <si>
    <t>IMPACTS OF THE OCEANS ON CLIMATE CHANGE</t>
  </si>
  <si>
    <t>ADVANCES IN MARINE BIOLOGY, VOL 56</t>
  </si>
  <si>
    <t>Advances in Marine Biology</t>
  </si>
  <si>
    <t>Review; Book Chapter</t>
  </si>
  <si>
    <t>LONG-TERM CHANGES; MERIDIONAL OVERTURNING CIRCULATION; COCCOLITHOPHORE EMILIANIA-HUXLEYI; INORGANIC CARBON ACQUISITION; ANAEROBIC AMMONIUM OXIDATION; CONTINENTAL-SHELF PUMP; OXYGEN-MINIMUM ZONES; GREENLAND ICE-SHEET; FRESH-WATER FLUX; NORTH-ATLANTIC</t>
  </si>
  <si>
    <t>The oceans play a key role in climate regulation especially in part buffering (neutralising) the effects of increasing levels of greenhouse gases in the atmosphere and rising global temperatures. This chapter examines how the regulatory processes performed by the oceans alter as a response to climate change and assesses the extent to which positive feedbacks from the ocean may exacerbate climate change. There is clear evidence for rapid change in the oceans. As the main heat store for the world there has been an accelerating change in sea temperatures over the last few decades, which has contributed to rising sea-level. The oceans are also the main store of carbon dioxide (CO2), and are estimated to have taken up similar to 40% of anthropogenic-sourced CO2 from the atmosphere since the beginning of the industrial revolution. A proportion of the carbon uptake is exported via the four ocean 'carbon pumps' (Solubility, Biological, Continental Shelf and Carbonate Counter) to the deep ocean reservoir. Increases in sea temperature and changing planktonic systems and ocean currents may lead to a reduction in the uptake of CO2 by the ocean; some evidence suggests a suppression of parts of the marine carbon sink is already underway. While the oceans have buffered climate change through the uptake of CO2 produced by fossil fuel burning this has already had an impact on ocean chemistry through ocean acidification and will continue to do so. Feedbacks to climate change from acidification may result from expected impacts on marine organisms (especially corals and calcareous plankton), ecosystems and biogeochemical cycles. The polar regions of the world are showing the most rapid responses to climate change. As a result of a strong ice-ocean influence, small changes in temperature, salinity and ice cover may trigger large and sudden changes in regional climate with potential downstream feedbacks to the climate of the rest of the world. A warming Arctic Ocean may lead to further releases of the potent greenhouse gas methane from hydrates and permafrost. The Southern Ocean plays a critical role in driving, modifying and regulating global climate change via the carbon cycle and through its impact on adjacent Antarctica. The Antarctic Peninsula has shown some of the most rapid rises in atmospheric and oceanic temperature in the world, with an associated retreat of the majority of glaciers. Parts of the West Antarctic ice sheet are deflating rapidly, very likely due to a change in the flux of oceanic heat to the undersides of the floating ice shelves. The final section on modelling feedbacks from the ocean to climate change identifies limitations and priorities for model development and associated observations. Considering the importance of the oceans to climate change and our limited understanding of climate-related ocean processes, our ability to measure the changes that are taking place are conspicuously inadequate. The chapter highlights the need for a comprehensive, adequately funded and globally extensive ocean observing system to be implemented and sustained as a high priority. Unless feedbacks from the oceans to climate change are adequately included in climate change models, it is possible that the mitigation actions needed to stabilise CO2 and limit temperature rise over the next century will be underestimated.</t>
  </si>
  <si>
    <t>[Reid, Philip C.; Fischer, Astrid C.; Beaugrand, Gregory; Edwards, Martin] Sir Alister Hardy Fdn Ocean Sci, Citadel Hill, Plymouth PL1 2PB, Devon, England; [Reid, Philip C.] Univ Plymouth, Inst Marine, Plymouth PL4 8AA, Devon, England; [Reid, Philip C.] Marine Biol Assoc United Kingdom Lab, Plymouth PL1 2PB, Devon, England; [Lewis-Brown, Emily] WWF UK, Godalming GU7 1XR, Surrey, England; [Meredith, Michael P.; Le Quere, Corinne; Wang, Zhaomin] British Antarctic Survey, Cambridge CB3 0ET, England; [Sparrow, Mike; Wallace, Craig] Univ Cambridge, Scott Polar Res Inst, SCAR Secretariat, Cambridge CB2 1ER, England; [Andersson, Andreas J.] Bermuda Inst Ocean Sci, St Georges GE 01, St Georges, Bermuda; [Antia, Avan; Bates, Nicholas R.] Univ Kiel, D-24119 Kiel, Germany; [Bathmann, Ulrich; Kasten, Sabine] Alfred Wegener Inst Polar &amp; Marine Res, D-27570 Bremerhaven, Germany; [Beaugrand, Gregory] Univ Sci &amp; Technol Lille, CNRS, Lab Oceanol &amp; Geosci, Stn Marine, F-62930 Wimereux, France; [Brix, Holger] Univ Calif Los Angeles, Dept Atmospher &amp; Ocean Sci, Los Angeles, CA 90095 USA; [Dye, Stephen] Ctr Environm Fisheries &amp; Aquaculture Sci Cefas, Lowestoft NR33 OHT, Suffolk, England; [Furevik, Tore] Inst Geophys, N-5007 Bergen, Norway; [Gangsto, Reidun] Univ Bern, CH-3012 Bern, Switzerland; [Hatun, Hjalmar] Faroese Fisheries Lab, FO-110 Torshavn, Faroe Islands, Denmark; [Hopcroft, Russell R.] Univ Alaska Fairbanks, Inst Marine Sci, Fairbanks, AK 99775 USA; [Kendall, Mike] Plymouth Marine Lab, Plymouth PL1 3DH, Devon, England; [Keeling, Ralph] Scripps CO2 Program, La Jolla, CA 92093 USA; [Le Quere, Corinne; Vogt, Meike] Univ E Anglia, Sch Environm Sci, Norwich NR4 7TJ, Norfolk, England; [Mackenzie, Fred T.] Univ Hawaii Manoa, Sch Ocean &amp; Earth Sci &amp; Technol, Dept Oceanog, Honolulu, HI 96822 USA; [Mauritzen, Cecilie] Norwegian Meteorol Inst, N-0313 Oslo, Norway; [Olafsson, Jon] Univ Iceland, IS-121 Reykjavik, Iceland; [Olafsson, Jon] Marine Res Inst, IS-121 Reykjavik, Iceland; [Paull, Charlie] Monterey Bay Aquarium Res Inst, Moss Landing, CA 95039 USA; [Rignot, Eric] Univ Calif Irvine, Irvine, CA 92697 USA; [Rignot, Eric] Jet Prop Lab, Pasadena, CA 91214 USA; [Shimada, Koji] Tokyo Univ Marine Sci &amp; Technol, Fac Marine Sci, Dept Ocean Sci, Minato Ku, Tokyo 1088477, Japan; [Washington, Richard] Univ Oxford, Ctr Environm, Sch Geog &amp; Environm, Oxford OX1 3QY, England</t>
  </si>
  <si>
    <t>University of Plymouth; Marine Biological Association United Kingdom; World Wildlife Fund; UK Research &amp; Innovation (UKRI); Natural Environment Research Council (NERC); NERC British Antarctic Survey; University of Cambridge; Bermuda Institute of Ocean Sciences; University of Kiel; Helmholtz Association; Alfred Wegener Institute, Helmholtz Centre for Polar &amp; Marine Research; Centre National de la Recherche Scientifique (CNRS); Universite de Lille; University of California System; University of California Los Angeles; Centre for Environment Fisheries &amp; Aquaculture Science; University of Bern; University of Alaska System; University of Alaska Fairbanks; Plymouth Marine Laboratory; University of East Anglia; University of Hawaii System; University of Hawaii Manoa; Norwegian Meteorological Institute; University of Iceland; Marine &amp; Freshwater Research Institute (MFRI); Monterey Bay Aquarium Research Institute; University of California System; University of California Irvine; National Aeronautics &amp; Space Administration (NASA); NASA Jet Propulsion Laboratory (JPL); Tokyo University of Marine Science &amp; Technology; University of Oxford</t>
  </si>
  <si>
    <t>Reid, PC (corresponding author), Sir Alister Hardy Fdn Ocean Sci, Citadel Hill, Plymouth PL1 2PB, Devon, England.</t>
  </si>
  <si>
    <t>Le Quéré, Corinne/C-2631-2017; Bathmann, Ulrich/ISV-4351-2023; Mauritzen, Cecilie/G-7682-2019; Rignot, Eric/A-4560-2014; Skaland, Reidun Gangstø/G-1755-2019; Mauritzen, Cecilie/HKO-1954-2023; SHIMADA, Koji/O-1913-2014; Fischer, Astrid/AAB-1687-2020; Malin, Gill/C-6985-2009; Hopcroft, Russell R/I-6286-2012; Vogt, Meike/I-7457-2017; Dye, Stephen/C-9456-2011</t>
  </si>
  <si>
    <t>Le Quéré, Corinne/0000-0003-2319-0452; Mauritzen, Cecilie/0000-0001-5956-8811; Rignot, Eric/0000-0002-3366-0481; Skaland, Reidun Gangstø/0000-0002-7286-2369; Mauritzen, Cecilie/0000-0001-5956-8811; Fischer, Astrid/0000-0002-7273-325X; Washington, Richard/0000-0003-2521-4614; Furevik, Tore/0000-0002-1668-2785; Dye, Stephen/0000-0002-4182-8475; Brix, Holger/0000-0003-4229-6164; Edwards, Martin/0000-0002-5716-4714; Kasten, Sabine/0000-0001-7453-5137; Lewis-Brown, Emily/0000-0002-2504-5411; BEAUGRAND, GREGORY/0000-0002-0712-5223; Vogt, Meike/0000-0002-0608-1935; Meredith, Michael/0000-0002-7342-7756; Malin, Gill/0000-0002-3639-9215; Hatun, Hjalmar/0000-0002-9312-7355</t>
  </si>
  <si>
    <t>Natural Environment Research Council [NE/B501039/1, bas0100028, SAH01001] Funding Source: researchfish</t>
  </si>
  <si>
    <t>ELSEVIER ACADEMIC PRESS INC</t>
  </si>
  <si>
    <t>525 B STREET, SUITE 1900, SAN DIEGO, CA 92101-4495 USA</t>
  </si>
  <si>
    <t>0065-2881</t>
  </si>
  <si>
    <t>2162-5875</t>
  </si>
  <si>
    <t>978-0-12-374960-4</t>
  </si>
  <si>
    <t>ADV MAR BIOL</t>
  </si>
  <si>
    <t>Adv. Mar. Biol.</t>
  </si>
  <si>
    <t>10.1016/S0065-2881(09)56001-4</t>
  </si>
  <si>
    <t>Book Citation Index – Science (BKCI-S); Science Citation Index Expanded (SCI-EXPANDED)</t>
  </si>
  <si>
    <t>BVX30</t>
  </si>
  <si>
    <t>WOS:000293022500001</t>
  </si>
  <si>
    <t>Damiani, A; Diego, P; Laurenza, M; Storini, M; Rafanelli, C</t>
  </si>
  <si>
    <t>Damiani, A.; Diego, P.; Laurenza, M.; Storini, M.; Rafanelli, C.</t>
  </si>
  <si>
    <t>Ozone variability related to several SEP events occurring during solar cycle no. 23</t>
  </si>
  <si>
    <t>Space weather; Ozone; Solar energetic particles; Polar environment</t>
  </si>
  <si>
    <t>MIDDLE ATMOSPHERE; PROTON EVENTS; PARTICLE EVENTS; JULY 2000</t>
  </si>
  <si>
    <t>Data from geostationary operational environmental satellite (GOES) series were used to identify intense solar energetic particle (SEP) events occurred during the solar activity cycle no. 23. We retrieved O-3, NO, NO2, HNO3, OH, HCl and OHCl profiles coming from different satellite sensors (solar occultation and limb emission) and we looked for the meso spheric/stratospheric response to SEPs at high terrestrial latitudes. The chemistry of the minor atmospheric components is analysed to evaluate the associated odd nitrogen (NOx) and odd hydrogen (HOx) production, able to cause short (h) and medium (days) term ozone variations. We investigated the effects of SEPs on the polar atmosphere in three different seasons, i.e., January 2005, April 2002 and July 2000. The inter-hemispheric variability of the ozone, induced by the SEP series of January 2005, has been compared with the effects connected both to larger and quite similar events. We found that during SEP events: (i) solar illumination is the key factor driving SEP-induced effects on the chemistry of the polar atmosphere; (ii) even events with limited particle flux in the range 15-40 MeV are able to change the abundance of the minor constituents in the mesosphere and upper stratosphere. (C) 2008 COSPAR. Published by Elsevier Ltd. All rights reserved.</t>
  </si>
  <si>
    <t>[Damiani, A.] Area Ric Roma Tor Vergata, CNR, Ist Sci Atmosfera &amp; Clima, I-00133 Rome, Italy; [Damiani, A.; Diego, P.; Laurenza, M.; Storini, M.] Area Ric Roma Tor Vergata, INAF, Ist Fis Spazio Interplanetario, I-00133 Rome, Italy; [Rafanelli, C.] Area Ric Roma Tor Vergata, CNR, ICES, Ist Acust OM Corbino, I-00133 Rome, Italy</t>
  </si>
  <si>
    <t>Consiglio Nazionale delle Ricerche (CNR); Istituto di Scienze dell'Atmosfera e del Clima (ISAC-CNR); University of Rome Tor Vergata; University of Rome Tor Vergata; Istituto Nazionale Astrofisica (INAF); University of Rome Tor Vergata; Consiglio Nazionale delle Ricerche (CNR)</t>
  </si>
  <si>
    <t>Damiani, A (corresponding author), Area Ric Roma Tor Vergata, CNR, Ist Sci Atmosfera &amp; Clima, Via Fosso Cavaliere 100, I-00133 Rome, Italy.</t>
  </si>
  <si>
    <t>a.damiani@isac.cnr.it</t>
  </si>
  <si>
    <t>Laurenza, Monica/HMD-8729-2023; Damiani, Alessandro/X-4677-2019</t>
  </si>
  <si>
    <t>Laurenza, Monica/0000-0001-5481-4534; Damiani, Alessandro/0000-0003-3014-6193; Diego, Piero/0000-0001-8279-020X</t>
  </si>
  <si>
    <t>PNRA (National Antarctic Research Program) of Italy</t>
  </si>
  <si>
    <t>This work is partly supported by the PNRA (National Antarctic Research Program) of Italy in the framework of Science for Solar-Terrestrial Relations. A. Damiani performed part of this work for a Ph.D. thesis developed at Siena University (2005-2007). Thanks are due to the P.I.s of the different experiments from which we have taken the data and the corresponding international Data Centers and Services. This research topic is performed under COST 724 Action and a short version of the work was posted at the 36th COSPAR Scientific Assembly (Beijing, 16-23 July, 2006).</t>
  </si>
  <si>
    <t>JAN 1</t>
  </si>
  <si>
    <t>10.1016/j.asr.2008.06.006</t>
  </si>
  <si>
    <t>395RP</t>
  </si>
  <si>
    <t>WOS:000262541500003</t>
  </si>
  <si>
    <t>Veloso, EE; Anma, R; Yamaji, A</t>
  </si>
  <si>
    <t>Veloso, Eugenio E.; Anma, Ryo; Yamaji, Atsushi</t>
  </si>
  <si>
    <t>Ophiolite Emplacement and the Effects of the Subduction of the Active Chile Ridge System: Heterogeneous Paleostress Regimes Recorded in the Taitao Ophiolite (Southern Chile)</t>
  </si>
  <si>
    <t>ANDEAN GEOLOGY</t>
  </si>
  <si>
    <t>Brittle deformation; Paleostress; Heterogeneous stress field; Taitao Ophiolite; Chile Triple junction</t>
  </si>
  <si>
    <t>MULTIPLE INVERSE METHOD; OFQUI FAULT ZONE; TRIPLE-JUNCTION; TECTONIC EVOLUTION; TROODOS OPHIOLITE; PATAGONIAN ANDES; SPREADING-RIDGE; DEFORMATION; COLLISION; PENINSULA</t>
  </si>
  <si>
    <t>The repeated north and southward migration of the Chile Triple junction, offshore the Peninsula de Taitao, is expected to have imposed contrasting stress fields in the forearc for the last 6 Ma because of changes in convergence direction and rate of subducting plates. NNW-SSE to E-W and minor NE-SW striking brittle faults developed in the plutonic units of the Mio-Pliocene Taitao Ophiolite, whereas NNE-SSW and minor NW-SE trending faults developed in its eastern border (Bahia Barrientos fault-zone). These brittle faults are studied to elucidate the style of ophiolite emplacement and the tectonic effects resulting from the alternated migration of the Chile Triple junction in the area. Analyses of heterogeneous fault-slip data on both areas suggest that faults were activated by different stress fields. Two different compressional stress fields were identified in the plutonic units (A and B), whereas three different stress fields, ranging from compressional to strike-slip, were identified in the Bahia Barrientos fault-zone (C, D and E). Calculated directions of sigma(1) axes for A, C, D and E solutions are mostly E-W trending, roughly similar to the convergence direction Of subducting plates, whereas that for B solution is counterclockwise rotated ca. 60 degrees with respect to the previous E-W trend. Brittle structures related to solution B were attributed to an early deformation of the ophiolite, most probably developed shortly after its emplacement (ca. 6 Ma). These structures were further counterclockwise rotated, while new structures (related to solution A) developed in the plutonic units in order to absorb the continuous deformation. In the eastem, margin of the ophiolite, the stress field divided into compressional and strike-slip components. During periods of relatively strong compression (fast subduction of the Nazca plate), the fault-zone experienced well defined compressional and strike-slip movements (solutions C and D). In contrast, during periods of relatively weak compression (slow subduction of the Antarctic plate), the fault-zone experienced a complex mixture of thrust and strike-slip movements (solution E). Thus, the wide range of calculated stress ratios for all Solutions Could be attributed to the alternated change in convergent velocity of the subducting plates beneath the Taitao area.</t>
  </si>
  <si>
    <t>[Veloso, Eugenio E.] Univ Catolica Norte, Dept Ciencias Geol, Fac Ingn &amp; Ciencias Geol, Antofagasta, Chile; [Veloso, Eugenio E.; Anma, Ryo] Univ Tsukuba, Grad Sch Life &amp; Environm Sci, Tsukuba, Ibaraki 3058572, Japan; [Yamaji, Atsushi] Kyoto Univ, Grad Sch Sci, Div Earth &amp; Planetary Sci, Kyoto 6068502, Japan</t>
  </si>
  <si>
    <t>Universidad Catolica del Norte; University of Tsukuba; Kyoto University</t>
  </si>
  <si>
    <t>Veloso, EE (corresponding author), Univ Catolica Norte, Dept Ciencias Geol, Fac Ingn &amp; Ciencias Geol, Av Angamos 0610, Antofagasta, Chile.</t>
  </si>
  <si>
    <t>eveloso@ucn.cl; anma@arsia.geo.tsukuba.ac.jp; yamaji@kueps.kyoto-u.ac.jp</t>
  </si>
  <si>
    <t>Yamaji, Atsushi/ABB-2815-2021; Veloso, Eugenio/A-6637-2009</t>
  </si>
  <si>
    <t>Yamaji, Atsushi/0000-0001-8074-543X; Veloso, Eugenio/0000-0001-7603-4854</t>
  </si>
  <si>
    <t>Ministry of Education, Sports, Science and Technology (MEXT) of Japan. [13373004]; Grants-in-Aid for Scientific Research [13373004] Funding Source: KAKEN</t>
  </si>
  <si>
    <t>Ministry of Education, Sports, Science and Technology (MEXT)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</si>
  <si>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the grant-in-aid of the Science Research Project N degrees 13373004 financed by the Ministry of Education, Sports, Science and Technology (MEXT) of Japan. Special thanks to the crew of the R/V Petrel for their professional work and cooperation. Field data collection was assisted by Drs. Y. Kaneko (Yokohama National University), M. Terabayashi (Kagawa University), T. Otha and T. Komiya (Tokyo Institute of Technology), S. Kagashima (Yamagata University), 1. Katayama, (Hiroshima University), Miss C. Herrera (Universidad de Chile), Mrs. M. Schilling (Universidad de Chile), S. Yamamoto, T. Shibuya, Y. Kon (Tokyo Institute of Technology) and R. Endo (University of Tsukuba). We would like to thank Dr. J. Cembrano, Dr. G. Yanez and an anonymous reviewer for their helpful comments which help to improve the manuscript.</t>
  </si>
  <si>
    <t>SERVICIO NACIONAL GEOLOGIA MINERVA</t>
  </si>
  <si>
    <t>AVDA SANTA MARIO 0104, CASILLA 10465, SANTIAGO, CHILE</t>
  </si>
  <si>
    <t>0718-7092</t>
  </si>
  <si>
    <t>ANDEAN GEOL</t>
  </si>
  <si>
    <t>Andean Geol.</t>
  </si>
  <si>
    <t>JAN</t>
  </si>
  <si>
    <t>10.4067/S0718-71062009000100002</t>
  </si>
  <si>
    <t>406OQ</t>
  </si>
  <si>
    <t>WOS:000263305200001</t>
  </si>
  <si>
    <t>Cárdenas, J; Gordillo, S</t>
  </si>
  <si>
    <t>Cardenas, Javiera; Gordillo, Sandra</t>
  </si>
  <si>
    <t>Paleoenvironmental interpretation of late Quaternary molluscan assemblages from southern South America: A taphonomic comparison between the Strait of Magellan and the Beagle Channel</t>
  </si>
  <si>
    <t>Late Quaternary; Mollusks; Paleoecology; Taphonomy; Strait of Magellan; Beagle Channel; Chile; Argentina</t>
  </si>
  <si>
    <t>TIERRA-DEL-FUEGO; COASTAL AREA; HOLOCENE; CLIMATE; ARGENTINA; REGION; FAUNAS; SEA</t>
  </si>
  <si>
    <t>This study analyzes the Holocene molluscan assemblage in raised marine terraces along the coasts of the Strait of Magellan and the Beagle Channel. A total of 33 gastropods and 12 bivalves were identified. They constitute the first mollusk listing for deposits in the Strait of Magellan. Taphonomic analysis suggests a high energy environment with epifaunal elements in the Strait of Magellan and a low energy environment with the predominance of infaunal elements in the Beagle Channel. All the collected species are living taxa suggesting that postglacial climatic variations were not enough to alter the composition of the communities since at least 6,000 yr BP in the southern Chile-Argentina region.</t>
  </si>
  <si>
    <t>[Cardenas, Javiera] Fdn Ctr Estudios Cuaternario CEQUA, Punta Arenas, Chile; [Cardenas, Javiera] Univ Concepcion, Ctr Ciencias Ambientales EULA Chile, Concepcion, Chile; [Gordillo, Sandra] Consejo Nacl Invest Cient &amp; Tecn, CICTERRA, RA-5000 Cordoba, Argentina; [Gordillo, Sandra] Univ Nacl Cordoba, Fac Ciencias Exactas Fis &amp; Nat, CIPAL, RA-5000 Cordoba, Argentina</t>
  </si>
  <si>
    <t>Universidad de Concepcion; Consejo Nacional de Investigaciones Cientificas y Tecnicas (CONICET); National University of Cordoba; National University of Cordoba</t>
  </si>
  <si>
    <t>Cárdenas, J (corresponding author), Fdn Ctr Estudios Cuaternario CEQUA, Av Bulnes 01855, Punta Arenas, Chile.</t>
  </si>
  <si>
    <t>javieracardenas@udec.cl; sgordillo@efn.uncor.edu</t>
  </si>
  <si>
    <t>Gordillo, Sandra/0000-0002-3937-4865</t>
  </si>
  <si>
    <t>CONICET [PIP 6323/05]; Fundacion CEQUA; Unidad de Sistemas Acuaticos Centro EULA, Universidad de Concepcion</t>
  </si>
  <si>
    <t>CONICET(Consejo Nacional de Investigaciones Cientificas y Tecnicas (CONICET)); Fundacion CEQUA(Comision Nacional de Investigacion Cientifica y Tecnologica (CONICYT)CONICYT Regional/CEQUA); Unidad de Sistemas Acuaticos Centro EULA, Universidad de Concepcion</t>
  </si>
  <si>
    <t>We are grateful to K. Linse (British Antarctic Survey), C. Valdovinos (Universidad de Concepcion) and S. Nielsen (GeoForschungsZentrum Potsdam for their valuable reviews of the manuscript. This work was partly supported by CONICET grant PIP 6323/05, Fundacion CEQUA and Unidad de Sistemas Acuaticos Centro EULA, Universidad de Concepcion.</t>
  </si>
  <si>
    <t>0718-7106</t>
  </si>
  <si>
    <t>10.4067/S0718-71062009000100007</t>
  </si>
  <si>
    <t>WOS:000263305200006</t>
  </si>
  <si>
    <t>Blagoveshchenskaya, NF; Carlson, HC; Kornienko, VA; Borisova, TD; Rietveld, MT; Yeoman, TK; Brekke, A</t>
  </si>
  <si>
    <t>Blagoveshchenskaya, N. F.; Carlson, H. C.; Kornienko, V. A.; Borisova, T. D.; Rietveld, M. T.; Yeoman, T. K.; Brekke, A.</t>
  </si>
  <si>
    <t>Phenomena induced by powerful HF pumping towards magnetic zenith with a frequency near the F-region critical frequency and the third electron gyro harmonic frequency</t>
  </si>
  <si>
    <t>ANNALES GEOPHYSICAE</t>
  </si>
  <si>
    <t>Ionosphere; Active experiments; Radio science; Nonlinear phenomena</t>
  </si>
  <si>
    <t>ASPECT ANGLE DEPENDENCE; INDUCED AIRGLOW; STRIATIONS; IONOSPHERE; LATITUDES; SUPERDARN; CUTLASS</t>
  </si>
  <si>
    <t>Multi-instrument observational data from an experiment on 13 October 2006 at the EISCAT/HEATING facility at Tromso, Norway are analysed. The experiment was carried out in the evening hours when the electron density in the F-region dropped, and the HF pump frequency f(H) was near and then above the critical frequency of the F2 layer. The distinctive feature of this experiment is that the pump frequency was just below the third electron gyro harmonic frequency, while both the HF pump beam and UHF radar beam were directed towards the magnetic zenith (MZ). The HF pump-induced phenomena were diagnosed with several instruments: the bi-static HF radio scatter on the London-Tromso-St. Petersburg path, the CUTLASS radar in Hankasalmi (Finland), the European Incoherent Scatter (EISCAT) UHF radar at Tromso and the Tromso ionosonde (dynasonde). The results show thermal electron excitation of the HF-induced striations seen simultaneously from HF bi-static scatter and CUTLASS radar observations, accompanied by increases of electron temperature when the heater frequency was near and then above the critical frequency of the F2 layer by up to 0.4 MHz. An increase of the electron density up to 25% accompanied by strong HF-induced electron heating was observed, only when the heater frequency was near the critical frequency and just below the third electron gyro harmonic frequency. It is concluded that the combined effect of upper hybrid resonance and gyro resonance at the same altitude gives rise to strong electron heating, the excitation of striations, HF ray trapping and extension of HF waves to altitudes where they can excite Langmuir turbulence and fluxes of electrons accelerated to energies that produce ionization.</t>
  </si>
  <si>
    <t>[Blagoveshchenskaya, N. F.; Kornienko, V. A.; Borisova, T. D.] Arctic &amp; Antarctic Res Inst, St Petersburg 199226, Russia; [Rietveld, M. T.] EISCAT Sci Assoc, Ramfjordbotn, Norway; [Yeoman, T. K.] Univ Leicester, Dept Phys &amp; Astron, Leicester LE1 7RH, Leics, England; [Brekke, A.] Univ Tromso, Tromso, Norway</t>
  </si>
  <si>
    <t>Arctic &amp; Antarctic Research Institute; University of Leicester; UiT The Arctic University of Tromso</t>
  </si>
  <si>
    <t>Blagoveshchenskaya, NF (corresponding author), Arctic &amp; Antarctic Res Inst, St Petersburg 199226, Russia.</t>
  </si>
  <si>
    <t>nataly@aari.nw.ru</t>
  </si>
  <si>
    <t>Blagoveshchenskaya, Nataly F./S-4342-2017; Blagoveshchenskaya, Nataly/AAE-4093-2022; Borisova, Tatiana/AAK-7698-2020; Yeoman, Timothy k/L-9105-2014</t>
  </si>
  <si>
    <t>Blagoveshchenskaya, Nataly F./0000-0003-1752-3273; Blagoveshchenskaya, Nataly/0000-0003-1752-3273; Yeoman, Timothy k/0000-0002-8434-4825; Borisova, Tatiana/0000-0003-1727-5310</t>
  </si>
  <si>
    <t>RFBR [07-05-00167, 07-05-13516]; AFOSR; Science and Technology Facilities Council [PP/E000983/1, PP/E007929/1] Funding Source: researchfish</t>
  </si>
  <si>
    <t>RFBR(Russian Foundation for Basic Research (RFBR)); AFOSR(United States Department of DefenseAir Force Office of Scientific Research (AFOSR)); Science and Technology Facilities Council(UK Research &amp; Innovation (UKRI)Science &amp; Technology Facilities Council (STFC))</t>
  </si>
  <si>
    <t>We would like to thank the Director and Staff of the EISCAT Scientific Association for providing the Tromso heating experiments in conjunction with the EISCAT UHF radar measurements on 12 and 13 October 2006. EISCAT is an International Association supported by Finland (SA), France ( CNRS), Germany (MPG), Japan (NIPR), Norway (NFR), Sweden (NFR) and the United Kingdom (PPARC). The work has been supported by the RFBR, grants 07-05-00167, 07-05-13516. Participation by one of us (HCC) was made possible by support from AFOSR.</t>
  </si>
  <si>
    <t>0992-7689</t>
  </si>
  <si>
    <t>1432-0576</t>
  </si>
  <si>
    <t>ANN GEOPHYS-GERMANY</t>
  </si>
  <si>
    <t>10.5194/angeo-27-131-2009</t>
  </si>
  <si>
    <t>Astronomy &amp; Astrophysics; Geosciences, Multidisciplinary; Meteorology &amp; Atmospheric Sciences</t>
  </si>
  <si>
    <t>Astronomy &amp; Astrophysics; Geology; Meteorology &amp; Atmospheric Sciences</t>
  </si>
  <si>
    <t>414BT</t>
  </si>
  <si>
    <t>WOS:000263839600010</t>
  </si>
  <si>
    <t>Carter, BA; Makarevich, RA</t>
  </si>
  <si>
    <t>Carter, B. A.; Makarevich, R. A.</t>
  </si>
  <si>
    <t>E-region decameter-scale plasma waves observed by the dual TIGER HF radars</t>
  </si>
  <si>
    <t>Ionosphere; Ionospheric irregularities; Plasma waves and instabilities; Magnetospheric physics; Storms and substorms</t>
  </si>
  <si>
    <t>AURORAL COHERENT ECHOES; ASPECT ANGLE DEPENDENCE; IONOSPHERIC IRREGULARITIES; DOPPLER VELOCITIES; FUTURE-DIRECTIONS; SPECTRAL WIDTH; HIGH-LATITUDES; BACKSCATTER; ELECTROJET; SUPERDARN</t>
  </si>
  <si>
    <t>The dual Tasman International Geospace Environment Radar (TIGER) HF radars regularly observe E-region echoes at sub-auroral magnetic latitudes 58 degrees-60 degrees S including during geomagnetic storms. We present a statistical analysis of E-region backscatter observed in a period of similar to 2 years (late 2004-2006) by the TIGER Bruny Island and Unwin HF radars, with particular emphasis on storm-time backscatter. It is found that the HF echoes normally form a 300-km-wide band at ranges 225-540 km. In the evening sector during geomagnetic storms, however, the HF echoes form a curved band joining to the F-region band at similar to 700 km. The curved band lies close to the locations where the geometric aspect angle is zero, implying little to no refraction during geomagnetic storms, which is an opposite result to what has been reported in the past. The echo occurrence, Doppler velocity, and spectral width of the HF echoes are examined in order to determine whether new HF echo types are observed at sub-auroral latitudes, particularly during geomagnetic storms. The datasets of both TIGER radars are found to be dominated by low-velocity echoes. A separate population of storm-time echoes is also identified within the datasets of both radars with most of these echoes showing similar characteristics to the low-velocity echo population. The storm-time backscatter observed by the Bruny Island radar, on the other hand, includes near-range echoes (r &lt; 405 km) that exhibit some characteristics of what has been previously termed the High Aspect angle Irregularity Region (HAIR) echoes. We show that these echoes appear to be a storm-time phenomenon and further investigate this population by comparing their Doppler velocity with the simultaneously measured F- and E-region irregularity velocities. It is suggested that the HAIR-like echoes are observed only by HF radars with relatively poor geometric aspect angles when electron density is low and when the electric field is particularly high.</t>
  </si>
  <si>
    <t>[Carter, B. A.; Makarevich, R. A.] La Trobe Univ, Dept Phys, Bundoora, Vic 3086, Australia</t>
  </si>
  <si>
    <t>Makarevich, Roman/B-9539-2009; Makarevich, Roman/H-4542-2013; Carter, Brett/J-2224-2012</t>
  </si>
  <si>
    <t>Carter, Brett/0000-0003-4881-3345</t>
  </si>
  <si>
    <t>Australian Research Council (ARC) Discovery grant [DP0770366]; Victorian Partnership for Advanced Computing; British Antarctic Survey; USAF Office of Scientific Research; RLM Systems Pty Ltd; Australian Research Council [DP0770366] Funding Source: Australian Research Council</t>
  </si>
  <si>
    <t>Australian Research Council (ARC) Discovery grant(Australian Research Council); Victorian Partnership for Advanced Computing; British Antarctic Survey; USAF Office of Scientific Research; RLM Systems Pty Ltd; Australian Research Council(Australian Research Council)</t>
  </si>
  <si>
    <t>This research was supported by the Australian Research Council ( ARC) Discovery grant to R. A. M. (project DP0770366). TIGER is supported by a consortium of institutions: La Trobe University, Monash University, University of Newcastle, Australian Government Antarctic Division, ISR Division DSTO and IPS Radio and Space Services. Financial support has been given by the ARC, Victorian Partnership for Advanced Computing, British Antarctic Survey, USAF Office of Scientific Research and RLM Systems Pty Ltd. The Macquarie Island and the Hobart Ionosondes are operated by the Ionospheric Prediction Service (IPS). We would like to thank T. A. Kane for help regarding the F-region maximum velocity estimates. The authors thank both referees for their positive criticism and suggestions. Fruitful discussions with J.- P. St.-Maurice, J. M. Ruohoniemi, T. Ogawa, and A. V. Koustov are also kindly acknowledged.</t>
  </si>
  <si>
    <t>10.5194/angeo-27-261-2009</t>
  </si>
  <si>
    <t>WOS:000263839600016</t>
  </si>
  <si>
    <t>Milan, SE; Grocott, A; Forsyth, C; Imber, SM; Boakes, PD; Hubert, B</t>
  </si>
  <si>
    <t>Milan, S. E.; Grocott, A.; Forsyth, C.; Imber, S. M.; Boakes, P. D.; Hubert, B.</t>
  </si>
  <si>
    <t>A superposed epoch analysis of auroral evolution during substorm growth, onset and recovery: open magnetic flux control of substorm intensity</t>
  </si>
  <si>
    <t>Magnetospheric physics; Auroral phenomena; Magnetospheric configuration and dynamics; Storms and substorms</t>
  </si>
  <si>
    <t>ADVANCED COMPOSITION EXPLORER; POLAR-CAP; IMAGE SPACECRAFT; IONOSPHERE; FIELD; PROTON; INTENSIFICATIONS; EXCITATION; BOUNDARY; DYNAMICS</t>
  </si>
  <si>
    <t>We perform two superposed epoch analyses of the auroral evolution during substorms using the FUV instrument on the Imager for Magnetopause-to-Aurora Global Explorer ( IMAGE) spacecraft. The larger of the two studies includes nearly 2000 substorms. We subdivide the substorms by onset latitude, a measure of the open magnetic flux in the magnetosphere, and determine average auroral images before and after substorm onset, for both electron and proton aurora. Our results indicate that substorms are more intense in terms of auroral brightness when the open flux content of the magnetosphere is larger, and that magnetic flux closure is more significant. The increase in auroral brightness at onset is larger for electrons than protons. We also show that there is a dawn-dusk offset in the location of the electron and proton aurora that mirrors the relative locations of the region 1 and region 2 current systems. Superposed epoch analyses of the solar wind, interplanetary magnetic field, and geomagnetic indices for the substorms under study indicate that dayside reconnection is expected to occur at a faster rate prior to low latitude onsets, but also that the ring current is enhanced for these events.</t>
  </si>
  <si>
    <t>[Milan, S. E.; Grocott, A.; Forsyth, C.; Imber, S. M.; Boakes, P. D.] Univ Leicester, Dept Phys &amp; Astron, Leicester LE1 7RH, Leics, England; [Forsyth, C.] Univ Coll London, Mullard Space Sci Lab, Surrey, England; [Imber, S. M.] NASA, Goddard Space Flight Ctr, Heliophys Div, Greenbelt, MD 20771 USA; [Boakes, P. D.] British Antarctic Survey, NERC, Cambridge CB3 0ET, England; [Hubert, B.] Univ Liege, Lab Planetary &amp; Atmospher Phys, Liege, Belgium</t>
  </si>
  <si>
    <t>University of Leicester; University of London; University College London; National Aeronautics &amp; Space Administration (NASA); NASA Goddard Space Flight Center; UK Research &amp; Innovation (UKRI); Natural Environment Research Council (NERC); NERC British Antarctic Survey; University of Liege</t>
  </si>
  <si>
    <t>Milan, SE (corresponding author), Univ Leicester, Dept Phys &amp; Astron, Leicester LE1 7RH, Leics, England.</t>
  </si>
  <si>
    <t>steve.milan@ion.le.ac.uk</t>
  </si>
  <si>
    <t>Imber, Suzie/AAN-8504-2021; Grocott, Adrian/A-9576-2011; Forsyth, Colin/E-4159-2010</t>
  </si>
  <si>
    <t>Grocott, Adrian/0000-0002-6489-095X; Milan, Steve/0000-0001-5050-9604; Forsyth, Colin/0000-0002-0026-8395</t>
  </si>
  <si>
    <t>PPARC [PP/E000983/1, PPA/S/S/2005/04156, PPA/S/S/2005/04157]; PPARC/STFC CASE award [PPA/S/C/2006/04488]; NASA Space Science Data Centre (NSSDC); University of California at Berkeley; STFC [PP/E001173/1] Funding Source: UKRI; Science and Technology Facilities Council [PP/E001173/1, PP/E000983/1] Funding Source: researchfish</t>
  </si>
  <si>
    <t>PPARC; PPARC/STFC CASE award; NASA Space Science Data Centre (NSSDC); University of California at Berkeley; STFC(UK Research &amp; Innovation (UKRI)Science &amp; Technology Facilities Council (STFC)); Science and Technology Facilities Council(UK Research &amp; Innovation (UKRI)Science &amp; Technology Facilities Council (STFC))</t>
  </si>
  <si>
    <t>AG was supported by PPARC rolling grant no. PP/E000983/1. PDB was supported by a PPARC/STFC CASE award, grant no. PPA/S/C/2006/04488. CF and SMI were supported by PPARC grants PPA/S/S/2005/04156 and PPA/S/S/2005/04157, respectively. The IMAGE FUV data were supplied by the NASA Space Science Data Centre (NSSDC), and we are grateful to the PI of FUV, S. B. Mende of the University of California at Berkeley, for its use. The ACE data used in this study were accessed through CDAWeb. The authors would like to thank N. F. Ness at the Bartol Research Institute and D. J. McComas of the Southwest Research Institute, for use of the MAG and SWEPAM data, respectively.; Topical Editor I. A. Daglis thanks G. Rostoker and another anonymous referee for their help in evaluating this paper.</t>
  </si>
  <si>
    <t>10.5194/angeo-27-659-2009</t>
  </si>
  <si>
    <t>414BW</t>
  </si>
  <si>
    <t>gold, Green Submitted, Green Accepted</t>
  </si>
  <si>
    <t>WOS:000263839900020</t>
  </si>
  <si>
    <t>Walsh, AP; Fazakerley, AN; Lahiff, AD; Volwerk, M; Grocott, A; Dunlop, MW; Lui, ATY; Kistler, LM; Lester, M; Mouikis, C; Pu, Z; Shen, C; Shi, J; Taylor, MGGT; Lucek, E; Zhang, TL; Dandouras, I</t>
  </si>
  <si>
    <t>Walsh, A. P.; Fazakerley, A. N.; Lahiff, A. D.; Volwerk, M.; Grocott, A.; Dunlop, M. W.; Lui, A. T. Y.; Kistler, L. M.; Lester, M.; Mouikis, C.; Pu, Z.; Shen, C.; Shi, J.; Taylor, M. G. G. T.; Lucek, E.; Zhang, T. L.; Dandouras, I.</t>
  </si>
  <si>
    <t>Cluster and Double Star multipoint observations of a plasma bubble</t>
  </si>
  <si>
    <t>Magnetospheric physics; Current systems; Magnetotail; Plasma sheet</t>
  </si>
  <si>
    <t>BURSTY BULK FLOWS; NON-SUBSTORM INTERVALS; HIGH-SPEED FLOWS; MAGNETIC-FIELD; EARTHS MAGNETOTAIL; CURRENT SYSTEMS; FLUX TUBES; SHEET; MAGNETOSPHERE; IMF</t>
  </si>
  <si>
    <t>Depleted flux tubes, or plasma bubbles, are one possible explanation of bursty bulk flows, which are transient high speed flows thought to be responsible for a large proportion of flux transport in the magnetotail. Here we report observations of one such plasma bubble, made by the four Cluster spacecraft and Double Star TC-2 around 14:00 UT on 21 September 2005, during a period of southward, but B-Y-dominated IMF. In particular the first direct observations of return flows around the edges of a plasma bubble, and the first observations of plasma bubble features within 8 R-E of the Earth, consistent with MHD simulations (Birn et al., 2004) are presented. The implications of the presence of a strong B-Y in the IMF and magnetotail on the propagation of the plasma bubble and development of the associated current systems in the magnetotail and ionosphere are discussed. It is suggested that a strong B-Y can rotate the field aligned current systems at the edges of the plasma bubble away from its duskward and dawnward flanks.</t>
  </si>
  <si>
    <t>[Walsh, A. P.; Fazakerley, A. N.; Lahiff, A. D.] Univ Coll London, Mullard Space Sci Lab, Dorking RH5 6NT, Surrey, England; [Volwerk, M.; Zhang, T. L.] Austrian Acad Sci, Space Res Inst, A-8042 Graz, Austria; [Grocott, A.; Lester, M.] Univ Leicester, Dept Phys &amp; Astron, Leicester LE1 7RH, Leics, England; [Dunlop, M. W.] Rutherford Appleton Lab, Didcot OX11 0QX, Oxon, England; [Lui, A. T. Y.] Johns Hopkins Univ, Appl Phys Lab, Laurel, MD 20723 USA; [Kistler, L. M.; Mouikis, C.] Univ New Hampshire, Dept Phys, Durham, NH 03824 USA; [Pu, Z.] Peking Univ, Beijing 100871, Peoples R China; [Shen, C.; Shi, J.] Chinese Acad Sci, CSSAR, State Key Lab Space Weather, Beijing 100080, Peoples R China; [Taylor, M. G. G. T.] European Space Technol Ctr, NL-2200 AG Noordwijk, Netherlands; [Lucek, E.] Univ London Imperial Coll Sci Technol &amp; Med, Blackett Lab, London, England; [Dandouras, I.] Ctr Etud Spatiale Rayonnements, Toulouse, France</t>
  </si>
  <si>
    <t>University of London; University College London; Austrian Academy of Sciences; University of Leicester; UK Research &amp; Innovation (UKRI); Science &amp; Technology Facilities Council (STFC); STFC Rutherford Appleton Laboratory; Johns Hopkins University; Johns Hopkins University Applied Physics Laboratory; University System Of New Hampshire; University of New Hampshire; Peking University; Chinese Academy of Sciences; European Space Agency; Imperial College London; Universite de Toulouse; Universite Toulouse III - Paul Sabatier</t>
  </si>
  <si>
    <t>Walsh, AP (corresponding author), Univ Coll London, Mullard Space Sci Lab, Holmbury St Mary, Dorking RH5 6NT, Surrey, England.</t>
  </si>
  <si>
    <t>apw@mssl.ucl.ac.uk</t>
  </si>
  <si>
    <t>Lui, Anthony T Y/G-5051-2019; dunlop, malcolm w/F-1347-2010; Walsh, Andrew P/E-6701-2011; Lester, Mark/C-9657-2016; Grocott, Adrian/A-9576-2011; Walsh, Andrew/N-8749-2019; Dandouras, Iannis/V-2709-2017</t>
  </si>
  <si>
    <t>dunlop, malcolm w/0000-0002-8195-5137; Walsh, Andrew/0000-0002-1682-1212; Grocott, Adrian/0000-0002-6489-095X; Dandouras, Iannis/0000-0002-7121-1118</t>
  </si>
  <si>
    <t>Australian Research Council; Australian Antarctic Science Program; TIGER Consortium Partners (La Trobe University, Australian Antarctic Division; DSTO Intelligence Surveillance and Reconnaissance Division; IPS Radio and Space Services; Monash University; University of Newcastle; UK STFC PhD Studentship; STFC [PP/E000983]; Science and Technology Facilities Council [PP/E000983/1, ST/H004130/1, ST/G008493/1, PP/E001173/1] Funding Source: researchfish; STFC [ST/H004130/1, ST/G008493/1, PP/E001173/1] Funding Source: UKRI</t>
  </si>
  <si>
    <t>Australian Research Council(Australian Research Council); Australian Antarctic Science Program; TIGER Consortium Partners (La Trobe University, Australian Antarctic Division; DSTO Intelligence Surveillance and Reconnaissance Division; IPS Radio and Space Services; Monash University(Monash University); University of Newcastle; UK STFC PhD Studentship(UK Research &amp; Innovation (UKRI)Science &amp; Technology Facilities Council (STFC)); STFC(UK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</si>
  <si>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Portions of this work were carried out as part of the International Space Science Institute working group Comparative Cluster-Double Star measurements in the magnetotail. The authors would like to thank the Cluster and Double Star FGM, CIS and PEACE teams and the ESA Cluster Active Archive for providing Cluster and Double Star data; C. W. Smith for access to the ACE magnetic field data, provided through the NASA CDAWeb; H. U. Frey for access to IMAGE-FUV data and software; and the PIs of the SuperDARN radars for provision of the radar data employed in this study. The data employed were from radars funded by the research funding agencies of France, Japan, South Africa, Australia, and the UK. The TIGER research program is supported by the Australian Research Council, the Australian Antarctic Science Program and the TIGER Consortium Partners (La Trobe University, Australian Antarctic Division, DSTO Intelligence Surveillance and Reconnaissance Division, IPS Radio and Space Services, Monash University, and University of Newcastle). Some data analysis was done with QSAS. APW is supported by a UK STFC PhD Studentship. AG and ML are supported by STFC grant PP/E000983. Topical Editor I. A. Daglis thanks O. Amm and another anonymous referee for their help in evaluating this paper.</t>
  </si>
  <si>
    <t>10.5194/angeo-27-725-2009</t>
  </si>
  <si>
    <t>Green Submitted, Green Accepted, gold</t>
  </si>
  <si>
    <t>WOS:000263839900024</t>
  </si>
  <si>
    <t>Manson, AH; Meek, CE; Chshyolkova, T; Xu, X; Aso, T; Drummond, JR; Hall, CM; Hocking, WK; Jacobi, C; Tsutsumi, M; Ward, WE</t>
  </si>
  <si>
    <t>Manson, A. H.; Meek, C. E.; Chshyolkova, T.; Xu, X.; Aso, T.; Drummond, J. R.; Hall, C. M.; Hocking, W. K.; Jacobi, Ch.; Tsutsumi, M.; Ward, W. E.</t>
  </si>
  <si>
    <t>Arctic tidal characteristics at Eureka (80° N, 86° W) and Svalbard (78° N, 16° E) for 2006/07: seasonal and longitudinal variations, migrating and non-migrating tides</t>
  </si>
  <si>
    <t>Atmospheric composition and structure; Middle atmosphere; composition and chemistry; Meteorology and atmospheric dynamics; Polar meteorology; Waves and tides</t>
  </si>
  <si>
    <t>LOWER THERMOSPHERE; 12-HOUR OSCILLATION; SEMIDIURNAL TIDES; WAVE ACTIVITY; MLT REGION; SOUTH-POLE; MEAN WINDS; RADAR; MESOSPHERE; PLANETARY</t>
  </si>
  <si>
    <t>Operation of a Meteor Radar at Eureka, Ellesmere Island (80 degrees N, 86 degrees W) began in February 2006. The first 12 months of wind data (82-97 km) are combined with winds from the Adventdalen, Svalbard Island (78 degrees N, 16 degrees E) Meteor Radar to provide the first contemporaneous longitudinally spaced observations of mean winds, tides and planetary waves at such high Arctic latitudes. Unique polar information on diurnal non-migrating tides (NMT) is provided, as well as complementary information to that existing for the Antarctic on the semidiurnal NMT. Zonal and meridional monthly mean winds differed significantly between Canada and Norway, indicating the influence of stationary planetary waves (SPW) in the Arctic mesopause region. Both diurnal (D) and semi-diurnal (SD) winds also demonstrated significantly different magnitudes at Eureka and Svalbard. Typically the D tide was larger at Eureka and the SD tide was larger at Svalbard. Tidal amplitudes in the Arctic were also generally larger than expected from extrapolation of high mid-latitude data. For example time-sequences from similar to 90 km showed D wind oscillations at Eureka of 30 m/s in February-March, and four day bursts of SD winds at Svalbard reached 40 m/s in June 2006. Fitting of wave numbers for the migrating and non-migrating tides (MT, NMT) successfully determines dominant tides for each month and height. For the diurnal tide, NMT with s=0, +2 (westward) dominate in non-summer months, while for the semi-diurnal tide NMT with s=+1, +3 occur most often during equinoctial or early summer months. These wave numbers are consistent with stationary planetary wave (SPW)-tidal interactions. Assessment of the global topographic forcing and atmospheric propagation of the SPW (S=1, 2) suggests these winter waves of the Northern Hemisphere are associated with the 78-80 degrees N diurnal NMT, but that the SPW of the Southern Hemisphere winter have little influence on the summer Arctic tidal fields. In contrast the large SPW and NMT of the Arctic winter may be associated, consistent with Antarctic observations, with the observed occurrence of the semidiurnal NMT in the Antarctic summer.</t>
  </si>
  <si>
    <t>[Manson, A. H.; Meek, C. E.; Chshyolkova, T.; Xu, X.] Univ Saskatchewan, Inst Space &amp; Atmospher Studies, Saskatoon, SK S7N 0W0, Canada; [Aso, T.; Tsutsumi, M.] Natl Inst Polar Res, Tokyo, Japan; [Drummond, J. R.] Dalhousie Univ, Dept Phys &amp; Atmospher Sci, Halifax, NS, Canada; [Hall, C. M.] Univ Tromso, Tromso Geophys Observ, Tromso, Norway; [Hocking, W. K.] Univ Western Ontario, Dept Phys &amp; Astron, London, ON, Canada; [Jacobi, Ch.] Univ Leipzig, Inst Meteorol, Leipzig, Germany; [Ward, W. E.] Univ New Brunswick, Dept Phys &amp; Astron, Fredericton, NB, Canada</t>
  </si>
  <si>
    <t>University of Saskatchewan; Research Organization of Information &amp; Systems (ROIS); National Institute of Polar Research (NIPR) - Japan; Dalhousie University; UiT The Arctic University of Tromso; Western University (University of Western Ontario); Leipzig University; University of New Brunswick</t>
  </si>
  <si>
    <t>Manson, AH (corresponding author), Univ Saskatchewan, Inst Space &amp; Atmospher Studies, Saskatoon, SK S7N 0W0, Canada.</t>
  </si>
  <si>
    <t>alan.manson@usask.ca</t>
  </si>
  <si>
    <t>Xu, Xiaoyong/AAB-5498-2019; Drummond, James R/O-7467-2014; Xu, Xiaoyong/HOA-7068-2023; Ward, William/F-6263-2012; Hall, Colin Michael/C-1439-2010</t>
  </si>
  <si>
    <t>Xu, Xiaoyong/0000-0002-5040-6442; Xu, Xiaoyong/0000-0002-5040-6442; Hall, Colin Michael/0000-0002-7734-4587</t>
  </si>
  <si>
    <t>10.5194/angeo-27-1153-2009</t>
  </si>
  <si>
    <t>425ZI</t>
  </si>
  <si>
    <t>WOS:000264676500023</t>
  </si>
  <si>
    <t>Gong, DY; Kim, SJ; Ho, CH</t>
  </si>
  <si>
    <t>Gong, D. -Y.; Kim, S. -J.; Ho, C. -H.</t>
  </si>
  <si>
    <t>Arctic and Antarctic Oscillation signatures in tropical coral proxies over the South China Sea</t>
  </si>
  <si>
    <t>Meteorology and atmospheric dynamics; Climatology; Paleoclimatology; Oceanography: biological and chemical; Geochemistry</t>
  </si>
  <si>
    <t>ASIAN WINTER MONSOON; GEOPOTENTIAL HEIGHT; ANNULAR MODES; CLIMATE; EAST; TEMPERATURE; VARIABILITY; PACIFIC; RECORDS; ASSOCIATION</t>
  </si>
  <si>
    <t>Arctic Oscillation (AO) and Antarctic Oscillation (AAO) are the leading modes of atmospheric circulation in mid-high latitudes. Previous studies have revealed that the climatic influences of the two modes are dominant in extra-tropical regions. This study finds that AO and AAO signals are also well recorded in coral proxies in the tropical South China Sea. There are significant interannual signals of AO and AAO in the strontium (Sr) content, which represents the sea surface temperature (SST). Among all the seasons, the most significant correlation occurs during winter in both hemispheres: the strongest AO-Sr and AAO-Sr coral correlations occur in January and August, respectively. This study also determined that the Sr content lags behind AO and AAO by 1-3 months. Large-scale anomalies in sea level pressure and horizontal wind at 850 hPa level support the strength of AO/AAO-coral teleconnections. In addition, a comparison with oxygen isotope records from two coral sites in neighboring oceans yields significant AO and AAO signatures with similar time lags. These results help to better understand monsoon climates and their teleconnection to high-latitude climate changes.</t>
  </si>
  <si>
    <t>[Gong, D. -Y.] Beijing Normal Univ, State Key Lab Earth Surface Proc &amp; Resource Ecol, Beijing 100875, Peoples R China; [Kim, S. -J.] Korea Polar Res Inst, Inchon, South Korea; [Ho, C. -H.] Seoul Natl Univ, Sch Earth &amp; Environm Sci, Seoul, South Korea</t>
  </si>
  <si>
    <t>Beijing Normal University; Korea Polar Research Institute (KOPRI); Korea Institute of Ocean Science &amp; Technology (KIOST); Seoul National University (SNU)</t>
  </si>
  <si>
    <t>Gong, DY (corresponding author), Beijing Normal Univ, State Key Lab Earth Surface Proc &amp; Resource Ecol, Beijing 100875, Peoples R China.</t>
  </si>
  <si>
    <t>gdy@bnu.edu.cn</t>
  </si>
  <si>
    <t>Ho, Chang-Hoi/H-8354-2015</t>
  </si>
  <si>
    <t>Korea Polar Research Institute [PE09030]; CATER [2006-4204]; [NSFC-40675035]; [2008AA121704]; [GYHY200706010]</t>
  </si>
  <si>
    <t>Korea Polar Research Institute(Korea Polar Research Institute of Marine Research Placement (KOPRI)); CATER; ; ;</t>
  </si>
  <si>
    <t>This study was supported by the PE09030 of Korea Polar Research Institute, NSFC-40675035, 2008AA121704 and GYHY200706010 programs. C.-H. Ho was supported by CATER 2006-4204. ECWMF reanalysis data was obtained from the ECMWF server at http://data.ecmwf.int. The authors wish to thank Y. Sun for providing Sr-content time-series data. Comments from the two anonymous reviewers are appreciated.; Topical Editor F. D'Andrea thanks two anonymous referees for their help in evaluating this paper.</t>
  </si>
  <si>
    <t>10.5194/angeo-27-1979-2009</t>
  </si>
  <si>
    <t>450NC</t>
  </si>
  <si>
    <t>WOS:000266406300016</t>
  </si>
  <si>
    <t>Anderson, C; Conde, M; Dyson, P; Davies, T; Kosch, MJ</t>
  </si>
  <si>
    <t>Anderson, C.; Conde, M.; Dyson, P.; Davies, T.; Kosch, M. J.</t>
  </si>
  <si>
    <t>Thermospheric winds and temperatures above Mawson, Antarctica, observed with an all-sky imaging, Fabry-Perot spectrometer</t>
  </si>
  <si>
    <t>Atmospheric composition and structure; Airglow and aurora; Meteorology and atmospheric dynamics; Thermospheric dynamics; Instruments and techniques</t>
  </si>
  <si>
    <t>VERTICAL WINDS; GLOBAL-MODEL; ATMOSPHERE; SYSTEM; INTERFEROMETER; SATELLITE; DYNAMICS; FIELD</t>
  </si>
  <si>
    <t>A new all-sky imaging Fabry-Perot spectrometer has been installed at Mawson station (67 degrees 36'S, 62 degrees 52'E), Antarctica. This instrument is capable of recording independent spectra from many tens of locations across the sky simultaneously. Useful operation began in March 2007, with spectra recorded on a total of 186 nights. Initial analysis has focused on the large-scale daily and average behavior of winds and temperatures derived from observations of the 630.0 nm airglow line of atomic oxygen, originating from a broad layer centered around 240 km altitude, in the ionospheric F-region. The 1993 Horizontal Wind Model (HWM93), NRLMSISE-00 atmospheric model, and the Coupled Thermosphere/Ionosphere Plasmasphere (CTIP) model were used for comparison. During the geomagnetically quiet period studied, observed winds and temperatures were generally well modelled, although temperatures were consistently higher than NRLMSISE-00 predicted, by up to 100 K. CTIP temperatures better matched our data, particularly later in the night, but predicted zonal winds which were offset from those observed by 70-180 ms(-1) westward. During periods of increased activity both winds and temperatures showed much greater variability over time-scales of less than an hour. For the active night presented here, a period of 45 min saw wind speeds decrease by around 180 ms(-1), and temperatures increase by approximately 100 K. Active-period winds were poorly modelled by HWM93 and CTIP, although observed median temperatures were in better agreement with NRLMSISE-00 during such periods. Average behavior was found to be generally consistent with previous studies of thermospheric winds above Mawson. The collected data set was representative of quiet geomagnetic and solar conditions. Geographic eastward winds in the afternoon/evening generally continued until around local midnight, when winds turned equatorward. Geographic meridional and zonal winds in the afternoon were approximately 50 ms(-1) weaker than expected from HWM93, as was the transition to equatorward flow around midnight. There was also a negligible geographic zonal component to the post-midnight wind where HWM93 predicted strong westward flow. Average temperatures between 19: 00 and 04: 00 local solar time were around 60K higher than predicted by NRLMSISE-00.</t>
  </si>
  <si>
    <t>[Anderson, C.; Dyson, P.; Davies, T.] La Trobe Univ, Dept Phys, Bundoora, Vic 3086, Australia; [Conde, M.] Univ Alaska, Inst Geophys, Fairbanks, AK 99701 USA; [Kosch, M. J.] Univ Lancaster, Dept Commun Syst, Lancaster LA1 4YW, England</t>
  </si>
  <si>
    <t>La Trobe University; University of Alaska System; University of Alaska Fairbanks; Lancaster University</t>
  </si>
  <si>
    <t>Anderson, C (corresponding author), La Trobe Univ, Dept Phys, Bundoora, Vic 3086, Australia.</t>
  </si>
  <si>
    <t>c.anderson@latrobe.edu.au</t>
  </si>
  <si>
    <t>Kosch, Michael Jurgen/0000-0003-2846-3915</t>
  </si>
  <si>
    <t>Australian Research Councils [DP0557369]; Australian Antarctic Science Program; Science and Technology Facilities Council [ST/F003005/1] Funding Source: researchfish; Australian Research Council [DP0557369] Funding Source: Australian Research Council</t>
  </si>
  <si>
    <t>Australian Research Councils(Australian Research Council); Australian Antarctic Science Program; Science and Technology Facilities Council(UK Research &amp; Innovation (UKRI)Science &amp; Technology Facilities Council (STFC)); Australian Research Council(Australian Research Council)</t>
  </si>
  <si>
    <t>This research has been supported by the Australian Research Councils Discovery Project DP0557369 and by the Australian Antarctic Science Program. Logistic support for this work was provided by the Australian Antarctic Division. Many parts of the FPS used in this project were constructed at La Trobe University by Eric Huwald, Habib Rahman and Robert Polglase. The NRLMSISE-00 and HWM93 models are provided by the Community Coordinated Modeling Center (CCMC). The CTIP model was run through the CCMC's web interface, and help was provided by model developers Tim Fuller-Rowell and Mihail Codrescu. The authors wish to acknowledge the continuing support of the ANARE expeditioners at Mawson station, without which this work would not have been possible.</t>
  </si>
  <si>
    <t>10.5194/angeo-27-2225-2009</t>
  </si>
  <si>
    <t>Green Submitted, gold, Green Accepted</t>
  </si>
  <si>
    <t>WOS:000266406300039</t>
  </si>
  <si>
    <t>Ambrosino, D; Amata, E; Marcucci, MF; Coco, I; Bristow, W; Dyson, P</t>
  </si>
  <si>
    <t>Ambrosino, D.; Amata, E.; Marcucci, M. F.; Coco, I.; Bristow, W.; Dyson, P.</t>
  </si>
  <si>
    <t>Different responses of northern and southern high latitude ionospheric convection to IMF rotations: a case study based on SuperDARN observations</t>
  </si>
  <si>
    <t>Ionosphere; Auroral ionosphere; Ionosphere-magnetosphere interactions; Space plasma physics; Magnetic reconnection</t>
  </si>
  <si>
    <t>INTERPLANETARY MAGNETIC-FIELD; HF RADAR OBSERVATIONS; POTENTIAL PATTERNS; PLASMA CONVECTION; NORTHWARD IMF; SOUTHWARD IMF; MAGNETOSPHERE; COMPONENT; INTERVAL; REGIONS</t>
  </si>
  <si>
    <t>We use SuperDARN data to study high-latitude ionospheric convection over a three hour period (starting at 22: 00 UT on 2 January 2003), during which the Interplanetary Magnetic Field (IMF) flipped between two states, one with B(y) &gt;&gt; vertical bar B(z)vertical bar and one with B(z) &gt; 0, both with negative B(x). We find, as expected from previous works, that day side ionospheric convection is controlled by the IMF in both hemispheres. For strongly northward IMF, we observed signatures of two reverse cells, both in the Northern Hemisphere (NH) and in the Southern Hemisphere (SH), due to lobe reconnection. On one occasion, we also observed in the NH two viscous cells at the sides of the reverse cell pair. For duskward IMF, we observed in the NH a large dusk clockwise cell, accompanied by a smaller dawn cell, and the signature of a corresponding pattern in the SH. On two occasions, a three cell pattern, composed of a large clockwise cell and two viscous cells, was observed in the NH. As regards the timings of the NH and SH convection reconfigurations, we find that the convection reconfiguration from a positive B(z) dominated to a positive B(y) dominated pattern occurred almost simultaneously (i.e. within a few minutes) in the two hemispheres. On the contrary, the reconfiguration from a B(y) dominated to a northward IMF pattern started in the NH 8-13 min earlier than in the SH. We suggest that part of such a delay can be due to the following mechanism: as IMF B(x) &lt; 0, the northward-tailward magnetosheath magnetic field reconnects with the magnetospheric field first tail-ward of the northern cusp and later on tailward of the southern cusp, due to the IMF draping around the magnetopause.</t>
  </si>
  <si>
    <t>[Ambrosino, D.; Amata, E.; Marcucci, M. F.; Coco, I.] INAF, IFSI, Rome, Italy; [Dyson, P.] La Trobe Univ, Bundoora, Vic 3086, Australia</t>
  </si>
  <si>
    <t>Istituto Nazionale Astrofisica (INAF); La Trobe University</t>
  </si>
  <si>
    <t>Ambrosino, D (corresponding author), INAF, IFSI, Rome, Italy.</t>
  </si>
  <si>
    <t>danila.ambrosino@ifsi-roma.inaf.it</t>
  </si>
  <si>
    <t>Coco, Igino/X-7419-2018; Marcucci, Maria federica/HNJ-5276-2023</t>
  </si>
  <si>
    <t>Coco, Igino/0000-0003-4070-6828; Marcucci, Maria Federica/0000-0002-5002-6060</t>
  </si>
  <si>
    <t>ASI [I/035/05/0]; Australian Research Council [DP0664424]; Australian Antarctic Science Program; US Air Force Office of Scientific Research; Science and Technology Facilities Council [PP/E007929/1] Funding Source: researchfish; Australian Research Council [DP0664424] Funding Source: Australian Research Council</t>
  </si>
  <si>
    <t>ASI(Agenzia Spaziale Italiana (ASI)); Australian Research Council(Australian Research Council); Australian Antarctic Science Program; US Air Force Office of Scientific Research(United States Department of DefenseAir Force Office of Scientific Research (AFOSR)); Science and Technology Facilities Council(UK Research &amp; Innovation (UKRI)Science &amp; Technology Facilities Council (STFC)); Australian Research Council(Australian Research Council)</t>
  </si>
  <si>
    <t>Ace data have been obtained from CDAWeb. We thank D. J. McComas and N. Ness for their use. This research has been partially supported by ASI contract N. I/035/05/0 and by P. N. R. A. TIGER has been supported by the Australian Research Council's Discovery Project DP0664424, the Australian Antarctic Science Program and the US Air Force Office of Scientific Research.</t>
  </si>
  <si>
    <t>COPERNICUS PUBLICATIONS</t>
  </si>
  <si>
    <t>KATHLENBURG-LINDAU</t>
  </si>
  <si>
    <t>MAX-PLANCK-STR 13, KATHLENBURG-LINDAU, 37191, GERMANY</t>
  </si>
  <si>
    <t>10.5194/angeo-27-2423-2009</t>
  </si>
  <si>
    <t>464XR</t>
  </si>
  <si>
    <t>WOS:000267543600016</t>
  </si>
  <si>
    <t>Cooper, SL; Conde, M; Dyson, P</t>
  </si>
  <si>
    <t>Cooper, S. L.; Conde, M.; Dyson, P.</t>
  </si>
  <si>
    <t>Numerical simulations of thermospheric dynamics: divergence as a proxy for vertical winds</t>
  </si>
  <si>
    <t>Atmospheric composition and structure; Pressure, density, and temperature; Ionosphere; Ionosphere-atmosphere interactions; Meteorology and atmospheric dynamics; Thermospheric dynamics</t>
  </si>
  <si>
    <t>GENERAL-CIRCULATION MODEL; FABRY-PEROT SPECTROMETER; DOPPLER IMAGING-SYSTEM; STABLE AURORAL ARC; NESTED-GRID MODEL; HIGH-RESOLUTION; NEUTRAL CIRCULATION; MIDLATITUDE THERMOSPHERE; LATITUDE THERMOSPHERE; GRAVITY-WAVES</t>
  </si>
  <si>
    <t>A local scale, time dependent three-dimensional model of the neutral thermosphere was used to test the applicability of two previously published empirical relations between thermospheric vertical wind and velocity divergence, i.e., those due to Burnside et al. (1981) and Brekke (1997). The model self-consistently solves for vertical winds driven by heat and momentum deposited into the neutral atmosphere by high latitude ion convection. The Brekke condition accurately mimicked the overall shape of the three-dimensional model vertical wind field although, as written, it consistently overestimated the vertical wind magnitude by a factor of approximately 5/3, for the heating scenarios that we considered. This same general behavior was observed regardless of whether the forcing was static or rapidly changing with time. We discuss the likely reason for the Brekke condition overestimating the magnitude of our vertical winds, and suggest an alternative condition that should better describe vertical winds that are driven by local heating. The applicability of the Burnside condition was, by contrast, quite variable. During static heating, both the magnitude and the sign of the model vertical winds were predicted reliably at heights above those of maximum energy and momentum deposition per unit mass. However, below the thermal forcing, the Burnside condition predicted vertical winds of the wrong sign. It also introduced significant artefacts into the predicted vertical wind field when the forcing changed suddenly with time. If these results are of general applicability (which seems likely, given the way these relations are derived) then the Burnside condition could usually be used safely at altitudes above h(m)F(2). But it should be avoided below this height at all times, and even at high altitudes during periods of dynamic forcing. While the Brekke condition (or our modified version of it) could likely be used in all circumstances, there are few experimental scenarios for which this would be useful. This is because evaluation of the Brekke condition would not usually be possible unless the vertical wind was already known in advance.</t>
  </si>
  <si>
    <t>[Cooper, S. L.; Dyson, P.] La Trobe Univ, Dept Phys, Melbourne, Vic, Australia; [Conde, M.] Univ Alaska, Dept Phys, Fairbanks, AK 99775 USA</t>
  </si>
  <si>
    <t>La Trobe University; University of Alaska System; University of Alaska Fairbanks</t>
  </si>
  <si>
    <t>Cooper, SL (corresponding author), La Trobe Univ, Dept Phys, Melbourne, Vic, Australia.</t>
  </si>
  <si>
    <t>sl7cooper@students.latrobe.edu.au</t>
  </si>
  <si>
    <t>Australian Research Council [DP0557369]; Australian Antarctic Science Program; Australian Research Council [DP0557369] Funding Source: Australian Research Council</t>
  </si>
  <si>
    <t>Australian Research Council(Australian Research Council); Australian Antarctic Science Program; Australian Research Council(Australian Research Council)</t>
  </si>
  <si>
    <t>The modelling was completed by using an open source CFD code called OpenFoam which can be obtained from http://www. opencfd. co. uk/. The models were run on a computer owned and operated by the Geophysical Institute, University of Alaska, Fairbanks. This research has been supported by the Australian Research Council's Discovery Project DP0557369 and by the Australian Antarctic Science Program.</t>
  </si>
  <si>
    <t>10.5194/angeo-27-2491-2009</t>
  </si>
  <si>
    <t>WOS:000267543600022</t>
  </si>
  <si>
    <t>Bageston, JV; Wrasse, CM; Gobbi, D; Takahashi, H; Souza, PB</t>
  </si>
  <si>
    <t>Bageston, J. V.; Wrasse, C. M.; Gobbi, D.; Takahashi, H.; Souza, P. B.</t>
  </si>
  <si>
    <t>Observation of mesospheric gravity waves at Comandante Ferraz Antarctica Station (62° S)</t>
  </si>
  <si>
    <t>Atmospheric composition and structure; Airglow and aurora; Middle atmosphere; composition and chemistry; Meteorology and atmospheric dynamics; Waves and tides</t>
  </si>
  <si>
    <t>OH AIRGLOW; BORE; CLIMATOLOGY; EQUATORIAL</t>
  </si>
  <si>
    <t>An airglow all-sky imager was operated at Comandante Ferraz Antarctica Station (62.1 degrees S, 58.4 degrees W), between April and October of 2007. Mesospheric gravity waves were observed using the OH airglow layer during 43 nights with good weather conditions. The waves presented horizontal wavelengths between 10 and 60 km and observed periods mainly distributed between 5 and 20 min. The observed phase speeds range between 5 m/s and 115 m/s; the majority of the wave velocities were between 10 and 60 m/s. The waves showed a preferential propagation direction towards the southwest in winter (May to July), while during spring (August to October) there was an anisotropy with a preferential propagation direction towards the northwest. Unusual mesospheric fronts were also observed. The most probable wave source could be associated to orographic forcing, cold fronts or strong cyclonic activity in the Antarctica Peninsula.</t>
  </si>
  <si>
    <t>[Bageston, J. V.; Gobbi, D.; Takahashi, H.; Souza, P. B.] INPE, Sao Jose Dos Campos, Brazil; [Wrasse, C. M.] UNIVAP IP&amp;D, Sao Jose Dos Campos, Brazil</t>
  </si>
  <si>
    <t>Instituto Nacional de Pesquisas Espaciais (INPE); Universidade do Vale do Paraiba</t>
  </si>
  <si>
    <t>Bageston, JV (corresponding author), INPE, Sao Jose Dos Campos, Brazil.</t>
  </si>
  <si>
    <t>jvb@laser.inpe.br</t>
  </si>
  <si>
    <t>Takahashi, Hisao/C-5299-2013; Bageston, Jose Valentin/F-1269-2018; Wrasse, Cristiano Max/HRA-3982-2023; Wrasse, Cristiano C. M./N-6556-2013; Gobbi, Delano/J-2380-2018; Wrasse, Cristiano Max/U-6351-2017</t>
  </si>
  <si>
    <t>Wrasse, Cristiano Max/0000-0001-8026-3625; Gobbi, Delano/0000-0002-8260-1007; Bageston, Jose V/0000-0003-2931-8488</t>
  </si>
  <si>
    <t>CNPq/PROANTAR [55.7304/2005-9]; CNPq [140066/2006-3, 304277/2008-8]</t>
  </si>
  <si>
    <t>CNPq/PROANTAR(Conselho Nacional de Desenvolvimento Cientifico e Tecnologico (CNPQ)); CNPq(Conselho Nacional de Desenvolvimento Cientifico e Tecnologico (CNPQ))</t>
  </si>
  <si>
    <t>This research was supported by CNPq/PROANTAR under project no 55.7304/2005-9. J. V. Bageston thank to CNPq for PhD scholarship under process 140066/2006-3. C. M. Wrasse thank to CNPq for the grant 304277/2008-8. The authors thank to SECIRM and Brazilian Antarctic Program ( PROANTAR) for the opportunity to develop research at Comandante Ferraz Antarctica Station. In particular, we thank to J. R. Chagas and A. T. Hadano for their help during the last 2 months of the campaign.</t>
  </si>
  <si>
    <t>10.5194/angeo-27-2593-2009</t>
  </si>
  <si>
    <t>WOS:000267543600032</t>
  </si>
  <si>
    <t>Tomikawa, Y; Tsutsumi, M</t>
  </si>
  <si>
    <t>Tomikawa, Y.; Tsutsumi, M.</t>
  </si>
  <si>
    <t>MF radar observations of the diurnal tide over Syowa, Antarctica (69° S, 40° E)</t>
  </si>
  <si>
    <t>Meteorology and atmospheric dynamics; Middle atmosphere dynamics; Waves and tides</t>
  </si>
  <si>
    <t>MIGRATING SOLAR TIDES; LOWER THERMOSPHERE; MIDDLE-ATMOSPHERE; SOUTH-POLE; MEAN WINDS; 12-HOUR OSCILLATION; PROPAGATING TIDE; SPACED DATA; MESOSPHERE; CLIMATOLOGY</t>
  </si>
  <si>
    <t>Characteristics of the diurnal tide in the Antarctic mesosphere and lower thermosphere (MLT) are investigated using 10 years of medium frequency (MF) radar data from Syowa Station (69 degrees S, 39.6 degrees E). Seasonal variations and height dependence of the diurnal amplitude and phase of zonal and meridional winds are mostly consistent with previous studies using the other Antarctic station data. The meridional momentum flux due to the diurnal tide shows a seasonal variation clearly different between above and below 90 km, which has never been reported in the literature. Finally, a cause of some discrepancy in the characteristics of the diurnal tide between the observation and simulation (i.e., GSWM-02) is discussed. It implies that the realistic representation of gravity waves in the simulation is crucial for realistic modeling of the diurnal tide.</t>
  </si>
  <si>
    <t>[Tomikawa, Y.; Tsutsumi, M.] Natl Inst Polar Res, Tokyo 1908518, Japan</t>
  </si>
  <si>
    <t>Research Organization of Information &amp; Systems (ROIS); National Institute of Polar Research (NIPR) - Japan</t>
  </si>
  <si>
    <t>Tomikawa, Y (corresponding author), Natl Inst Polar Res, 10-3 Midoricho, Tokyo 1908518, Japan.</t>
  </si>
  <si>
    <t>tomikawa@nipr.ac.jp</t>
  </si>
  <si>
    <t>Tomikawa, Yoshihiro/D-5304-2012</t>
  </si>
  <si>
    <t>Tomikawa, Yoshihiro/0000-0002-5652-3017</t>
  </si>
  <si>
    <t>Japanese Antarctic Research Expedition (JARE).</t>
  </si>
  <si>
    <t>The authors thank Takehiko Aso for his helpful suggestions and comments and Maura Hagan for providing the GSWM-02 data. The GFD-DENNOU Library was used for drawing the figures. The MF radar operation was conducted by the Japanese Antarctic Research Expedition (JARE).</t>
  </si>
  <si>
    <t>10.5194/angeo-27-2653-2009</t>
  </si>
  <si>
    <t>478XS</t>
  </si>
  <si>
    <t>gold, Green Submitted</t>
  </si>
  <si>
    <t>WOS:000268622700005</t>
  </si>
  <si>
    <t>Younger, PT; Astin, I; Sandford, DJ; Mitchell, NJ</t>
  </si>
  <si>
    <t>Younger, P. T.; Astin, I.; Sandford, D. J.; Mitchell, N. J.</t>
  </si>
  <si>
    <t>The sporadic radiant and distribution of meteors in the atmosphere as observed by VHF radar at Arctic, Antarctic and equatorial latitudes</t>
  </si>
  <si>
    <t>Interplanetary physics; Interplanetary dust; General or miscellaneous; Radio science; Remote sensing</t>
  </si>
  <si>
    <t>INCIDENT FLUX; RATES</t>
  </si>
  <si>
    <t>Results are presented of a study of the temporal and spatial variability in meteor count rate observations from three VHF meteor radars. These radar are located in the Arctic (at Esrange, 68 degrees N), in the Antarctic (at Rothera, 68 degrees S) and near the Equator (on Ascension Island, 8 degrees S). It is found that for all three locations there is a strong diurnal cycle in observed hourly meteor counts and the time of maxima and minima in these counts depends on the month of the year. In addition, at high latitude there is a strong annual cycle in observed monthly-mean meteor counts, whereas for the radar at low latitude there is a semi-annual cycle. At high latitude there is also an annual cycle in the mean height at which meteors are observed. However, no such annual cycle is found in observed meteor count rates from the low latitude radar. The meteor count data from all the radars are combined to investigate the sporadic radiant distribution (i.e. the distribution of direction of arrival on the celestial sphere of sporadic meteors). This combined radiant distribution shows that there are six main source regions for meteors. The latitudinal and temporal dependence in observed meteor count rates appears to result from a combination of the sporadic radiant distribution, annual fluctuations in atmospheric density, the sensitivity of the radar to meteors from different source directions and the temporal and spatial variability in meteor fluxes.</t>
  </si>
  <si>
    <t>[Younger, P. T.; Astin, I.; Sandford, D. J.; Mitchell, N. J.] Univ Bath, Ctr Space Atmospher &amp; Ocean Sci, Dept Elect &amp; Elect Engn, Bath BA2 7AY, Avon, England</t>
  </si>
  <si>
    <t>University of Bath</t>
  </si>
  <si>
    <t>Astin, I (corresponding author), Univ Bath, Ctr Space Atmospher &amp; Ocean Sci, Dept Elect &amp; Elect Engn, Bath BA2 7AY, Avon, England.</t>
  </si>
  <si>
    <t>eesia@bath.ac.uk</t>
  </si>
  <si>
    <t>Sandford, David J/A-4501-2008</t>
  </si>
  <si>
    <t>Astin, Ivan/0000-0001-8964-6286</t>
  </si>
  <si>
    <t>Natural Environment Research Council [NER/G/S/2003/00014, NE/E007384/1] Funding Source: researchfish; Science and Technology Facilities Council [PP/E002218/1] Funding Source: researchfish; NERC [NE/E007384/1] Funding Source: UKRI; STFC [PP/E002218/1] Funding Source: UKRI</t>
  </si>
  <si>
    <t>Natural Environment Research Council(UK Research &amp; Innovation (UKRI)Natural Environment Research Council (NERC)); Science and Technology Facilities Council(UK Research &amp; Innovation (UKRI)Science &amp; Technology Facilities Council (STFC)); NERC(UK Research &amp; Innovation (UKRI)Natural Environment Research Council (NERC)); STFC(UK Research &amp; Innovation (UKRI)Science &amp; Technology Facilities Council (STFC))</t>
  </si>
  <si>
    <t>10.5194/angeo-27-2831-2009</t>
  </si>
  <si>
    <t>WOS:000268622700019</t>
  </si>
  <si>
    <t>Milan, SE; Hutchinson, J; Boakes, PD; Hubert, B</t>
  </si>
  <si>
    <t>Milan, S. E.; Hutchinson, J.; Boakes, P. D.; Hubert, B.</t>
  </si>
  <si>
    <t>Influences on the radius of the auroral oval</t>
  </si>
  <si>
    <t>Magnetospheric physics; Magnetospheric configuration and dynamics; Solar wind-magnetosphere interactions; Storms and substorms</t>
  </si>
  <si>
    <t>INTERPLANETARY MAGNETIC-FIELD; ADVANCED COMPOSITION EXPLORER; SUPERPOSED EPOCH ANALYSIS; POLAR-CAP; MAGNETOSPHERIC SUBSTORMS; IMAGE SPACECRAFT; BOUNDARY; LATITUDE; STORMS; BELT</t>
  </si>
  <si>
    <t>We examine the variation in the radius of the auroral oval, as measured from auroral images gathered by the Imager for Magnetopause-to-Aurora Global Exploration (IMAGE) spacecraft, in response to solar wind inputs measured by the Advanced Composition Explorer (ACE) spacecraft for the two year interval June 2000 to May 2002. Our main finding is that the oval radius increases when the ring current, as measured by the Sym-H index, is intensified during geomagnetic storms. We discuss our findings within the context of the expanding/contracting polar cap paradigm, in terms of a modification of substorm onset conditions by the magnetic perturbation associated with the ring current.</t>
  </si>
  <si>
    <t>[Milan, S. E.; Hutchinson, J.; Boakes, P. D.] Univ Leicester, Dept Phys &amp; Astron, Leicester LE1 7RH, Leics, England; [Boakes, P. D.] British Antarctic Survey, Nat Environm Res Council, Cambridge CB3 0ET, England; [Hubert, B.] Univ Liege, Lab Planetary &amp; Atmospher Phys, B-4000 Liege, Belgium</t>
  </si>
  <si>
    <t>Milan, Steve/0000-0001-5050-9604</t>
  </si>
  <si>
    <t>PPARC/STFC CASE [PPA/S/C/2006/04488]; Science and Technology Facilities Council [PP/E000983/1] Funding Source: researchfish; STFC [PP/E000983/1] Funding Source: UKRI</t>
  </si>
  <si>
    <t>PPARC/STFC CASE(UK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</si>
  <si>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PDB was supported by a PPARC/STFC CASE award, grant no. PPA/S/C/2006/04488. The IMAGE FUV data were supplied by the NASA Space Science Data Centre (NSSDC), and we are grateful to the PI of FUV, S. B. Mende of the University of California at Berkeley, for its use. The ACE data used in this study were accessed through CDAWeb. The authors would like to thank N. F. Ness at the Bartol Research Institute and D. J. McComas of the Southwest Research Institute, for use of the MAG and SWEPAM data, respectively.; Topical Editor I. A. Daglis thanks C. Meng and another anonymous referee for their help in evaluating this paper.</t>
  </si>
  <si>
    <t>10.5194/angeo-27-2913-2009</t>
  </si>
  <si>
    <t>WOS:000268622700027</t>
  </si>
  <si>
    <t>Xu, X; Manson, AH; Meek, CE; Chshyolkova, T; Drummond, JR; Hall, CM; Riggin, DM; Hibbins, RE</t>
  </si>
  <si>
    <t>Xu, X.; Manson, A. H.; Meek, C. E.; Chshyolkova, T.; Drummond, J. R.; Hall, C. M.; Riggin, D. M.; Hibbins, R. E.</t>
  </si>
  <si>
    <t>Vertical and interhemispheric links in the stratosphere-mesosphere as revealed by the day-to-day variability of Aura-MLS temperature data</t>
  </si>
  <si>
    <t>Meteorology and atmospheric dynamics; Middle atmosphere dynamics; Polar meteorology; Waves and tides</t>
  </si>
  <si>
    <t>MIDDLE ATMOSPHERE; GRAVITY-WAVE; LOWER THERMOSPHERE; MESOPAUSE REGION; WARMING EVENT; POLAR VORTEX; WIND-FIELD; WINTER; TIDES; CIRCULATION</t>
  </si>
  <si>
    <t>The coupling processes in the middle atmosphere have been a subject of intense research activity because of their effects on atmospheric circulation, structure, variability, and the distribution of chemical constituents. In this study, the day-to-day variability of Aura-MLS (Microwave Limb Sounder) temperature data are used to reveal the vertical and interhemispheric coupling processes in the stratosphere-mesosphere during four Northern Hemisphere winters (2004/2005-2007/2008). The UKMO (United Kingdom Meteorological Office) assimilated data and mesospheric winds from MF (medium frequency) radars are also applied to help highlight the coupling processes. In this study, a clear vertical link can be seen between the stratosphere and mesosphere during winter months. The coolings and reversals of northward meridional winds in the polar winter mesosphere are often observed in relation to warming events (Sudden Stratospheric Warming, SSW for short) and the associated changes in zonal winds in the polar winter stratosphere. An upper-mesospheric cooling usually precedes the beginning of the warming in the stratosphere by 1-2 days. Inter-hemispheric coupling has been identified initially by a correlation analysis using the year-to-year monthly zonal mean temperature. Then the correlation analyses are performed based upon the daily zonal mean temperature. From the original time sequences, significant positive (negative) correlations are generally found between zonal mean temperatures at the Antarctic summer mesopause and in the Arctic winter stratosphere (mesosphere) during northern mid-winters, although these correlations are dominated by the low frequency variability (i.e. the seasonal trend). Using the short-term oscillations (less than 15 days), the statistical result, by looking for the largest magnitude of correlation within a range of time-lags (0 to 10 days; positive lags mean that the Antarctic summer mesopause is lagging), indicates that the temporal variability of zonal mean temperature at the Antarctic summer mesopause is also positively (negatively) correlated with the polar winter stratosphere (mesosphere) during three (2004/2005, 2005/2006, and 2007/2008) out of the four winters. The highest value of the correlation coefficient is over 0.7 in the winter-stratosphere for the three winters. The remaining winter (2006/2007) has more complex correlations structures; correspondingly the polar vortex was distinguished this winter. The time-lags obtained for 2004/2005 and 2006/2007 are distinct from 2005/2006 and 2007/2008 where a 6-day lag dominates for the coupling between the winter stratosphere and the summer mesopause. The correlations are also provided using temperatures in northern longitudinal sectors in a comparison with the Antarctic-mesopause zonal mean temperature. For northern mid-high latitudes (similar to 50-70 degrees N), temperatures in Scandinavia-Eastern Europe and in the Pacific-Western Canada longitudinal sectors often have opposite signs of correlations with zonal mean temperatures near the Antarctic summer mesopause during northern mid-winters. The statistical results are shown to be associated with the Northern Hemisphere's polar vortex characteristics.</t>
  </si>
  <si>
    <t>[Xu, X.; Manson, A. H.; Meek, C. E.; Chshyolkova, T.] Univ Saskatchewan, Inst Space &amp; Atmospher Studies, Saskatoon, SK S7N 0W0, Canada; [Drummond, J. R.] Dalhousie Univ, Dept Phys &amp; Atmospher Sci, Halifax, NS, Canada; [Hall, C. M.] Univ Tromso, Tromso Geophys Observ, Tromso, Norway; [Riggin, D. M.] Colorado Res Associates, Boulder, CO USA; [Hibbins, R. E.] British Antarctic Survey, Cambridge CB3 0ET, England</t>
  </si>
  <si>
    <t>University of Saskatchewan; Dalhousie University; UiT The Arctic University of Tromso; UK Research &amp; Innovation (UKRI); Natural Environment Research Council (NERC); NERC British Antarctic Survey</t>
  </si>
  <si>
    <t>Xu, X (corresponding author), Univ Saskatchewan, Inst Space &amp; Atmospher Studies, Saskatoon, SK S7N 0W0, Canada.</t>
  </si>
  <si>
    <t>xix303@mail.usask.ca</t>
  </si>
  <si>
    <t>Hall, Colin Michael/C-1439-2010; Drummond, James R/O-7467-2014; Xu, Xiaoyong/AAB-5498-2019; Xu, Xiaoyong/HOA-7068-2023</t>
  </si>
  <si>
    <t>Hall, Colin Michael/0000-0002-7734-4587; Xu, Xiaoyong/0000-0002-5040-6442; Xu, Xiaoyong/0000-0002-5040-6442; Hibbins, Robert/0000-0002-6867-2255</t>
  </si>
  <si>
    <t>CANDAC-PEARL; IPY; Canadian Natural Sciences and Engineering Research Council; University of Saskatchewan through support to ISAS; National Science Foundation [OPP-0438777]; UK Natural Environment Research Council; NERC [bas0100023] Funding Source: UKRI; Natural Environment Research Council [bas0100023] Funding Source: researchfish</t>
  </si>
  <si>
    <t>CANDAC-PEARL; IPY; Canadian Natural Sciences and Engineering Research Council(Natural Sciences and Engineering Research Council of Canada (NSERC)); University of Saskatchewan through support to ISAS; National Science Foundation(National Science Foundation (NSF));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</si>
  <si>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Funding for this work was from CANDAC-PEARL, in part from its IPY funding; the Canadian Natural Sciences and Engineering Research Council; and the University of Saskatchewan through support to ISAS. Thanks are given to the Aura team for their MLS dataset as well as to the UK Meteorological Office for the stratospheric assimilated data, and to the British Atmosphere Data centre for providing access to these data. The Rothera MF radar was jointly supported by National Science Foundation grant OPP-0438777 and by the UK Natural Environment Research Council.</t>
  </si>
  <si>
    <t>10.5194/angeo-27-3387-2009</t>
  </si>
  <si>
    <t>500RH</t>
  </si>
  <si>
    <t>WOS:000270321600004</t>
  </si>
  <si>
    <t>Xu, X; Manson, AH; Meek, CE; Chshyolkova, T; Drummond, JR; Hall, CM; Jacobi, C; Riggin, D; Hibbins, RE; Tsutsumi, M; Hocking, WK; Ward, WE</t>
  </si>
  <si>
    <t>Xu, X.; Manson, A. H.; Meek, C. E.; Chshyolkova, T.; Drummond, J. R.; Hall, C. M.; Jacobi, Ch; Riggin, D.; Hibbins, R. E.; Tsutsumi, M.; Hocking, W. K.; Ward, W. E.</t>
  </si>
  <si>
    <t>Relationship between variability of the semidiurnal tide in the Northern Hemisphere mesosphere and quasi-stationary planetary waves throughout the global middle atmosphere</t>
  </si>
  <si>
    <t>LOWER THERMOSPHERE; 12-HOUR OSCILLATION; WIND MEASUREMENTS; METEOR RADAR; MLT REGION; SOUTH-POLE; MEAN WINDS; CLIMATOLOGY; ASSIMILATION; METO</t>
  </si>
  <si>
    <t>To investigate possible couplings between planetary waves and the semidiurnal tide (SDT), this work examines the statistical correlations between the SDT amplitudes observed in the Northern Hemisphere (NH) mesosphere and stationary planetary wave (SPW) with wavenumber S=1 (SPW1) amplitudes throughout the global stratosphere and mesosphere. The latter are derived from the Aura-MLS temperature measurements. During NH summer-fall (July-October), the mesospheric SDT amplitudes observed at Svalbard (78 degrees N) and Eureka (80 degrees N) usually do not show persistent correlations with the SPW1 amplitudes in the opposite hemisphere. Although the SDT amplitudes observed at lower latitudes (similar to 50-70 degrees N), especially at Saskatoon (52 degrees N), are often shown to be highly and positively correlated with the SPW1 amplitudes in high southern latitudes, these correlations cannot be sufficiently explained as evidence for a direct physical link between the Southern Hemisphere (SH) winter-early spring SPW and NH summer-early fall mesospheric SDT. This is because the migrating tide's contribution is usually dominant in the mid-high latitude (similar to 50-70 degrees N) NH mesosphere during the local late summer-early fall (July-September). The numerical correlation is dominated by similar low-frequency variability or trends between the amplitudes of the NH SDT and SH SPW1 during the respective equinoctial transitions. In contradistinction, during NH winter (November-February), the mesospheric SDT amplitudes at northern mid-high latitudes (similar to 50-80 degrees N) are observed to be significantly and positively correlated with the SPW1 amplitudes in the same hemisphere in most cases. Because both the SPW and migrating SDT are large in the NH during the local winter, a non-linear interaction between SPW and migrating SDT probably occurs, thus providing a global non-migrating SDT. This is consistent with observations of SDT in Antarctica that are large in summer than in winter. It is suggested that climatological hemispheric asymmetry, e. g. the SH and NH winter characteristics are substantially different, lead to differences in the inter-hemispheric SPW-tide physical links.</t>
  </si>
  <si>
    <t>[Xu, X.; Manson, A. H.; Meek, C. E.; Chshyolkova, T.] Univ Saskatchewan, Inst Space &amp; Atmospher Studies, Saskatoon, SK S7N 0W0, Canada; [Drummond, J. R.] Dalhousie Univ, Dept Phys &amp; Atmospher Sci, Halifax, NS, Canada; [Hall, C. M.] Univ Tromso, Tromso Geophys Observ, Tromso, Norway; [Jacobi, Ch] Univ Leipzig, Inst Meteorol, Leipzig, Germany; [Riggin, D.] Colorado Res Associates, Boulder, CO USA; [Hibbins, R. E.] British Antarctic Survey, Cambridge CB3 0ET, England; [Tsutsumi, M.] Natl Inst Polar Res, Tokyo, Japan; [Hocking, W. K.] Univ Western Ontario, Dept Phys &amp; Astron, London, ON, Canada; [Ward, W. E.] Univ New Brunswick, Dept Phys &amp; Astron, Fredericton, NB, Canada</t>
  </si>
  <si>
    <t>University of Saskatchewan; Dalhousie University; UiT The Arctic University of Tromso; Leipzig University; UK Research &amp; Innovation (UKRI); Natural Environment Research Council (NERC); NERC British Antarctic Survey; Research Organization of Information &amp; Systems (ROIS); National Institute of Polar Research (NIPR) - Japan; Western University (University of Western Ontario); University of New Brunswick</t>
  </si>
  <si>
    <t>Hall, Colin Michael/C-1439-2010; Xu, Xiaoyong/AAB-5498-2019; Ward, William/F-6263-2012; Drummond, James R/O-7467-2014; Xu, Xiaoyong/HOA-7068-2023</t>
  </si>
  <si>
    <t>CANDAC-PEARL; Canadian Natural Sciences and Engineering Research Council; University of Saskatchewan; National Science Foundation [OPP-0438777]; UK Natural Environment Research Council; CFCAS; CSA; NERC [bas0100023] Funding Source: UKRI; Natural Environment Research Council [bas0100023] Funding Source: researchfish</t>
  </si>
  <si>
    <t>CANDAC-PEARL; Canadian Natural Sciences and Engineering Research Council(Natural Sciences and Engineering Research Council of Canada (NSERC)); University of Saskatchewan; National Science Foundation(National Science Foundation (NSF)); UK Natural Environment Research Council(UK Research &amp; Innovation (UKRI)Natural Environment Research Council (NERC)); CFCAS; CSA; NERC(UK Research &amp; Innovation (UKRI)Natural Environment Research Council (NERC)); Natural Environment Research Council(UK Research &amp; Innovation (UKRI)Natural Environment Research Council (NERC))</t>
  </si>
  <si>
    <t>Funding for this work was from CANDAC-PEARL, in part from its IPY funding; the Canadian Natural Sciences and Engineering Research Council; and the University of Saskatchewan through support to ISAS. Thanks are given to the Aura team for their MLS dataset. T. Aso jointly supports the Svalbard radar data. The Rothera MF radar was jointly supported by National Science Foundation grant OPP-0438777 and by the UK Natural Environment Research Council. The authors are also grateful to the CMAM-DAS team for providing the CMAM-DAS data. The CMAM-DAS is funded by CFCAS and the CSA through the CSPARC project.</t>
  </si>
  <si>
    <t>10.5194/angeo-27-4239-2009</t>
  </si>
  <si>
    <t>525QT</t>
  </si>
  <si>
    <t>WOS:000272232100013</t>
  </si>
  <si>
    <t>MacGregor, JA; Matsuoka, K; Koutnik, MR; Waddington, ED; Studinger, M; Winebrenner, DP</t>
  </si>
  <si>
    <t>MacGregor, Joseph A.; Matsuoka, Kenichi; Koutnik, Michelle R.; Waddington, Edwin D.; Studinger, Michael; Winebrenner, Dale P.</t>
  </si>
  <si>
    <t>Millennially averaged accumulation rates for the Vostok Subglacial Lake region inferred from deep internal layers</t>
  </si>
  <si>
    <t>ANNALS OF GLACIOLOGY</t>
  </si>
  <si>
    <t>ANTARCTIC ICE-SHEET; EAST ANTARCTICA; FLOW; RADAR</t>
  </si>
  <si>
    <t>Accumulation rates and their spatio-temporal variability are important boundary conditions for ice-flow models. The depths of radar-detected internal layers can be used to infer the spatial variability of accumulation rates. Here we infer accumulation rates from three radar layers (26, 35 and 41 ka old) in the Vostok Subglacial Lake region using two methods: (1) the local-layer approximation (LA) and (2) a combination of steady-state flowband modeling and formal inverse methods. The LLA assumes that the strain-rate history of a particle traveling through the ice sheet can be approximated by the vertical strain-rate profile at the current position of the particle, which we further assume is uniform. The flowband model, however, can account for upstream strain-rate gradients. We use the LLA to map accumulation rates over a 150 km x 350 km area, and we apply the flowband model along four flowbands. The LLA accumulation-rate map shows higher values in the northwestern corner of our study area and lower values near the downstream shoreline of the lake. These features are also present but less distinct in the flowband accumulation-rate profiles. The LLA-inferred accumulation-rate patterns over the three time periods are all similar, suggesting that the regional pattern did not change significantly between the start of the Holocene and the last similar to 20 ka of the last Glacial Period. However, the accumulation-rate profiles inferred from the flowband model suggest changes during that period of up to 1 cm a(-1) or similar to 50% of the inferred values.</t>
  </si>
  <si>
    <t>[MacGregor, Joseph A.; Matsuoka, Kenichi; Koutnik, Michelle R.; Waddington, Edwin D.; Winebrenner, Dale P.] Univ Washington, Dept Earth &amp; Space Sci, Seattle, WA 98195 USA; [Studinger, Michael] Columbia Univ, Lamont Doherty Earth Observ, Palisades, NY 10964 USA; [Winebrenner, Dale P.] Univ Washington, Appl Phys Lab, Polar Sci Ctr, Seattle, WA 98105 USA</t>
  </si>
  <si>
    <t>University of Washington; University of Washington Seattle; Columbia University; University of Washington; University of Washington Seattle</t>
  </si>
  <si>
    <t>MacGregor, JA (corresponding author), Penn State Univ, Dept Geosci, University Pk, PA 16802 USA.</t>
  </si>
  <si>
    <t>joe.macgregor@gmail.com</t>
  </si>
  <si>
    <t>MacGregor, Joseph A/A-6746-2010; Matsuoka, Kenichi/B-7298-2017</t>
  </si>
  <si>
    <t>Matsuoka, Kenichi/0000-0002-3587-3405; Studinger, Michael/0000-0003-1265-4741</t>
  </si>
  <si>
    <t>US National Science Foundation at the University of Washington [ANT 0538674, 0440666]; Lamont-Doherty Earth Observatory [ANT 0537752]; Applied Physics Laboratory at the University of Washington; Office of Polar Programs (OPP); Directorate For Geosciences [0440666] Funding Source: National Science Foundation</t>
  </si>
  <si>
    <t>US National Science Foundation at the University of Washington; Lamont-Doherty Earth Observatory; Applied Physics Laboratory at the University of Washington; Office of Polar Programs (OPP); Directorate For Geosciences(National Science Foundation (NSF)NSF - Directorate for Geosciences (GEO))</t>
  </si>
  <si>
    <t>The US National Science Foundation supported this work at the University of Washington (ANT 0538674 and 0440666) and the Lamont-Doherty Earth Observatory (ANT 0537752). The Applied Physics Laboratory at the University of Washington provided a research fellowship for J.A.M. We thank SOAR at the University of Texas for collection of the radar data, V.Ya. Lipenkov for providing the Vostok temperature data, A.A. Ekaykin for providing accumulation-rate data, F. Pattyn for discussions and motivation for this study, and T.A. Neumann for developing temperature-dependent components of the flowband model. We thank the scientific editor F. Parrenin and two anonymous referees for many suggestions that improved the clarity of the manuscript.</t>
  </si>
  <si>
    <t>INT GLACIOL SOC</t>
  </si>
  <si>
    <t>LENSFIELD RD, CAMBRIDGE CB2 1ER, ENGLAND</t>
  </si>
  <si>
    <t>0260-3055</t>
  </si>
  <si>
    <t>ANN GLACIOL</t>
  </si>
  <si>
    <t>Ann. Glaciol.</t>
  </si>
  <si>
    <t>10.3189/172756409789097441</t>
  </si>
  <si>
    <t>628HL</t>
  </si>
  <si>
    <t>WOS:000280106200005</t>
  </si>
  <si>
    <t>Welch, BC; Jacobel, RW; Arcone, SA</t>
  </si>
  <si>
    <t>Welch, Brian C.; Jacobel, Robert W.; Arcone, Steven A.</t>
  </si>
  <si>
    <t>First results from radar profiles collected along the US-ITASE traverse from Taylor Dome to South Pole (2006-2008)</t>
  </si>
  <si>
    <t>EAST ANTARCTIC PLATEAU; WEST ANTARCTICA; ACCUMULATION; FIRN</t>
  </si>
  <si>
    <t>The 2006/07 and 2007/08 US-ITASE traverses from Taylor Dome to South Pole in East Antarctica provided opportunities to survey the subglacial and englacial environments using 3 MHz and 200 MHz radar. We present first results of these new ground-based radar data. A prominent basal deformation layer indicates different ice-flow regimes for the northern and southern halves of the Byrd Glacier drainage. Buried dune stratigraphy that appears to be related to the megadunes towards the west occurs at depths of up to 1500 m. At least two new water-filled subglacial lakes were discovered, while two recently drained lakes identified from repeat ICESat surface elevation surveys appear to be devoid of water.</t>
  </si>
  <si>
    <t>[Welch, Brian C.; Jacobel, Robert W.] St Olaf Coll, Dept Phys, Northfield, MN 55057 USA; [Arcone, Steven A.] USA, Cold Reg Res &amp; Engn Lab, Hanover, NH 03755 USA</t>
  </si>
  <si>
    <t>Saint Olaf College; United States Department of Defense; United States Army; U.S. Army Corps of Engineers; U.S. Army Engineer Research &amp; Development Center (ERDC); Cold Regions Research &amp; Engineering Laboratory (CRREL)</t>
  </si>
  <si>
    <t>Welch, BC (corresponding author), St Olaf Coll, Dept Phys, 1500 St Olaf Ave, Northfield, MN 55057 USA.</t>
  </si>
  <si>
    <t>jacobel@stolaf.edu</t>
  </si>
  <si>
    <t>US National Science Foundation [OPP-0440304, OPP-0440533]</t>
  </si>
  <si>
    <t>We appreciate the comments from O. Eisen and two anonymous reviewers. We also thank the US-ITASE team members for making the data acquisition possible, and Raytheon Polar Services Corporation, the US Air National Guard and Kenn Borek Air for field logistics. This work was funded by US National Science Foundation grants OPP-0440304 and OPP-0440533.</t>
  </si>
  <si>
    <t>10.3189/172756409789097496</t>
  </si>
  <si>
    <t>WOS:000280106200006</t>
  </si>
  <si>
    <t>King, EC</t>
  </si>
  <si>
    <t>King, E. C.</t>
  </si>
  <si>
    <t>Flow dynamics of the Rutford Ice Stream ice-drainage basin, West Antarctica, from radar stratigraphy</t>
  </si>
  <si>
    <t>PINE ISLAND GLACIER; ACCUMULATION-RATE; EAST ANTARCTICA; INTERFEROMETRY; TRIBUTARIES; EROSION; BENEATH; SYSTEM; SHEETS; SHELF</t>
  </si>
  <si>
    <t>Rutford Ice Stream, West Antarctica, drains a catchment of &gt;45 000 km(2) into the Ronne Ice Shelf through a 26 km wide, 2.4 km deep subglacial trough adjacent to the Ellsworth Mountains. Forty-two per cent of its catchment boundary is common with Pine Island Glacier, where rapid change to ice dynamics is currently underway. These changes may eventually affect adjacent catchments such as Rutford. Radar sounding data were acquired over the Rutford ice-drainage basin that show the internal structure. In particular, distinctive reflector groups were identified that mark the boundaries between four different flow elements. The flow-margin reflector groups include curvilinear events that cross-cut isochrones and are therefore likely to be post-depositional. These reflections may arise from crystal orientation fabrics generated by localized strain in a flow margin. One of the sectors of the ice-drainage basin supplies the largest share (38%) of the ice volume flux through the main trunk of Rutford Ice Stream. This sector may be preferentially affected by continuing surface lowering in the Pine Island Glacier catchment.</t>
  </si>
  <si>
    <t>British Antarctic Survey, NERC, Cambridge CB3 0ET, England</t>
  </si>
  <si>
    <t>King, EC (corresponding author), British Antarctic Survey, NERC, Madingley Rd, Cambridge CB3 0ET, England.</t>
  </si>
  <si>
    <t>ecki@bas.ac.uk</t>
  </si>
  <si>
    <t>NERC [bas0100027] Funding Source: UKRI; Natural Environment Research Council [bas0100027] Funding Source: researchfish</t>
  </si>
  <si>
    <t>EDINBURGH BLDG, SHAFTESBURY RD, CB2 8RU CAMBRIDGE, ENGLAND</t>
  </si>
  <si>
    <t>1727-5644</t>
  </si>
  <si>
    <t>10.3189/172756409789097586</t>
  </si>
  <si>
    <t>WOS:000280106200007</t>
  </si>
  <si>
    <t>Genthon, C; Krinner, G; Castebrunet, H</t>
  </si>
  <si>
    <t>Genthon, C.; Krinner, G.; Castebrunet, H.</t>
  </si>
  <si>
    <t>Antarctic precipitation and climate-change predictions: horizontal resolution and margin vs plateau issues</t>
  </si>
  <si>
    <t>SURFACE MASS-BALANCE</t>
  </si>
  <si>
    <t>All climate models participating in the Fourth Assessment Report of the Intergovernmental Panel on Climate Change, as made available by the Program for Climate Model Diagnosis and Intercomparison (PCMDI) as the Coupled Model Intercomparison Project 3 (CMIP3) archive, predict a significant surface warming of Antarctica by the end of the 21st century under a moderate (SRESA1B) greenhouse-gas scenario. All models but one predict a concurrent precipitation increase but with a large scatter of results. The models with finer horizontal resolution tend to predict a larger precipitation increase. Because modeled Antarctic surface mass balance is known to be sensitive to horizontal resolution, extrapolating predictions from the different models with respect to model resolution may provide simple yet better multi-model estimates of Antarctic precipitation change than mere averaging or even more complex approaches. Using such extrapolation, a conservative estimate of the predicted precipitation increase at the end of the 21st century is +30 kg m(-2) a(-1) on the grounded ice sheet, corresponding to a &gt;1 mm a(-1) sea-level rise. About three-quarters of this rise originates from the marginal regions of the Antarctic ice sheet with surface elevation below 2250 m. This is where field programs are most urgently needed to better understand and monitor accumulation at the surface of Antarctica, and to improve and verify prediction models.</t>
  </si>
  <si>
    <t>[Genthon, C.; Krinner, G.; Castebrunet, H.] Univ Grenoble 1, CNRS, Lab Glaciol &amp; Geophys Environm, F-38402 St Martin Dheres, France</t>
  </si>
  <si>
    <t>Centre National de la Recherche Scientifique (CNRS); Communaute Universite Grenoble Alpes; Universite Grenoble Alpes (UGA)</t>
  </si>
  <si>
    <t>Genthon, C (corresponding author), Univ Grenoble 1, CNRS, Lab Glaciol &amp; Geophys Environm, 54 Rue Moliere,BP 96, F-38402 St Martin Dheres, France.</t>
  </si>
  <si>
    <t>genthon@lgge.obs.ujf-grenoble.fr</t>
  </si>
  <si>
    <t>Krinner, Gerhard/AAB-8837-2022; Krinner, Gerhard/A-6450-2011</t>
  </si>
  <si>
    <t>Krinner, Gerhard/0000-0002-2959-5920;</t>
  </si>
  <si>
    <t>Office of Science, US Department of Energy; Institut National des Sciences de l'Univers (INSU, France)</t>
  </si>
  <si>
    <t>Office of Science, US Department of Energy(United States Department of Energy (DOE)); Institut National des Sciences de l'Univers (INSU, France)</t>
  </si>
  <si>
    <t>We acknowledge the modeling groups for making their simulations available for analysis, and PCMDI for collecting and archiving the CMIP3 model output. The WCRP CMIP3 multi-model dataset is supported by the Office of Science, US Department of Energy. This research was supported by Institut National des Sciences de l'Univers (INSU, France) program LEFE-CHARMANT. The LMDZ4 model was run on the computer facilities of MIRAGE at Universite Joseph Fourier in Grenoble, France. Comments and suggestions by T. Neumann, K. Fujita and two anonymous reviewers are acknowledged.</t>
  </si>
  <si>
    <t>10.3189/172756409787769681</t>
  </si>
  <si>
    <t>626TN</t>
  </si>
  <si>
    <t>WOS:000279990100009</t>
  </si>
  <si>
    <t>Woodward, J; King, EC</t>
  </si>
  <si>
    <t>Woodward, John; King, Edward C.</t>
  </si>
  <si>
    <t>Radar surveys of the Rutford Ice Stream onset zone, West Antarctica: indications of flow (in)stability?</t>
  </si>
  <si>
    <t>ACCUMULATION-RATE; MODEL; BENEATH; SHEETS; SNOW</t>
  </si>
  <si>
    <t>We present 1 and 100 MHz ground-based radar data from the onset region of Rutford Ice Stream, West Antarctica, which indicate the form and internal structure of isochrones. In the flow-parallel lines, modelled isochrone patterns reproduce the gross pattern of the imaged near-surface layers, assuming steady-state flow velocity from GPS records and the current accumulation rate for the last 200 years. We interpret this as indicating overall stability in flow in the onset region of Rutford Ice Stream throughout this period. However, in the cross-flow lines some local variability in accumulation is seen in areas close to the ice-stream margin where a number of tributaries converge towards the ice-stream onset zone. Episodic surface lowering events are observed followed by rapid fill episodes. The fill events indicate deposition towards the northwest, most likely generated by storm winds, which blow at an oblique angle to ice flow. More problematic is explaining the generation of episodic surface lowering in this area. We speculate this may be due 10: changing ice-flow direction in the complex tributary area of the onset zone; a change in basal sediments or sedimentary landforms; a change in basal melt rates or water supply; or episodic lake drainage events in the fjord systems of the Ellsworth Subglacial Highlands. The study highlights the difficulty of assessing flow stability in the complex onset regions of West Antarctic ice streams.</t>
  </si>
  <si>
    <t>[Woodward, John] Northumbria Univ, Sch Appl Sci, Newcastle Upon Tyne NE1 8ST, Tyne &amp; Wear, England; [King, Edward C.] British Antarctic Survey, NERC, Div Phys Sci, Cambridge CB3 0ET, England</t>
  </si>
  <si>
    <t>Northumbria University; UK Research &amp; Innovation (UKRI); Natural Environment Research Council (NERC); NERC British Antarctic Survey</t>
  </si>
  <si>
    <t>Woodward, J (corresponding author), Northumbria Univ, Sch Appl Sci, Ellison Pl, Newcastle Upon Tyne NE1 8ST, Tyne &amp; Wear, England.</t>
  </si>
  <si>
    <t>john.woodward@northumbria.ac.uk</t>
  </si>
  <si>
    <t>Woodward, John/I-1046-2013</t>
  </si>
  <si>
    <t>Woodward, John/0000-0002-4980-4080</t>
  </si>
  <si>
    <t>Natural Environment Research Council [bas0100027] Funding Source: researchfish; NERC [bas0100027] Funding Source: UKRI</t>
  </si>
  <si>
    <t>10.3189/172756409789097469</t>
  </si>
  <si>
    <t>WOS:000280106200009</t>
  </si>
  <si>
    <t>Genthon, C; Magand, O; Krinner, G; Fily, M</t>
  </si>
  <si>
    <t>Genthon, C.; Magand, O.; Krinner, G.; Fily, M.</t>
  </si>
  <si>
    <t>Do climate models underestimate snow accumulation on the Antarctic plateau? A re-evaluation of/from in situ observations in East Wilkes and Victoria Lands</t>
  </si>
  <si>
    <t>SURFACE MASS-BALANCE; TEMPORAL VARIABILITY; PRECIPITATION; SUBLIMATION</t>
  </si>
  <si>
    <t>It has been suggested that meteorological and climate models underestimate snow accumulation on the Antarctic plateau, because accumulation (or surface mass balance (SMB)) is dominated by clear-sky precipitation while this process is not properly taken into account in the models. Here, we show that differences between model and field SMB data are much reduced when the in situ SMB reports used to evaluate the models are filtered through quality-control criteria and less reliable reports are subsequently left out. We thus argue that, although not necessarily unsupported, model biases and their interpretations in terms of clear-sky vs synoptic precipitation on the Antarctic plateau may have been overstated in the past. To avoid such misleading issues, it is important that in situ SMB reports of insufficient or unassessed reliability are discarded, even at the cost of a strong reduction in spatial sampling and coverage.</t>
  </si>
  <si>
    <t>[Genthon, C.; Magand, O.; Krinner, G.; Fily, M.] UJF, CNRS, Lab Glaciol &amp; Geophys Environm, F-38402 St Martin Dheres, France</t>
  </si>
  <si>
    <t>Communaute Universite Grenoble Alpes; Universite Grenoble Alpes (UGA); Centre National de la Recherche Scientifique (CNRS)</t>
  </si>
  <si>
    <t>Genthon, C (corresponding author), UJF, CNRS, Lab Glaciol &amp; Geophys Environm, 54 Rue Moliere,BP 96, F-38402 St Martin Dheres, France.</t>
  </si>
  <si>
    <t>Krinner, Gerhard/A-6450-2011; Krinner, Gerhard/AAB-8837-2022</t>
  </si>
  <si>
    <t>Krinner, Gerhard/0000-0002-2959-5920</t>
  </si>
  <si>
    <t>Institut National des Sciences de l'Univers (INSU, France)</t>
  </si>
  <si>
    <t>This research is supported by the Institut National des Sciences de l'Univers (INSU, France) program LEFE-CHARMANT. Comments and suggestions by D. Bromwich, S. Takahashi and K. Fujita helped to improve this paper.</t>
  </si>
  <si>
    <t>10.3189/172756409787769735</t>
  </si>
  <si>
    <t>WOS:000279990100010</t>
  </si>
  <si>
    <t>Durand, G; Gagliardini, O; Zwinger, T; Le Meur, E; Hindmarsh, RCA</t>
  </si>
  <si>
    <t>Durand, Gael; Gagliardini, Olivier; Zwinger, Thomas; Le Meur, Emmanuel; Hindmarsh, Richard C. A.</t>
  </si>
  <si>
    <t>Full Stokes modeling of marine ice sheets: influence of the grid size</t>
  </si>
  <si>
    <t>Using the finite-element code Elmer, we show that the full Stokes modeling of the ice-sheet/ice-shelf transition we propose can give consistent predictions of grounding-line migration. Like other marine ice-sheet models our approach is highly sensitive to the chosen mesh resolution. However, with a grid size down to &lt;5 km in the vicinity of the grounding line, predictions start to be robust because: (1) whatever the grid size (&lt;5 km) the steady-state grounding-line position is sensibly the same (6 km standard deviation), and (2) with a grid-size refinement in the vicinity of the grounding line (200m), the steady-state solution is independent of the applied perturbation in fluidity, provided this perturbation remains monotonic.</t>
  </si>
  <si>
    <t>[Durand, Gael; Gagliardini, Olivier; Le Meur, Emmanuel] Univ Grenoble 1, CNRS, Lab Glaciol &amp; Geophys Environm, F-38402 St Martin Dheres, France; [Zwinger, Thomas] CSC Sci Comp Ltd, FIN-02101 Espoo, Finland; [Hindmarsh, Richard C. A.] British Antarctic Survey, NERC, Cambridge CB3 0ET, England</t>
  </si>
  <si>
    <t>Communaute Universite Grenoble Alpes; Universite Grenoble Alpes (UGA); Centre National de la Recherche Scientifique (CNRS); Finnish IT center for science; UK Research &amp; Innovation (UKRI); Natural Environment Research Council (NERC); NERC British Antarctic Survey</t>
  </si>
  <si>
    <t>Durand, G (corresponding author), Univ Grenoble 1, CNRS, Lab Glaciol &amp; Geophys Environm, 54 Rue Moliere,BP 96, F-38402 St Martin Dheres, France.</t>
  </si>
  <si>
    <t>durand@lgge.obs.ujf-grenoble.fr</t>
  </si>
  <si>
    <t>Gagliardini, Olivier/GQQ-1222-2022; Hindmarsh, Richard/N-1195-2019; Zwinger, Thomas/H-5163-2018</t>
  </si>
  <si>
    <t>Gagliardini, Olivier/0000-0001-9162-3518; Hindmarsh, Richard/0000-0003-1633-2416; Durand, Gael/0000-0001-8979-2355; Zwinger, Thomas/0000-0003-3360-4401</t>
  </si>
  <si>
    <t>Agence National de la Recherche, France [ANR-06-VULN-016-01]; Natural Environment Research Council [bas0100027] Funding Source: researchfish; NERC [NE/J008087/1, bas0100027] Funding Source: UKRI</t>
  </si>
  <si>
    <t>Agence National de la Recherche, France(Agence Nationale de la Recherche (ANR)); Natural Environment Research Council(UK Research &amp; Innovation (UKRI)Natural Environment Research Council (NERC)); NERC(UK Research &amp; Innovation (UKRI)Natural Environment Research Council (NERC))</t>
  </si>
  <si>
    <t>This research is a part of the DACOTA project (ANR-06-VULN-016-01) funded by the Agence National de la Recherche, France. Most of the computations presented in this paper were performed at the Service Commun de Calcul Intensif de l'Observatoire de Grenoble.</t>
  </si>
  <si>
    <t>10.3189/172756409789624283</t>
  </si>
  <si>
    <t>640FH</t>
  </si>
  <si>
    <t>WOS:000281033800015</t>
  </si>
  <si>
    <t>Huybrechts, P; Rybak, O; Steinhage, D; Pattyn, F</t>
  </si>
  <si>
    <t>Huybrechts, Philippe; Rybak, Oleg; Steinhage, Daniel; Pattyn, Frank</t>
  </si>
  <si>
    <t>Past and present accumulation rate reconstruction along the Dome Fuji-Kohnen radio-echo sounding profile, Dronning Maud Land, East Antarctica</t>
  </si>
  <si>
    <t>SURFACE MASS-BALANCE; ICE-SHEET; SPATIAL-DISTRIBUTION; VARIABILITY; CORE; FIRN; AMUNDSENISEN</t>
  </si>
  <si>
    <t>We used internal ice layers from a radio-echo sounding profile between the Kohnen and Dome Fuji deep drilling sites to infer the spatio-temporal pattern of accumulation rate in this sector of Dronning Maud Land, East Antarctica. Continuous internal reflection horizons can be traced to about half of the ice thickness and have a maximum age of approximately 72.7 ka BP. To infer palaeo-accumulation rates from the dated layers, we derived the thinning functions from a flow calculation with a high-resolution higher-order model of Dronning Maud Land embedded into a three-dimensional thermomechanical model of the Antarctic ice sheet. The method takes into account complex ice-flow dynamics and advection effects that cannot be dealt with using traditional local approaches. We selected seven time intervals over which we determine the average accumulation rate and average surface temperature at the place and time of origin of the layer particles. Our results show lower accumulation rates along eastern parts of the profile for the late Holocene (0-5 ka BP) than are shown by existing maps, which had no surface control points. During the last glacial period we find a substantially lower accumulation rate than predicted by the usual approach linking palaeo-accumulation rates to the condensation temperature above the surface inversion layer. These findings were used to fine-tune the relation between accumulation rate and temperature.</t>
  </si>
  <si>
    <t>[Huybrechts, Philippe; Rybak, Oleg] Vrije Univ Brussel, Dept Geog, B-1050 Brussels, Belgium; [Huybrechts, Philippe; Steinhage, Daniel] Alfred Wegener Inst Polar &amp; Marine Res, D-27515 Bremerhaven, Germany; [Rybak, Oleg] Russian Acad Sci, Ctr Sci Res, Soci 354000, Russia; [Pattyn, Frank] Univ Libre Bruxelles, Dept Sci Terre &amp; Environm, Lab Glaciol Polaire, B-1050 Brussels, Belgium</t>
  </si>
  <si>
    <t>Vrije Universiteit Brussel; Helmholtz Association; Alfred Wegener Institute, Helmholtz Centre for Polar &amp; Marine Research; Russian Academy of Sciences; Universite Libre de Bruxelles</t>
  </si>
  <si>
    <t>Huybrechts, P (corresponding author), Vrije Univ Brussel, Dept Geog, Pleinlaan 2, B-1050 Brussels, Belgium.</t>
  </si>
  <si>
    <t>Pattyn, Frank/AAA-9640-2019; Rybak, Oleg/B-7308-2014; Rybak, Oleg/AAQ-8467-2020; Huybrechts, Philippe/J-5278-2013</t>
  </si>
  <si>
    <t>Pattyn, Frank/0000-0003-4805-5636; Rybak, Oleg/0000-0003-3923-7163; Rybak, Oleg/0000-0002-7234-0544; Huybrechts, Philippe/0000-0003-1406-0525</t>
  </si>
  <si>
    <t>European Union; Institut Polaire FrancaisEmile Victor (IPEV); Programma Nazionale di Ricerche in Antartide (PNRA)</t>
  </si>
  <si>
    <t>European Union(European Union (EU)); Institut Polaire FrancaisEmile Victor (IPEV); Programma Nazionale di Ricerche in Antartide (PNRA)</t>
  </si>
  <si>
    <t>We greatly appreciate suggestions and detailed comments by E. Waddington, G. Leysinger Vieli, F. Parrenin and an anonymous reviewer, which led us to significantly improve the manuscript. Part of the work was supported by the Belgian Research Programmes on the Antarctic and on Science for a Sustainable Development (Belgian Federal Science Policy Office) under contracts EV/11/08A (AMICS) and SD/CA/02A (ASPI). This work is a contribution to the European Project for Ice Coring in Antarctica (EPICA), a joint European Science Foundation/European Commission scientific programme, funded by the European Union (EPICA-MIS) and by national contributions from Belgium, Denmark, France, Germany, Italy, the Netherlands, Norway, Sweden, Switzerland and the United Kingdom. The main logistic support was provided by Institut Polaire FrancaisEmile Victor (IPEV) and Programma Nazionale di Ricerche in Antartide (PNRA) (at Dome C) and the AWI (at Dronning Maud Land). This is EPICA publication No. 215.</t>
  </si>
  <si>
    <t>10.3189/172756409789097513</t>
  </si>
  <si>
    <t>WOS:000280106200017</t>
  </si>
  <si>
    <t>Arcone, SA; Kreutz, K</t>
  </si>
  <si>
    <t>Arcone, Steven A.; Kreutz, Karl</t>
  </si>
  <si>
    <t>GPR reflection profiles of Clark and Commonwealth Glaciers, Dry Valleys, Antarctica</t>
  </si>
  <si>
    <t>GROUND-PENETRATING RADAR; ICE CORE; FIRN; SNOW; STRATIGRAPHY; ACCUMULATION; CIRCULATION; SURFACES</t>
  </si>
  <si>
    <t>Englacial horizons deeper than 100 m are absent within 100 MHz ground-penetrating radar (GPR) surface profiles we recorded on Clark and Commonwealth Glaciers in the Antarctic Dry Valleys region. Both glaciers show continuous bottom horizons to 280 m, with bottom signal-to-noise ratios near 30 dB. Density horizons should fade below 50 m depth because impermeable ice occurred by 36 m. Folding within Commonwealth Glacier could preclude radar strata beneath about 80 m depth, but there is no significant folding within Clark Glacier. Strong sulfate concentrations and contrasts exist in our shallow ice core. However, it appears that high background concentration levels, and possible decreased concentration contrasts with depth placed their corresponding reflection coefficients at the limit of, or below, our system sensitivity by about 77 m depth. Further verification of this conclusion awaits processing of our deep-core chemistry profiles.</t>
  </si>
  <si>
    <t>[Arcone, Steven A.] USA, Cold Reg Res &amp; Engn Lab, Engineer Res &amp; Dev Ctr, Hanover, NH 03755 USA; [Kreutz, Karl] Univ Maine, Climate Change Inst, Orono, ME 04469 USA</t>
  </si>
  <si>
    <t>United States Department of Defense; United States Army; U.S. Army Corps of Engineers; U.S. Army Engineer Research &amp; Development Center (ERDC); Cold Regions Research &amp; Engineering Laboratory (CRREL); Geospatial Research Laboratory (GRL); University of Maine System; University of Maine Orono</t>
  </si>
  <si>
    <t>Arcone, SA (corresponding author), USA, Cold Reg Res &amp; Engn Lab, Engineer Res &amp; Dev Ctr, 72 Lyme Rd, Hanover, NH 03755 USA.</t>
  </si>
  <si>
    <t>Steven.A.Arcone@usace.army.mil</t>
  </si>
  <si>
    <t>US National Science Foundation [OPP-0228052]</t>
  </si>
  <si>
    <t>US National Science Foundation award OPP-0228052 supported this work. We thank our program manager J. Palais and our fellow project members E. Osterberg, B. Williamson and M. Waskiewicz for their support, and H. Anschutz and an anonymous reviewer for helpful comments.</t>
  </si>
  <si>
    <t>10.3189/172756409789097531</t>
  </si>
  <si>
    <t>WOS:000280106200018</t>
  </si>
  <si>
    <t>Hindmarsh, RCA; Vieli, GJMCL; Parrenin, F</t>
  </si>
  <si>
    <t>Hindmarsh, Richard C. A.; Vieli, Gwendolyn J. -M. C. Leysinger; Parrenin, Frederic</t>
  </si>
  <si>
    <t>A large-scale numerical model for computing isochrone geometry</t>
  </si>
  <si>
    <t>ACCUMULATION PATTERN; WEST ANTARCTICA; ICE; BALANCE; MASS</t>
  </si>
  <si>
    <t>A finite-difference model for the calculation of radar layer geometries in large ice masses is presented. Balance velocities are used as coefficients in the age equation and in the heat equation. Solution of the heat equation allows prediction of sliding areas and computation of basal melt rates. Vertical distributions of velocity are parameterized using shape functions. These can be set uniformly, or allowed to vary in space according to the distribution of sliding. The vertical coordinate can either be uniformly distributed within the thickness of the ice, or be uniformly distributed within the flux. The finite-difference scheme results in a large set of linear equations. These are solved using a nested factorization preconditioned conjugate gradient scheme. The convergence properties of some other iteration solution schemes are studied. The output is computations of age and temperature assuming steady state, in large ice masses at high resolution. Age calculations are used to generate isochrones which show the best fit to observed layers. Comparisons with analytical solutions are made, and the influence of the order of the finite-difference approximation and the choice of vertical coordinate on solution accuracy is considered.</t>
  </si>
  <si>
    <t>[Hindmarsh, Richard C. A.; Vieli, Gwendolyn J. -M. C. Leysinger] British Antarctic Survey, NERC, Div Phys Sci, Cambridge CB3 0ET, England; [Vieli, Gwendolyn J. -M. C. Leysinger] Univ Durham, Dept Geog, Sci Labs, Durham DH1 3LE, England; [Parrenin, Frederic] Univ Grenoble 1, Lab Glaciol &amp; Geophys Environm, CNRS, F-38402 St Martin Dheres, France</t>
  </si>
  <si>
    <t>UK Research &amp; Innovation (UKRI); Natural Environment Research Council (NERC); NERC British Antarctic Survey; Durham University; Centre National de la Recherche Scientifique (CNRS); Communaute Universite Grenoble Alpes; Universite Grenoble Alpes (UGA)</t>
  </si>
  <si>
    <t>Hindmarsh, RCA (corresponding author), British Antarctic Survey, NERC, Div Phys Sci, Madingley Rd, Cambridge CB3 0ET, England.</t>
  </si>
  <si>
    <t>Parrenin, Frédéric/H-3054-2014; Hindmarsh, Richard/N-1195-2019</t>
  </si>
  <si>
    <t>Parrenin, Frédéric/0000-0002-9489-3991; Hindmarsh, Richard/0000-0003-1633-2416; Leysinger Vieli, Gwendolyn/0000-0003-1817-0641</t>
  </si>
  <si>
    <t>10.3189/172756409789097450</t>
  </si>
  <si>
    <t>WOS:000280106200019</t>
  </si>
  <si>
    <t>Karlsson, NB; Rippin, DM; Vaughan, DG; Corr, HFJ</t>
  </si>
  <si>
    <t>Karlsson, Nanna B.; Rippin, David M.; Vaughan, David G.; Corr, Hugh F. J.</t>
  </si>
  <si>
    <t>The internal layering of Pine Island Glacier, West Antarctica, from airborne radar-sounding data</t>
  </si>
  <si>
    <t>MASS-BALANCE; DOME-C; ICE</t>
  </si>
  <si>
    <t>This paper presents an overview of internal layering across Pine Island Glacier, West Antarctica, as measured from airborne-radar data acquired during a survey conducted by the British Antarctic Survey and the University of Texas in the 2004/05 season. Internal layering is classified according to type (continuous/discontinuous/missing) and the results compared with InSAR velocities. Several areas exhibit disruption of internal layers that is most likely caused by large basal shear stresses. Signs of changes in flow were identified in a few inter-tributary areas, but overall the layering classification and distribution of layers indicate that only minor changes in ice-flow regime have taken place. This is supported by bed-topography data that show the main trunk of the glacier, as well as some of the tributaries, are topographically controlled and located in deep basins.</t>
  </si>
  <si>
    <t>[Karlsson, Nanna B.; Rippin, David M.] Univ Hull, Dept Geog, Kingston Upon Hull HU6 7RX, N Humberside, England; [Karlsson, Nanna B.; Vaughan, David G.; Corr, Hugh F. J.] British Antarctic Survey, NERC, Cambridge CB3 0ET, England</t>
  </si>
  <si>
    <t>University of Hull; UK Research &amp; Innovation (UKRI); Natural Environment Research Council (NERC); NERC British Antarctic Survey</t>
  </si>
  <si>
    <t>Karlsson, NB (corresponding author), Univ Hull, Dept Geog, Kingston Upon Hull HU6 7RX, N Humberside, England.</t>
  </si>
  <si>
    <t>n.b.karlsson@2006.hull.ac.uk</t>
  </si>
  <si>
    <t>Vaughan, David/C-8348-2011; Karlsson, Nanna Bjørnholt/G-4621-2018; Rippin, David Manish/AAW-5063-2021; Corr, Hugh/C-5398-2011; Karlsson, Nanna B./M-4519-2014</t>
  </si>
  <si>
    <t>Rippin, David Manish/0000-0001-7757-9880; Vaughan, David/0000-0002-9065-0570; Karlsson, Nanna B./0000-0003-0423-8705</t>
  </si>
  <si>
    <t>University of Hull</t>
  </si>
  <si>
    <t>N.B. Karlsson was supported by a University of Hull scholarship. The authors thank all those involved in the logistical support and collection of the BAS-UT radar data over Pine Island Glacier. Reviews by M. Peters, an anonymous reviewer and the associate editor, D. Blankenship, significantly improved the manuscript. N.B. Karlsson also thanks R. Bingham for help and valuable insights.</t>
  </si>
  <si>
    <t>10.3189/S0260305500250660</t>
  </si>
  <si>
    <t>WOS:000280106200020</t>
  </si>
  <si>
    <t>Prabhudessai, V; Ganguly, A; Mutnuri, S</t>
  </si>
  <si>
    <t>Prabhudessai, Vidhya; Ganguly, Anasuya; Mutnuri, Srikanth</t>
  </si>
  <si>
    <t>Effect of caffeine and saponin on anaerobic digestion of food waste</t>
  </si>
  <si>
    <t>ANNALS OF MICROBIOLOGY</t>
  </si>
  <si>
    <t>anaerobic digestion; biogas; food waste; caffeine; saponin</t>
  </si>
  <si>
    <t>MICROBIAL COMMUNITY STRUCTURE; BIOGAS PRODUCTION; BIODEGRADATION; EXTRACT</t>
  </si>
  <si>
    <t>Food waste is the single largest component of the waste stream by weight. In the present work, we attempted to study the effect of caffeine and saponin on anaerobic fermentation of food waste to examine their potential influence on biogas production at 8% total solids (TS) content. Addition of caffeine at 50, 100, and 150 ppm to the food waste on the first day resulted in biogas production in 24 hours which normally comes on 4(th) day. The maximum biogas production of 408.5 ml/g TS was found at 100 ppm caffeine whereas 50 ppm and 150 ppm caffeine produced 359 ml and 336 ml in comparison with the control which showed 182 ml/g TS. This is the first study of effect of caffeine as stimulants in anaerobic environments. Addition of saporin had no beneficial effect; on the other hand, it inhibited the biogas production at 50, 100 and 150 ppm.</t>
  </si>
  <si>
    <t>[Prabhudessai, Vidhya; Ganguly, Anasuya; Mutnuri, Srikanth] Birla Inst Technol &amp; Sci, Goa, India</t>
  </si>
  <si>
    <t>Birla Institute of Technology &amp; Science Pilani (BITS Pilani)</t>
  </si>
  <si>
    <t>Mutnuri, S (corresponding author), Birla Inst Technol &amp; Sci, Goa Campus, Goa, India.</t>
  </si>
  <si>
    <t>srikanth.mutnuri@gmail.com</t>
  </si>
  <si>
    <t>University Grants Commission, Government of India [SR/33-139/2007]</t>
  </si>
  <si>
    <t>University Grants Commission, Government of India(University Grants Commission, India)</t>
  </si>
  <si>
    <t>The authors thank University Grants Commission, Government of India for funding this project (Ref No. SR/33-139/2007). The authors also thank Dr. Rahul Mohan National centre for Antarctic and Ocean Research for SEM images and Dr Paschke, Helmholtz centre for Environmental Research, Leipzig Germany for surface tension measurements.</t>
  </si>
  <si>
    <t>1590-4261</t>
  </si>
  <si>
    <t>1869-2044</t>
  </si>
  <si>
    <t>ANN MICROBIOL</t>
  </si>
  <si>
    <t>Ann. Microbiol.</t>
  </si>
  <si>
    <t>10.1007/BF03179203</t>
  </si>
  <si>
    <t>552CB</t>
  </si>
  <si>
    <t>WOS:000274263200001</t>
  </si>
  <si>
    <t>Davis, AP; Govaerts, R; Bridson, DM; Ruhsam, M; Moat, J; Brummitt, NA</t>
  </si>
  <si>
    <t>Davis, Aaron P.; Govaerts, Rafael; Bridson, Diane M.; Ruhsam, Markus; Moat, Justin; Brummitt, Neil A.</t>
  </si>
  <si>
    <t>A GLOBAL ASSESSMENT OF DISTRIBUTION, DIVERSITY, ENDEMISM, AND TAXONOMIC EFFORT IN THE RUBIACEAE</t>
  </si>
  <si>
    <t>ANNALS OF THE MISSOURI BOTANICAL GARDEN</t>
  </si>
  <si>
    <t>3rd International Rubiaceae Conference</t>
  </si>
  <si>
    <t>SEP 18-21, 2006</t>
  </si>
  <si>
    <t>Katholieke Univ Leuven, Leuven, BELGIUM</t>
  </si>
  <si>
    <t>Katholieke Univ Leuven</t>
  </si>
  <si>
    <t>Biodiversity; coffee family; conservation; endemics; endemism; Rubiaceae; species diversity; taxonomic databases; Taxonomic Databases Working Group (TDWG); taxonomy</t>
  </si>
  <si>
    <t>PSYCHOTRIEAE RUBIACEAE; GENUS PSYCHOTRIA; PLANT DIVERSITY; PHYLOGENY; GUINEA; GULF</t>
  </si>
  <si>
    <t>Analyses of distribution, diversity, endemism, and taxonomic effort for Rubiaceae are reported, based on queries from a World Rubiaceae Checklist database. Rubiaceae are widespread and occur in kill major regions of the world except the Antarctic Continent, but are predominantly a group in the tropics with greatest diversity in low- to mid-altitude humid forests. A count of Rubiaceae species and genera is given (13,143 spp./611 genera), which confirms that this is the fourth largest angiosperm family. Psychotria L. is the largest genus in the Rubiaceae (1834 spp.) and the third largest angiosperm genus. Most genera (72%) have fewer than 10 species and 211 are monotypic. Calculation of relative species diversity and percentage endemism enables areas of high diversity and endemism to be enumerated, and identifies areas where further field collecting and taxonomic research are required. Endemism is generally high in Rubiaceae, which supports data from recent studies showing that many species have restricted distributions. Given the assumed ecologic sensitivity of Rubiaceae, in combination with a range of other factors including restricted distribution, we suggest that species in this family are particularly vulnerable it, extinction. The rate at which new species art, being described is inadequate; more resources are required before the diversity of Rubiaceae is satisfactorily enumerated.</t>
  </si>
  <si>
    <t>[Davis, Aaron P.; Govaerts, Rafael; Bridson, Diane M.; Moat, Justin; Brummitt, Neil A.] Kew, Royal Bot Gardens, Richmond TW9 3AE, Surrey, England; [Ruhsam, Markus] Univ Edinburgh, Inst Evolutionary Biol, Ashworth Labs, Edinburgh EH9 3JT, Midlothian, Scotland</t>
  </si>
  <si>
    <t>Royal Botanic Gardens, Kew; University of Edinburgh</t>
  </si>
  <si>
    <t>Davis, AP (corresponding author), Kew, Royal Bot Gardens, Richmond TW9 3AE, Surrey, England.</t>
  </si>
  <si>
    <t>a.davis@kew.org</t>
  </si>
  <si>
    <t>Ruhsam, Markus/N-6820-2019; Ruhsam, Markus/B-3608-2010</t>
  </si>
  <si>
    <t>Moat, Justin/0000-0002-5513-3615; Ruhsam, Markus/0000-0002-8457-345X</t>
  </si>
  <si>
    <t>MISSOURI BOTANICAL GARDEN</t>
  </si>
  <si>
    <t>ST LOUIS</t>
  </si>
  <si>
    <t>2345 TOWER GROVE AVENUE, ST LOUIS, MO 63110 USA</t>
  </si>
  <si>
    <t>0026-6493</t>
  </si>
  <si>
    <t>2162-4372</t>
  </si>
  <si>
    <t>ANN MO BOT GARD</t>
  </si>
  <si>
    <t>Ann. Mo. Bot. Gard.</t>
  </si>
  <si>
    <t>10.3417/2006205</t>
  </si>
  <si>
    <t>437BX</t>
  </si>
  <si>
    <t>WOS:000265462000005</t>
  </si>
  <si>
    <t>Siegert, MJ; Florindo, F</t>
  </si>
  <si>
    <t>Florindo, F; Siegert, M</t>
  </si>
  <si>
    <t>Siegert, Martin J.; Florindo, Fabio</t>
  </si>
  <si>
    <t>Antarctic Climate Evolution</t>
  </si>
  <si>
    <t>ANTARCTIC CLIMATE EVOLUTION</t>
  </si>
  <si>
    <t>Developments in Earth and Environmental Sciences</t>
  </si>
  <si>
    <t>Article; Book Chapter</t>
  </si>
  <si>
    <t>Central to the understanding of global environmental change is an appreciation of how the Antarctic Ice Sheet interacts with climate. To comprehend the processes involved one must look into the geological record for evidence of past changes. For several decades international efforts have been made to determine the glacial and climate history of Antarctica and the Southern Ocean. Much of this information derives from studies of sedimentary sequences drilled in and around the continent. In addition, there have been numerous terrestrial geological expeditions to the mountains exposed above the ice surface usually close to the margin of the ice sheet. Holistic interpretation of these data is now being made, and hypotheses on the size and timing of past changes in Antarctica are being developed. In 2004, the Scientific Committee on Antarctic Research (SCAR) commissioned a scientific research programme on Antarctic Climate Evolution (ACE) to quantify the glacial and climate history of Antarctica. This book is a result of that programme, and documents, for the first time, the state of knowledge concerning the ice and climate evolution of the Antarctic continent and its surrounding seas through the Cenozoic era.</t>
  </si>
  <si>
    <t>[Siegert, Martin J.] Univ Edinburgh, Sch GeoSci, Grant Inst, Edinburgh EH9 3JW, Midlothian, Scotland; [Florindo, Fabio] Ist Nazl Geofis &amp; Vulcanol, I-00143 Rome, Italy</t>
  </si>
  <si>
    <t>University of Edinburgh; Istituto Nazionale Geofisica e Vulcanologia (INGV)</t>
  </si>
  <si>
    <t>Siegert, MJ (corresponding author), Univ Edinburgh, Sch GeoSci, Grant Inst, Kings Bldg,W Mains Rd, Edinburgh EH9 3JW, Midlothian, Scotland.</t>
  </si>
  <si>
    <t>m.j.siegert@ed.ac.uk</t>
  </si>
  <si>
    <t>Florindo, Fabio/AAU-2548-2021; Florindo, Fabio/M-1459-2019; Siegert, Martin/M-9939-2019; Florindo, Fabio/F-4119-2010</t>
  </si>
  <si>
    <t>Florindo, Fabio/0000-0002-6058-9748; Siegert, Martin/0000-0002-0090-4806; Florindo, Fabio/0000-0002-6058-9748</t>
  </si>
  <si>
    <t>SARA BURGERHARTSTRAAT 25, PO BOX 211, 1000 AE AMSTERDAM, NETHERLANDS</t>
  </si>
  <si>
    <t>1571-9197</t>
  </si>
  <si>
    <t>978-0-08-093161-6; 978-0-44-452847-6</t>
  </si>
  <si>
    <t>DEV EARTH ENV SCI</t>
  </si>
  <si>
    <t>10.1016/S1571-9197(08)00001-3</t>
  </si>
  <si>
    <t>Book Citation Index – Science (BKCI-S)</t>
  </si>
  <si>
    <t>BCN98</t>
  </si>
  <si>
    <t>WOS:000310806900002</t>
  </si>
  <si>
    <t>Book</t>
  </si>
  <si>
    <t>978-0-08-093161-6</t>
  </si>
  <si>
    <t>WOS:000310806900015</t>
  </si>
  <si>
    <t>Florindo, Fabio; Siegert, Martin</t>
  </si>
  <si>
    <t>ANTARCTIC CLIMATE EVOLUTION Preface</t>
  </si>
  <si>
    <t>Editorial Material; Book Chapter</t>
  </si>
  <si>
    <t>[Florindo, Fabio] Ist Nazl Geofis &amp; Vulcanol, I-00143 Rome, Italy; [Siegert, Martin] Univ Edinburgh, Sch GeoSci, Grant Inst, Edinburgh EH9 3JW, Midlothian, Scotland</t>
  </si>
  <si>
    <t>Istituto Nazionale Geofisica e Vulcanologia (INGV); University of Edinburgh</t>
  </si>
  <si>
    <t>Florindo, F (corresponding author), Ist Nazl Geofis &amp; Vulcanol, I-00143 Rome, Italy.</t>
  </si>
  <si>
    <t>Siegert, Martin/M-9939-2019; Florindo, Fabio/F-4119-2010; Florindo, Fabio/AAU-2548-2021; Florindo, Fabio/M-1459-2019</t>
  </si>
  <si>
    <t>Siegert, Martin/0000-0002-0090-4806; Florindo, Fabio/0000-0002-6058-9748; Florindo, Fabio/0000-0002-6058-9748</t>
  </si>
  <si>
    <t>XI</t>
  </si>
  <si>
    <t>XII</t>
  </si>
  <si>
    <t>WOS:000310806900001</t>
  </si>
  <si>
    <t>Florindo, F; Meloni, A; Siegert, M</t>
  </si>
  <si>
    <t>Florindo, Fabio; Meloni, Antonio; Siegert, Martin</t>
  </si>
  <si>
    <t>The International Polar Years: A History of Developments in Antarctic Climate Evolution</t>
  </si>
  <si>
    <t>The first three International Polar Years (IPYs; 1882-1883, 1932-1933, 1957-1958) were major periods of intense multidisciplinary polar research, bringing significant new insights into global processes and laying the foundation of knowledge of the polar regions for future decades. The fourth IPY (2007-2009) continues the tradition of international science years and is one of the most ambitious internationally coordinated scientific research programmes ever attempted. In contrast to the three previous IPYs, the new IPY incorporates research within social science and its interface with the natural sciences. The new IPY also includes a wide range of education and outreach activities, and a commitment to excite and train the next generation of polar researchers. We discuss briefly the history of the IPYs, and their contribution to comprehending Antarctic Climate Evolution.</t>
  </si>
  <si>
    <t>[Florindo, Fabio; Meloni, Antonio] Ist Nazl Geofis &amp; Vulcanol, I-00143 Rome, Italy; [Siegert, Martin] Univ Edinburgh, Sch GeoSci, Grant Inst, Edinburgh EH9 3JW, Midlothian, Scotland</t>
  </si>
  <si>
    <t>Florindo, F (corresponding author), Ist Nazl Geofis &amp; Vulcanol, Via Vigna Murata 605, I-00143 Rome, Italy.</t>
  </si>
  <si>
    <t>florindo@ingv.it</t>
  </si>
  <si>
    <t>Florindo, Fabio/AAU-2548-2021; Siegert, Martin/M-9939-2019; Florindo, Fabio/F-4119-2010; Florindo, Fabio/M-1459-2019</t>
  </si>
  <si>
    <t>10.1016/S1571-9197(08)00002-5</t>
  </si>
  <si>
    <t>WOS:000310806900003</t>
  </si>
  <si>
    <t>Barrett, P</t>
  </si>
  <si>
    <t>Barrett, Peter</t>
  </si>
  <si>
    <t>A History of Antarctic Cenozoic Glaciation - View from the Margin</t>
  </si>
  <si>
    <t>ORBITALLY-INDUCED OSCILLATIONS; WESTERN ROSS SEA; OLIGOCENE BATHYMETRIC CHANGES; PLIOCENE SIRIUS GROUP; VICTORIA LAND BASIN; ICE-SHEET; TRANSANTARCTIC MOUNTAINS; EAST ANTARCTICA; MCMURDO SOUND; LEVEL HISTORY</t>
  </si>
  <si>
    <t>The scale and antiquity of the Antarctic Ice Sheet was sensed from the time of earliest exploration a century ago. However, significant advances in scientific thinking, along with logistics and technology for gathering data from the continent itself, were required before a clear and consistent framework for ice-sheet history and behaviour could develop and this has emerged only in the last few years. The main features of the present ice sheet were established by over-snow traverses during and following the International Geophysical Year (1957-1958), but the timing and circumstances of its origin remained uncertain. Geological records of post-Jurassic time were largely buried under the ice or the sea floor around the Antarctic margin, though a few radiometric ages from the new K-Ar dating indicated Antarctic glaciation was likely older than the Northern Hemisphere ice ages of the Quaternary Period. New post-World War II techniques in offshore surveying with marine geophysics and ship-based drilling were first applied to the Antarctic margin in the early 1970s, and were immediately productive. The Antarctic continental shelf was found to be underlain by sedimentary basins with the promise of ice-sheet history, and in early 1973, cores from Leg 28 of the Deep Sea Drilling Project (DSDP) in the Ross Sea provided the first physical record of Antarctic glaciation extending back to Oligocene times. DSDP Leg 29 drilled in the Southern Ocean for deep-sea cores from the whole Cenozoic Era, yielding the first set of oxygen isotopic ratios (delta O-18) from benthic calcareous microfossils, and the first estimates of ice volume. These indicated a two-stage ice-sheet history (cooling and some ice at 34 Ma, and persistent ice from 14Ma - time-scale of Berggren et al., 1995). About the same time, the Dry Valleys Drilling Project (DVDP) was launched to recover onshore records of Antarctic Cenozoic climate history, and exploratory drilling from fast ice offshore soon followed. Cores from the Ocean Drilling Program in the 1980s from the Prydz Bay Shelf and the Kerguelen Plateau established the timing of the first continental ice sheet at 34 Ma. In the same period, deep continuous coring from sea ice in McMurdo Sound developed from DVDP technology succeeded in providing new detail for its subsequent history. Core recovery at similar to 98% yielded lithological evidence of ice margin and sea level fluctuations implied by deep-sea isotope records. Further drilling with improved chronology in the 1990s yielded cores confirming ice margin and sea level changes on Milankovitch frequencies and on a scale of 10-40m of sea level equivalent. Micropalaeontological and geochemical evidence pointed to a slight cooling from a coastal cold temperate climate, with beech forests during interglacial times. Subsequent development of ice-sheet modelling has indicated that most of the cooling that initiated ice-sheet glaciation was the consequence of a fall in atmospheric CO2 levels below a critical threshold, allowing ice sheets to form that were highly sensitive to orbital forcing. This claim has been supported by recent work on CO2 proxies and indicators of a shift in carbonate compensation depth in deep-sea sediments. Since the first measurements in the 1970s, deep-sea isotopic measurements have implied a significant increase in Antarctic ice volume at around 14Ma that persisted to the present day. However, in the mid-1980s, marine diatoms in glacial deposits in the Transantarctic Mountains suggested periods in Pliocene times when seas invaded the East Antarctic interior, implying dynamic Antarctic Ice Sheets until Quaternary times. Evidence of continued cold in the mountains over the last 14 Ma, glaciological problems with the proposed over-riding scenario, lack of a signal in the deep-sea isotope record for the loss of most Antarctic ice in Pliocene times and possible alternative atmospheric sources for diatoms has shifted the weight of evidence in favour of persistent ice in the east Antarctic interior. However, coastal outcrops in Prydz Bay and a recent deep core from beneath the McMurdo Ice Shelf have shown that in the globally warmer Pliocene, notably around 3-5 Ma, seas around the Antarctic margin were several degrees warmer. Indeed, recent drill cores suggest that the Ross Embayment and perhaps also most of the West Antarctic interior were periodically ice-free in these times. Three decades ago, the Antarctic Ice Sheet was seen as a long-standing feature of the Earth with its origins in early Cenozoic times and its permanency assured by mid-Miocene cooling. Research in the last decade from geological drilling and glaciological remote sensing, supported by ice sheet and climate modelling, indicates the ice sheet is in fact quite responsive to changes in the global climate system, whether natural or human-induced, though at different rates in different sectors. Recent developments in both science and technology outlined here provide opportunities for projecting realistic scenarios for future ice-sheet response on human time scales.</t>
  </si>
  <si>
    <t>Victoria Univ Wellington, Antarctic Res Ctr, Wellington, New Zealand</t>
  </si>
  <si>
    <t>Victoria University Wellington</t>
  </si>
  <si>
    <t>Barrett, P (corresponding author), Victoria Univ Wellington, Antarctic Res Ctr, POB 600, Wellington, New Zealand.</t>
  </si>
  <si>
    <t>peter.barrett@vuw.ac.nz</t>
  </si>
  <si>
    <t>10.1016/S1571-9197(08)00003-7</t>
  </si>
  <si>
    <t>WOS:000310806900004</t>
  </si>
  <si>
    <t>Carter, L; McCave, IN; Williams, MJM</t>
  </si>
  <si>
    <t>Carter, Lionel; McCave, I. N.; Williams, Michael J. M.</t>
  </si>
  <si>
    <t>Circulation and Water Masses of the Southern Ocean: A Review</t>
  </si>
  <si>
    <t>ANTARCTIC CIRCUMPOLAR CURRENT; WESTERN BOUNDARY CURRENT; DEEP-WATER; BOTTOM WATER; NEW-ZEALAND; SEA-ICE; CLIMATE-CHANGE; WORLD OCEAN; ABYSSAL CIRCULATION; VARIABILITY</t>
  </si>
  <si>
    <t>The Southern Ocean is a major component of Earth's ocean and climate. Its circulation is complex, with a zonal Antarctic Circumpolar Current (ACC) interacting with a meridional thermohaline circulation. The ACC is a highly variable, deep-reaching eastward flow driven mainly by the westerly winds. It is the longest (24,000 km), largest (transport 137-147.10(6) m(3) s(-1)) and only current to connect the major oceans. The Ekman component of the westerly winds also drives surface waters north. Near the ACC's northern limit, these waters sink to form Subantarctic Mode and Antarctic Intermediate waters, which continue north at depths similar to 2,000 m. These northward inflows, with a total volume transport of similar to 55.10(6) m(3) s(-1), disperse Antarctic and northern-sourced waters throughout the world ocean. Other circulation elements are the deep-reaching, cyclonic Weddell, Ross and unnamed gyres located south of the ACC. Further south again are the westward Antarctic Slope and Coastal currents that pass along the Antarctic continental margin under easterly polar winds.</t>
  </si>
  <si>
    <t>[Carter, Lionel] Victoria Univ Wellington, Antarctic Res Ctr, Wellington, New Zealand; [McCave, I. N.] Univ Cambridge, Dept Earth Sci, Cambridge CB2 3EQ, England; [Williams, Michael J. M.] Natl Inst Water &amp; Atmospher Res, Wellington, New Zealand</t>
  </si>
  <si>
    <t>Victoria University Wellington; University of Cambridge; National Institute of Water &amp; Atmospheric Research (NIWA) - New Zealand</t>
  </si>
  <si>
    <t>Carter, L (corresponding author), Victoria Univ Wellington, Antarctic Res Ctr, POB 600, Wellington, New Zealand.</t>
  </si>
  <si>
    <t>lionel.carter@vuw.ac.nz</t>
  </si>
  <si>
    <t>McCave, Nick N/G-7323-2016; McCave, I. Nick/O-3992-2018</t>
  </si>
  <si>
    <t>McCave, Nick N/0000-0002-4702-5489; McCave, I. Nick/0000-0002-4702-5489</t>
  </si>
  <si>
    <t>10.1016/S1571-9197(08)00004-9</t>
  </si>
  <si>
    <t>WOS:000310806900005</t>
  </si>
  <si>
    <t>Cooper, AK; Brancolini, G; Escutia, C; Kristoffersen, Y; Larter, R; Leitchenkov, G; O'Brien, P; Jokat, W</t>
  </si>
  <si>
    <t>Cooper, Alan K.; Brancolini, Giuliano; Escutia, Carlota; Kristoffersen, Yngve; Larter, Rob; Leitchenkov, German; O'Brien, Phillip; Jokat, Wilfried</t>
  </si>
  <si>
    <t>Cenozoic Climate History from Seismic Reflection and Drilling Studies on the Antarctic Continental Margin</t>
  </si>
  <si>
    <t>QUATERNARY GLACIAL HISTORY; PRINCE-CHARLES-MOUNTAINS; SHEET GROUNDING EVENTS; ICE STREAM-B; SOUTH SHETLAND MARGIN; WILKES LAND MARGIN; WESTERN ROSS-SEA; TROUGH-MOUTH FAN; PINE ISLAND BAY; PLEISTOCENE-HOLOCENE RETREAT</t>
  </si>
  <si>
    <t>Seismic stratigraphic studies and scientific drilling of the Antarctic continental margin have yielded clues to the evolution of Cenozoic climates, depositional paleoenvironments and paleoceanographic conditions. This paper draws on studies of the former Antarctic Offshore Stratigraphy Project and others to review the geomorphic and lithostratigraphic offshore features that give insights into the long-duration (m.y.) and short-term (k.y.) changes that document the great variability of Cenozoic Antarctic paleoenvironments. The lithologic drilling record documents non-glacial (pre-early Eocene) to full-glacial (late Pliocene to Holocene) times, and documents times of cyclic ice-sheet fluctuations at k.y. scales (early Miocene to Pliocene and Holocene). Times of significant change in types and/or amounts of glaciation are also seen in the offshore lithologic record (early Oligocene, mid-Miocene, early Pliocene). Seismic data illustrate large-scale geomorphic features that point to massive sediment erosion and dispersal by ice sheets and paleoceanographic processes (e.g. cross-shelf troughs, slope-fans, rise-drifts). The commonality of these features to East and West Antarctica since late Eocene time points to a continent that has been intermittently covered, partially to completely, by glaciers and ice sheets. The greatest advances in our understanding of paleoenvironments and the processes that control them have been achieved from scientific drilling, and future progress depends on a continuation of such drilling.</t>
  </si>
  <si>
    <t>[Cooper, Alan K.] Stanford Univ, Dept Geol &amp; Environm Sci, Stanford, CA 94306 USA; [Brancolini, Giuliano] Ist Nazl Oceanog &amp; Geofis Sperimentale, I-34010 Trieste, Italy; [Escutia, Carlota] Univ Granada, CSIC, Inst Andaluz Ciencias Tierra, Granada 18002, Spain; [Kristoffersen, Yngve] Univ Bergen, Dept Earth Sci, N-5007 Bergen, Norway; [Larter, Rob] British Antarctic Survey, Cambridge CB3 0ET, England; [Leitchenkov, German] VNIIOkeangeologia, Res Inst Geol &amp; Mineral Resources World Ocean, St Petersburg, VA, Russia; [O'Brien, Phillip] Geosci Australia, Canberra, ACT 2601, Australia; [Jokat, Wilfried] Alfred Wegener Inst, D-27570 Bremerhaven, Germany</t>
  </si>
  <si>
    <t>Stanford University; Istituto Nazionale di Oceanografia e di Geofisica Sperimentale; Consejo Superior de Investigaciones Cientificas (CSIC); CSIC - Instituto Andaluz de Ciencias de la Tierra (IACT); University of Granada; University of Bergen; UK Research &amp; Innovation (UKRI); Natural Environment Research Council (NERC); NERC British Antarctic Survey; Geoscience Australia; Helmholtz Association; Alfred Wegener Institute, Helmholtz Centre for Polar &amp; Marine Research</t>
  </si>
  <si>
    <t>Cooper, AK (corresponding author), Stanford Univ, Dept Geol &amp; Environm Sci, Stanford, CA 94306 USA.</t>
  </si>
  <si>
    <t>akcooper@pacbell.net</t>
  </si>
  <si>
    <t>Escutia, Carlota/B-8614-2015</t>
  </si>
  <si>
    <t>10.1016/S1571-9197(08)00005-0</t>
  </si>
  <si>
    <t>WOS:000310806900006</t>
  </si>
  <si>
    <t>Siegert, MJ</t>
  </si>
  <si>
    <t>Siegert, Martin J.</t>
  </si>
  <si>
    <t>Numerical Modelling of the Antarctic Ice Sheet</t>
  </si>
  <si>
    <t>SUBGLACIAL LAKES; MASS-BALANCE; FLOW; SENSITIVITY; STREAMS; WATER</t>
  </si>
  <si>
    <t>Studies on Antarctic climate evolution have benefited increasingly over the last 20 years from numerical ice-sheet modelling. Such activities have led to the testing of geological hypotheses concerning past ice-sheet changes and a better understanding of macro-scale glaciological processes through space and time. Here, numerical ice-sheet models are reviewed, and their use in understanding former changes in Antarctica is outlined.</t>
  </si>
  <si>
    <t>Univ Edinburgh, Sch GeoSci, Grant Inst, Edinburgh EH9 3JW, Midlothian, Scotland</t>
  </si>
  <si>
    <t>University of Edinburgh</t>
  </si>
  <si>
    <t>Siegert, MJ (corresponding author), Univ Edinburgh, Sch GeoSci, Grant Inst, W Mains Rd, Edinburgh EH9 3JW, Midlothian, Scotland.</t>
  </si>
  <si>
    <t>Siegert, Martin/M-9939-2019</t>
  </si>
  <si>
    <t>Siegert, Martin/0000-0002-0090-4806</t>
  </si>
  <si>
    <t>10.1016/S1571-9197(08)00006-2</t>
  </si>
  <si>
    <t>WOS:000310806900007</t>
  </si>
  <si>
    <t>Talarico, FM; Kleinschmidt, G</t>
  </si>
  <si>
    <t>Talarico, F. M.; Kleinschmidt, G.</t>
  </si>
  <si>
    <t>The Antarctic Continent in Gondwanaland: A Tectonic Review and Potential Research Targets for Future Investigations</t>
  </si>
  <si>
    <t>NORTHERN VICTORIA LAND; MOUNTAINS RIFT FLANK; TRANSANTARCTIC MOUNTAINS; EAST ANTARCTICA; WEST-ANTARCTICA; PACIFIC MARGIN; ROSS SEA; LANTERMAN RANGE; ICE-SHEET; GEOPHYSICAL INVESTIGATIONS</t>
  </si>
  <si>
    <t>The geological record of the Antarctic continent has, for a long time, had a key role in supercontinent reconstructions. More recently, because of the well-documented relevance of the polar regions' processes in influencing the global changes of both ocean circulation and climate patterns, Antarctica has increasingly been of similar importance in the context of palaeoenvironmental and palaeoclimatic investigations, particularly those focused on the Cenozoic glacial evolution. After a description of the present-day geotectonic setting and of the main geological units before Gondwana amalgamation, the chapter focuses on the tectonic evolution of the Antarctic continent from its inclusion as part of the Gondwana supercontinent to the break-up of this landmass and the repositioning of Antarctica at southern polar latitudes since the Early Cretaceous. The geological evolution of the Antarctic continent is reviewed considering two main time periods: (i) c. 600-450 Ma, covering the processes which were active immediately before and during the amalgamation of Gondwana; and (ii) c. 450-180 Ma, including all the major events that occurred after the final stage of Gondwana amalgamation to the time immediately before the break-up phase. A subsequent section addresses the last 180 Ma during which present-day Antarctica and the other southern continents and surrounding oceanic basins formed as a consequence of the fragmentation of Gondwana. After a general overview of the most significant plate tectonic stages and coeval magmatic products, the attention is then devoted to one of the most investigated regions in Antarctica; the Transantarctic Mountains and the Ross Sea sector of the Western Antarctic Rift System. Some of the main persisting problems and potential research themes for on- and off-shore activities are discussed in the conclusions, which also include some of the most interesting palaeoclimatic issues that are essential to improving our understanding of the polar climate, ice ages and their influences on Earth's climate system in the Cenozoic to present time.</t>
  </si>
  <si>
    <t>[Talarico, F. M.] Univ Siena, Dip Sci Terra, I-53100 Siena, Italy; [Kleinschmidt, G.] Goethe Univ Frankfurt, Inst Geowissensch, D-60438 Frankfurt, Germany</t>
  </si>
  <si>
    <t>University of Siena; Goethe University Frankfurt</t>
  </si>
  <si>
    <t>Talarico, FM (corresponding author), Univ Siena, Dip Sci Terra, Via Laterina 8, I-53100 Siena, Italy.</t>
  </si>
  <si>
    <t>talarico@unisi.it</t>
  </si>
  <si>
    <t>10.1016/S1571-9197(08)00007-4</t>
  </si>
  <si>
    <t>WOS:000310806900008</t>
  </si>
  <si>
    <t>Francis, JE; Marenssi, S; Levy, R; Hambrey, M; Thorn, VC; Mohr, B; Brinkhuis, H; Warnaar, J; Zachos, J; Bohaty, S; DeConto, R</t>
  </si>
  <si>
    <t>Francis, J. E.; Marenssi, S.; Levy, R.; Hambrey, M.; Thorn, V. C.; Mohr, B.; Brinkhuis, H.; Warnaar, J.; Zachos, J.; Bohaty, S.; DeConto, R.</t>
  </si>
  <si>
    <t>From Greenhouse to Icehouse - The Eocene/Oligocene in Antarctica</t>
  </si>
  <si>
    <t>LA-MESETA FORMATION; EOCENE-OLIGOCENE TRANSITION; ATMOSPHERIC CARBON-DIOXIDE; CAPE-ROBERTS PROJECT; KING GEORGE ISLAND; ICE-SHEET DYNAMICS; PRYDZ BAY-REGION; SEYMOUR-ISLAND; MIDDLE EOCENE; EARLY MIOCENE</t>
  </si>
  <si>
    <t>The change from a warm, ice-free greenhouse world to the glacial Antarctic icehouse occurred during the latest Eocene-earliest Oligocene. Prior to this, during the Early-Middle Eocene, Antarctica experienced warm climates, at least on the margins of the continent where geological evidence is present. Climates appear to have been warm and wet, the seas were warm and plants flourished in a frost-free environment, although there is some suggestion of valley glaciers on King George Island. Climate signals in the geological record show that the climate then cooled but not enough to allow the existence of significant ice until the latest Eocene. Glacial deposits on Seymour Island indicate that ice was present there at Eocene/Oligocene boundary times. Further south, ice-rafted clasts in drill cores from the Ross Sea region and deposits of tidewater glacier origin in Prydz Bay confirm the presence of ice at the continental shelf by the earliest Oligocene. This matches the major Oi-1 oxygen isotope event in the marine record. On land, vegetation was able to persist but the warmth-loving plants of the Eocene were replaced by shrubby vegetation with the southern beech Nothofagus, mosses and ferns, which survived in tundra-like conditions. Throughout the Oligocene, glaciation waxed and waned until a major glacial phase in the Miocene. Coupled climate-ice sheet modelling indicates that changing levels of atmospheric CO2 controlled Antarctica's climate. Factors such as mountain uplift, vegetation changes and orbital forcing all played a part in cooling the polar climate, but only when CO2 levels reached critical thresholds was Antarctica tipped into its icy glacial world.</t>
  </si>
  <si>
    <t>[Hambrey, M.] Aberystwyth Univ, Inst Geog &amp; Earth Sci, Ceredigion SY23 3DB, Dyfed, Wales; [Francis, J. E.; Thorn, V. C.] Univ Leeds, Sch Earth &amp; Environm, Leeds LS2 9JT, W Yorkshire, England; [Marenssi, S.] Univ Buenos Aires, Inst Antartico Argentino, RA-1010 Buenos Aires, DF, Argentina; [Marenssi, S.] Consejo Nacl Invest Cient &amp; Tecn, RA-1010 Buenos Aires, DF, Argentina; [Levy, R.] Univ Nebraska, Lincoln, NE 68588 USA; [Mohr, B.] Humboldt Univ, Museum Nat Kunde, D-10099 Berlin, Germany; [Brinkhuis, H.; Warnaar, J.] Univ Utrecht, Dept Biol, Fac Sci, Palaeobot &amp; Palynol Lab, NL-3584 CD Utrecht, Netherlands; [Zachos, J.; Bohaty, S.] Univ Calif Santa Cruz, Dept Earth &amp; Planetary Sci, Santa Cruz, CA 95064 USA; [DeConto, R.] Univ Massachusetts, Dept Geosci, Amherst, MA 01003 USA</t>
  </si>
  <si>
    <t>Aberystwyth University; University of Leeds; Instituto Antartico Argentino; University of Buenos Aires; Consejo Nacional de Investigaciones Cientificas y Tecnicas (CONICET); University of Nebraska System; University of Nebraska Lincoln; Leibniz Institut fur Evolutions und Biodiversitatsforschung; Humboldt University of Berlin; Utrecht University; University of California System; University of California Santa Cruz; University of Massachusetts System; University of Massachusetts Amherst</t>
  </si>
  <si>
    <t>Hambrey, M (corresponding author), Aberystwyth Univ, Inst Geog &amp; Earth Sci, Ceredigion SY23 3DB, Dyfed, Wales.</t>
  </si>
  <si>
    <t>mjh@aber.ac.uk</t>
  </si>
  <si>
    <t>Levy, Richard H/E-2477-2011; Brinkhuis, Henk/IUO-8165-2023</t>
  </si>
  <si>
    <t>Brinkhuis, Henk/0000-0003-0253-6610; Bowman, Vanessa/0000-0002-4887-3949; Levy, Richard/0000-0002-8783-0167</t>
  </si>
  <si>
    <t>10.1016/S1571-9197(08)00008-6</t>
  </si>
  <si>
    <t>WOS:000310806900009</t>
  </si>
  <si>
    <t>Wilson, GS; Pekar, SF; Naish, TR; Passchier, S; DeConto, R</t>
  </si>
  <si>
    <t>Wilson, G. S.; Pekar, S. F.; Naish, T. R.; Passchier, S.; DeConto, R.</t>
  </si>
  <si>
    <t>The Oligocene-Miocene Boundary - Antarctic Climate Response to Orbital Forcing</t>
  </si>
  <si>
    <t>CARBON-DIOXIDE CONCENTRATIONS; GLOBAL SEA-LEVEL; WESTERN ROSS SEA; ICE-SHEET; INDUCED OSCILLATIONS; LATE EOCENE; BATHYMETRIC CHANGES; CHAOTIC DIFFUSION; SOUTHERN-OCEAN; MCMURDO SOUND</t>
  </si>
  <si>
    <t>Recent high-resolution Oligocene-Miocene oxygen isotopic records revealed a relatively transient, ca. 2 myr period, 1 parts per thousand amplitude cyclicity in isotopic values (Oi and Mi events, respectively). Intriguingly, it has been suggested that these isotopic excursions in oceanic delta O-18 were linked to ephemeral growth and decay in Antarctic Ice Sheets. A great deal of effort in the palaeoceanography community has been focused on developing techniques and gathering additional records to determine if the Antarctic Ice Sheet has behaved in such a transient manner in the past and indeed what factors might have led to the rapid growth and decay of ice sheets. Deciphering between temperature and ice-volume influences in the deep-sea isotopic record has proven somewhat difficult. Approaches have included the sampling of sediment from beneath different water masses, development of an independent palaeothermometer using magnesium/calcium ratios and improving the resolution and accuracy of coastal sea-level records. Despite these advances, it is only through the recovery of Antarctic drill core records that we have been able to test the resulting hypotheses. Combined with numerical climate models, ice-volume estimates are also available. The Antarctic Oligocene-Miocene record is most complete in the Victoria Land Basin as recovered in the CIROS-1 and CRP-2A drill cores. The strata recovered in both drill cores are cyclic in nature and interpreted to represent periodic advance and retreat of ice across the Antarctic margin in the western Ross Sea concomitant with sea-level fall and rise, respectively. Environmental data suggest a significant Antarctic climate threshold across the Oligocene-Miocene boundary with cooler temperatures implied in the early Miocene with ice volume and palaeo-sea-level estimates suggesting a significant but transient growth in the Antarctic Ice Sheet to similar to 25% larger than present. The Antarctic data are entirely consistent with the predictions from deep-sea records including the suggestion that the glacial advance was relatively short lived and interglacial conditions were re-established within a few hundred thousand years. The duration and transience of the Mi1 glacial expansion and swift recovery in Antarctica likely resulted from the limited polar summer warmth from the coincidence of low eccentricity and low-amplitude variability in obliquity of the Earth's orbit at the Oligocene-Miocene boundary. This was followed by warmer polar summers and increased melt from increased eccentricity and high-amplitude variability in obliquity in the early Miocene, allowing the recovery of vegetation on the craton. Atmospheric CO2 concentrations remained below a 2 x pre-industrial threshold, which promoted sensitivity of the climate system to orbital forcing. While climate and ice-sheet modelling support the fundamental role of greenhouse gas forcing as a likely cause of events like Mi1, the models underestimate the range of orbitally paced ice-sheet variability recognised in early Miocene isotope and sea-level records unless accompanied by significant fluctuations in greenhouse gas concentrations. While tectonic influences may have been secondary, they may well have contributed to oceanic cooling recorded at the Cape Roberts Project site in the South Western Ross Sea.</t>
  </si>
  <si>
    <t>[Wilson, G. S.] Univ Otago, Dept Geol, Dunedin, New Zealand; [Pekar, S. F.] CUNY Queens Coll, Sch Earth &amp; Environm Sci, Flushing, NY 11367 USA; [Pekar, S. F.] Columbia Univ, Lamont Doherty Geol Observ, Palisades, NY 10964 USA; [Naish, T. R.] Victoria Univ Wellington, Antarctic Res Ctr, Wellington, New Zealand; [Naish, T. R.] GNS Sci, Lower Hutt, New Zealand; [Passchier, S.] Montclair State Univ, Dept Earth &amp; Environm Studies, Montclair, NJ 07403 USA; [DeConto, R.] Univ Massachusetts, Dept Geosci, Morril Sci Ctr 233, Amherst, MA 01003 USA</t>
  </si>
  <si>
    <t>University of Otago; City University of New York (CUNY) System; Queens College NY (CUNY); Columbia University; Victoria University Wellington; GNS Science - New Zealand; Montclair State University; University of Massachusetts System; University of Massachusetts Amherst</t>
  </si>
  <si>
    <t>Wilson, GS (corresponding author), Univ Otago, Dept Geol, POB 56, Dunedin, New Zealand.</t>
  </si>
  <si>
    <t>gary.wilson@otago.ac.nz</t>
  </si>
  <si>
    <t>Wilson, Gary S/B-3803-2010; Passchier, Sandra/GYU-2381-2022; Passchier, Sandra/AAQ-2243-2021</t>
  </si>
  <si>
    <t>Passchier, Sandra/0000-0001-7204-7025; Naish, Tim/0000-0002-1185-9932; Wilson, Gary/0000-0003-0025-3641</t>
  </si>
  <si>
    <t>10.1016/S1571-9197(08)00009-8</t>
  </si>
  <si>
    <t>WOS:000310806900010</t>
  </si>
  <si>
    <t>Haywood, AM; Smellie, JL; Ashworth, AC; Cantrill, DJ; Florindo, F; Hambrey, MJ; Hill, D; Hillenbrand, CD; Hunter, SJ; Larter, RD; Lear, CH; Passchier, S; van de Wal, R</t>
  </si>
  <si>
    <t>Haywood, Alan M.; Smellie, John L.; Ashworth, Allan C.; Cantrill, David J.; Florindo, Fabio; Hambrey, Michael J.; Hill, Daniel; Hillenbrand, Claus-Dieter; Hunter, Stephen J.; Larter, Robert D.; Lear, Caroline H.; Passchier, Sandra; van de Wal, Roderick</t>
  </si>
  <si>
    <t>Middle Miocene to Pliocene History of Antarctica and the Southern Ocean</t>
  </si>
  <si>
    <t>DEEP-WATER CIRCULATION; PRINCE CHARLES MOUNTAINS; SHEET GROUNDING EVENTS; MARIE-BYRD LAND; CENTRAL TRANSANTARCTIC MOUNTAINS; CENOZOIC-PAGODROMA-GROUP; SIRIUS GROUP STRATA; PRYDZ BAY-REGION; ICE-SHEET; CONTINENTAL-MARGIN</t>
  </si>
  <si>
    <t>This chapter explores the Middle Miocene to Pliocene terrestrial and marine records of Antarctica and the Southern Ocean. The structure of the chapter makes a clear distinction between terrestrial and marine records as well as proximal (on or around Antarctica) and more distal records (Southern Ocean). Particular geographical regions are identified that reflect the areas for which the majority of palaeoenvironmental and palaeoclimatic information exist. Specifically, the chapter addresses the terrestrial sedimentary and fjordal environments of the Transantarctic Mountains and Lambert Glacier region, the terrestrial fossil record of Antarctic climate, terrestrial environments of West Antarctica, and the marine records of the East Antarctic Ice Sheet (EAIS), the West Antarctic Ice Sheet (WAIS) and the Antarctic Peninsula Ice Sheet (APIS), as well as the marine record of the Southern Ocean. Previous and current studies focusing on modelling Middle Miocene to Pliocene climate, environments and ice sheets are discussed.</t>
  </si>
  <si>
    <t>[Haywood, Alan M.; Hunter, Stephen J.] Univ Leeds, Sch Earth &amp; Environm, Leeds LS2 9JT, W Yorkshire, England; [Smellie, John L.; Hill, Daniel; Hillenbrand, Claus-Dieter; Hunter, Stephen J.; Larter, Robert D.] British Antarctic Survey, Geol Sci Div, Cambridge CB3 0ET, England; [Ashworth, Allan C.] N Dakota State Univ, Dept Geosci, Fargo, ND 58105 USA; [Cantrill, David J.] Royal Bot Gardens Melbourne, S Yarra, Vic 3141, Australia; [Florindo, Fabio] Ist Nazl Geofis &amp; Vulcanol, I-00143 Rome, Italy; [Hambrey, Michael J.] Univ Wales, Inst Geog &amp; Earth Sci, Aberystwyth SY23 3DB, Ceredigion, Wales; [Lear, Caroline H.] Cardiff Univ, Sch Earth Ocean &amp; Planetary Sci, Cardiff CF10 3YE, S Glam, Wales; [Passchier, Sandra] Montclair State Univ, Dept Earth &amp; Environm Studies, Montclair, NJ 07043 USA; [van de Wal, Roderick] Univ Utrecht, Inst Marine &amp; Atmospher Res Utrecht, NL-3584 Utrecht, Netherlands</t>
  </si>
  <si>
    <t>University of Leeds; UK Research &amp; Innovation (UKRI); Natural Environment Research Council (NERC); NERC British Antarctic Survey; North Dakota State University Fargo; Istituto Nazionale Geofisica e Vulcanologia (INGV); Aberystwyth University; Cardiff University; Montclair State University; Utrecht University</t>
  </si>
  <si>
    <t>a.haywood@see.leeds.ac.uk</t>
  </si>
  <si>
    <t>Passchier, Sandra/GYU-2381-2022; van de wal, roderik/D-1705-2011; Passchier, Sandra/AAQ-2243-2021; Lear, Caroline H/D-2582-2009; Cantrill, David/R-1415-2019; Florindo, Fabio/AAU-2548-2021; Florindo, Fabio/M-1459-2019; Florindo, Fabio/F-4119-2010</t>
  </si>
  <si>
    <t>van de wal, roderik/0000-0003-2543-3892; Passchier, Sandra/0000-0001-7204-7025; Cantrill, David/0000-0002-1185-4015; Florindo, Fabio/0000-0002-6058-9748; Florindo, Fabio/0000-0002-6058-9748</t>
  </si>
  <si>
    <t>10.1016/S1571-9197(08)00010-4</t>
  </si>
  <si>
    <t>WOS:000310806900011</t>
  </si>
  <si>
    <t>Naish, T; Carter, L; Wolff, E; Pollard, D; Powell, R</t>
  </si>
  <si>
    <t>Naish, Tim; Carter, Lionel; Wolff, Eric; Pollard, David; Powell, Ross</t>
  </si>
  <si>
    <t>Late Pliocene-Pleistocene Antarctic Climate Variability at Orbital and Suborbital Scale: Ice Sheet, Ocean and Atmospheric Interactions</t>
  </si>
  <si>
    <t>LAST GLACIAL MAXIMUM; SEA-SURFACE TEMPERATURES; PRINCE CHARLES MOUNTAINS; EPICA DOME-C; SOUTHERN-OCEAN; SOUTHWEST PACIFIC; EAST ANTARCTICA; NORTH-ATLANTIC; INDIAN-OCEAN; NEW-ZEALAND</t>
  </si>
  <si>
    <t>Continental margin drill core and seismic data indicate that between 3.0 and 2.5 Ma, high-latitude climate cooling drove both the West and East Antarctic Ice Sheets towards their present expanded cold polar state. Ice margins developed permanent marine termini with ice shelves. Direct physical sedimentary records of Antarctic Ice Sheet variability (e.g. ice-rafted debris, proximal glacimarine cycles) and more distal ocean records of sea-ice distribution (e. g. diatom palaeoecology), thermohaline circulation (e.g. sortable silt), ocean temperatures (e.g. delta O-18), frontal dynamics and surface circulation (e.g. palaeoecological assemblages and sea-surface temperature (SST) reconstructions) all show a strong covariance with the 41 kyr cycle in Earth's obliquity between 3 and 1 Ma. Glacial periods are characterised by northward expansion of seasonal sea ice, SSTs up to 6 degrees C colder than now, equatorward migration of frontal zones by similar to 5-10 degrees latitude, intensification of zonal westerly winds, invigorated surface circulation (e.g. Antarctic Circumpolar Current) and intensified abyssal currents. These processes lead the delta O-18 ice volume maximum by 3-7 kyr, at which time Antarctic Ice Sheets were fully extended onto the continental shelf. Antarctic ice volume changes were in part controlled by the effect of Northern Hemisphere glacioeustasy on its marine margin, and this mechanism accounts for much of the orbital variability of the last 2.6 myr. An enigmatic interval of foraminiferal ooze and coccolith-bearing sediments in Weddell Sea and Prydz Bay sediment cores, together with a bioclastic limestone in the Ross Sea at similar to 1 Ma, imply a significant warming and change in ocean chemistry around the periphery of Antarctica. This event, which occurs within the short normal polarity Jaramillo Subchron in Ross Sea cores, is correlated with warm Marine Isotope Stage 31. The anomalous warming implies an increase of 4-6 degrees C in SST, possible incursion of Subantarctic Surface Waters and depression of the lysocline - an event that is apparently unique in the last 3 myr. The proximal geological record implies a second cooling step occurred at the Mid-Pleistocene Climate Transition (ca. 900 ka). Glacial-interglacial cycles, spanning the last 1 myr, recovered in drill cores from the Ross Sea and Prydz Bay are dominated by coarse-grained, ice-proximal diamicts of cold, polar subglacial affinity. Open-ocean pelagites and hemipelagites are rare on the shelf. The atmospheric temperature and greenhouse gas records from Antarctic ice cores show a pronounced increase in amplitude at the 100 ka periodicity, that is coherent and in phase with marine temperature records, but lags ice volume signal. The records of greenhouse gases from the Dome C ice core show very strong congruence with many features of the temperature record, and are consistent with CO2 in particular playing a significant role in temperature amplification. This also suggests that the Southern Ocean plays a leading role in controlling the atmospheric concentration of CO2 on glacial-interglacial time scales. Higher dust flux to Antarctica during glacial maxima compared with warm periods is considered to have radiative affects over Antarctica by providing nutrients (e.g. Fe) to the Southern Ocean promoting higher algal productivity and atmospheric CO2 drawdown. Most of the variation in total grounded ice volume in Antarctic glacial-cycle ice sheet models is due to expansion and contraction of grounding lines across continental shelves, mostly in the West Antarctic Ice Sheet (WAIS) Ross and Weddell sectors, and is equivalent to similar to 15-20m of sea level. The East Antarctic Ice Sheet interior responds in the opposite sense, contracting slightly at Northern Hemispheric glacial maxima due to lower model snowfall rates. In general millennial-scale cycles occur in high-resolution Antarctic ice cores, particularly in methane and temperature records. However, they appear lower amplitude and the timing may differ from their Northern Hemisphere counterparts (Dansgaard-Oeschger or D-O events). Although uncertainties between the age of the gas (methane) and the ice enclosing it in ice cores makes evaluation of the precise timing of inter-hemispheric, millennial-scale cycles difficult, some D-O cycles appear to be synchronous. The pattern of millennial-scale variability superimposed on G-I climate cycles in Antarctic ice cores occurs both during and prior to the last 100 kyr cycle. Millennial-scale Antarctic warm periods (A1-A7) are well expressed in SST, sortable silt and delta O-18 records from the southern mid-latitude ocean. One of these events, the Antarctic Cold Reversal, at similar to 14.2-12.4 ka, is associated with an abrupt cooling of similar to 2 degrees C in the Southern Ocean, an expansion of ice shelves and sea ice, modest intensification of winds and intensification in deep abyssal inflow along eastern New Zealand through the Pacific gateway.</t>
  </si>
  <si>
    <t>[Naish, Tim; Carter, Lionel] Victoria Univ Wellington, Antarctic Res Ctr, Wellington, New Zealand; [Naish, Tim] GNS Sci, Lower Hutt, New Zealand; [Wolff, Eric] British Antarctic Survey, Cambridge CB3 OET, England; [Pollard, David] Penn State Univ, Earth &amp; Environm Syst Inst, University Pk, PA 16802 USA; [Powell, Ross] No Illinois Univ, Dept Geol &amp; Environm Geosci, De Kalb, IL 60115 USA</t>
  </si>
  <si>
    <t>Victoria University Wellington; GNS Science - New Zealand; UK Research &amp; Innovation (UKRI); Natural Environment Research Council (NERC); NERC British Antarctic Survey; Pennsylvania Commonwealth System of Higher Education (PCSHE); Pennsylvania State University; Pennsylvania State University - University Park; Northern Illinois University</t>
  </si>
  <si>
    <t>Naish, T (corresponding author), Victoria Univ Wellington, Antarctic Res Ctr, POB 600, Wellington, New Zealand.</t>
  </si>
  <si>
    <t>timothy.naish@vuw.ac.nz</t>
  </si>
  <si>
    <t>Wolff, Eric W/D-7925-2014</t>
  </si>
  <si>
    <t>Wolff, Eric W/0000-0002-5914-8531</t>
  </si>
  <si>
    <t>10.1016/S1571-9197(08)00011-6</t>
  </si>
  <si>
    <t>WOS:000310806900012</t>
  </si>
  <si>
    <t>Wright, AP; White, DA; Gore, DB; Siegert, MJ</t>
  </si>
  <si>
    <t>Wright, A. P.; White, D. A.; Gore, D. B.; Siegert, M. J.</t>
  </si>
  <si>
    <t>Antarctica at the Last Glacial Maximum, Deglaciation and the Holocene</t>
  </si>
  <si>
    <t>ICE-SHEET SYSTEM; PINE ISLAND BAY; SEA-FLOOR EVIDENCE; EAST ANTARCTICA; LATE PLEISTOCENE; ROSS SEA; CONTINENTAL-SHELF; LARSEMANN HILLS; EXPOSURE AGES; PRYDZ BAY</t>
  </si>
  <si>
    <t>Recent technological advances in the study and dating of both land and marine glacial geologic features combined with improvements in both glaciological and post-glacial isostatic rebound modelling have led to significant improvements in our knowledge and understanding of the Antarctic Ice Sheets at the Last Glacial Maximum (LGM) and their subsequent changes throughout the Holocene. Here we review the geological evidence for the extent and timing of the maximum advance of the East and West Antarctic Ice Sheets and the ice cover of the Antarctic Peninsula during the most recent glacial cycle. We also discuss evidence for the rate and timing of Holocene Ice Sheet retreat. Geological data provide a very important 'first-hand' record of ice-sheet changes over a range of time periods. They are also useful for constraining and improving models which then have the potential to both fill in the gaps for which geological data are unavailable, and to make predictions of the future. Inspection of the geological record allows us to form qualitative scenarios concerning glacial history. Numerical modelling has been used on several occasions to test such hypotheses. We discuss such numerical studies, indicating both their importance and limitations in order to develop quantitative ideas about the late Quaternary history of the ice sheet. An important environmental aspect of Antarctica's glacial history is its contribution to global sea level rise since the LGM. The past decade has seen the range of estimates (from reconstructions based solely on geological evidence, on glaciological modelling constrained by geology and on modelling of the isostatic rebound) change from 0.5-38 m sea level equivalent to 5.9-19.2 m. Although the convergence of estimates is encouraging, there is a need for further glaciological modelling to take full account of the constraints placed on LGM ice expansion, particularly in East Antarctica, by new geological evidence.</t>
  </si>
  <si>
    <t>[Wright, A. P.; Siegert, M. J.] Univ Edinburgh, Sch GeoSci, Grant Inst, Edinburgh EH9 3JW, Midlothian, Scotland; [White, D. A.; Gore, D. B.] Macquarie Univ, Dept Phys Geog, Sydney, NSW 2109, Australia</t>
  </si>
  <si>
    <t>University of Edinburgh; Macquarie University</t>
  </si>
  <si>
    <t>Wright, AP (corresponding author), Univ Edinburgh, Sch GeoSci, Grant Inst, Kings Bldg,W Mains Rd, Edinburgh EH9 3JW, Midlothian, Scotland.</t>
  </si>
  <si>
    <t>A.P.Wright@ed.ac.uk</t>
  </si>
  <si>
    <t>White, Duanne A/E-6919-2012</t>
  </si>
  <si>
    <t>White, Duanne/0000-0003-0740-2072; Gore, Damian/0000-0002-0377-8518</t>
  </si>
  <si>
    <t>10.1016/S1571-9197(08)00012-8</t>
  </si>
  <si>
    <t>WOS:000310806900013</t>
  </si>
  <si>
    <t>Concluding Remarks: Recent Changes in Antarctica and Future Research</t>
  </si>
  <si>
    <t>CLIMATE EVOLUTION; SOUTHERN-OCEAN; ICE; PENINSULA</t>
  </si>
  <si>
    <t>Antarctic Climate Evolution has been, and will be, hugely influential in the development of Earth's environment. This book has detailed how Antarctica changed during several key stages in the Cenozoic. Here we take stock of past changes and consider how they may be helpful in evaluating future changes in Antarctica.</t>
  </si>
  <si>
    <t>Siegert, Martin/M-9939-2019; Florindo, Fabio/AAU-2548-2021; Florindo, Fabio/F-4119-2010; Florindo, Fabio/M-1459-2019</t>
  </si>
  <si>
    <t>10.1016/S1571-9197(08)00013-X</t>
  </si>
  <si>
    <t>WOS:000310806900014</t>
  </si>
  <si>
    <t>McGuinness, MJ</t>
  </si>
  <si>
    <t>McGuinness, Mark J.</t>
  </si>
  <si>
    <t>MODELLING SEA ICE GROWTH</t>
  </si>
  <si>
    <t>ANZIAM JOURNAL</t>
  </si>
  <si>
    <t>Stefan problem; freezing brine; salt transport; modelling sea ice growth</t>
  </si>
  <si>
    <t>BOUNDARY-LAYER; SURFACE FLUXES; HEAT-FLUX; CONVECTION; SOLIDIFICATION; WINTER; ZONE</t>
  </si>
  <si>
    <t>The freezing of water to ice is a classic problem in applied mathematics, involving the solution of a diffusion equation with a moving boundary. However, when the water is salty, the transport of salt rejected by ice introduces some interesting twists to the tale. A number of analytic models for the freezing of water are briefly reviewed, ranging from the famous work by Neumann and Stefan in the 1800s. to the mush zone models coming out of Cambridge and Oxford since the 1980s. The successes and limitations of these models, and remaining modelling issues, are considered in the case of freezing sea-water in the Arctic and Antarctic Oceans. A new, simple model which includes turbulent transport of heat and salt between ice and ocean is introduced and solved analytically, in two different cases-one where turbulence is given by a constant friction velocity, and the other where turbulence is buoyancy-driven and hence depends on ice thickness. Salt is found to play an important role, lowering interface temperatures, increasing oceanic heat flux, and slowing ice growth.</t>
  </si>
  <si>
    <t>Korea Adv Inst Sci &amp; Technol, Dept Math Sci, Taejon 305701, South Korea</t>
  </si>
  <si>
    <t>Korea Advanced Institute of Science &amp; Technology (KAIST)</t>
  </si>
  <si>
    <t>McGuinness, MJ (corresponding author), Korea Adv Inst Sci &amp; Technol, Dept Math Sci, Taejon 305701, South Korea.</t>
  </si>
  <si>
    <t>Mark.McGuinness@vuw.ac.nz</t>
  </si>
  <si>
    <t>McGuinness, Mark/0000-0003-1860-6177</t>
  </si>
  <si>
    <t>Marsden Fund of New Zealand; Victoria University of Wellington in New Zealand</t>
  </si>
  <si>
    <t>Marsden Fund of New Zealand(Royal Society of New ZealandMarsden Fund (NZ)); Victoria University of Wellington in New Zealand</t>
  </si>
  <si>
    <t>The author would like to thank Pat Langhorne at the University of Otago in New Zealand, and Mike Williams at the National Institute of Water and Atmospheric Research in New Zealand, for many useful discussions and for data; and the Marsden Fund of New Zealand and Victoria University of Wellington in New Zealand for financial support.</t>
  </si>
  <si>
    <t>1446-1811</t>
  </si>
  <si>
    <t>1446-8735</t>
  </si>
  <si>
    <t>ANZIAM J</t>
  </si>
  <si>
    <t>Anziam J.</t>
  </si>
  <si>
    <t>10.1017/S1446181109000029</t>
  </si>
  <si>
    <t>Mathematics, Applied</t>
  </si>
  <si>
    <t>Mathematics</t>
  </si>
  <si>
    <t>524NE</t>
  </si>
  <si>
    <t>WOS:000272149200003</t>
  </si>
  <si>
    <t>Rai, M; Bridge, P</t>
  </si>
  <si>
    <t>Rai, M; Bridge, PD</t>
  </si>
  <si>
    <t>Rai, Mahendra; Bridge, Paul</t>
  </si>
  <si>
    <t>APPLIED MYCOLOGY Preface</t>
  </si>
  <si>
    <t>APPLIED MYCOLOGY</t>
  </si>
  <si>
    <t>[Rai, Mahendra] Amravati Univ, Dept Biotechnol, SGB, Amravati 444602, Maharashtra, India; [Bridge, Paul] British Antarctic Survey, NERC, Cambridge CB3 0ET, England</t>
  </si>
  <si>
    <t>Sant Gadge Baba Amravati University; UK Research &amp; Innovation (UKRI); Natural Environment Research Council (NERC); NERC British Antarctic Survey</t>
  </si>
  <si>
    <t>Rai, M (corresponding author), Amravati Univ, Dept Biotechnol, SGB, Amravati 444602, Maharashtra, India.</t>
  </si>
  <si>
    <t>mkrai123@rediffmail.com; pdbr@bas.ac.uk</t>
  </si>
  <si>
    <t>Rai, Mahendra/ABG-6511-2021; Rai, Mahendra/AAG-3336-2019</t>
  </si>
  <si>
    <t>Rai, Mahendra/0000-0003-0291-0422</t>
  </si>
  <si>
    <t>CABI PUBLISHING-C A B INT</t>
  </si>
  <si>
    <t>WALLINGFORD</t>
  </si>
  <si>
    <t>CABI PUBLISHING, WALLINGFORD 0X10 8DE, OXON, ENGLAND</t>
  </si>
  <si>
    <t>978-1-84593-534-4</t>
  </si>
  <si>
    <t>X</t>
  </si>
  <si>
    <t>XIII</t>
  </si>
  <si>
    <t>10.1079/9781845935344.0000</t>
  </si>
  <si>
    <t>Biotechnology &amp; Applied Microbiology; Mycology</t>
  </si>
  <si>
    <t>BVW82</t>
  </si>
  <si>
    <t>WOS:000293004200001</t>
  </si>
  <si>
    <t>Rai, M; Yadav, A; Bridge, P; Gade, A</t>
  </si>
  <si>
    <t>Rai, Mahendra; Yadav, Alka; Bridge, Paul; Gade, Aniket</t>
  </si>
  <si>
    <t>Myconanotechnology: a New and Emerging Science</t>
  </si>
  <si>
    <t>SILVER NANOPARTICLES; GOLD NANOPARTICLES; EXTRACELLULAR BIOSYNTHESIS; METAL NANOPARTICLES; CDS NANOPARTICLES; FUNGUS; NANOMATERIALS; ACTINOMYCETE; BIOREDUCTION; IONS</t>
  </si>
  <si>
    <t>[Rai, Mahendra; Yadav, Alka; Gade, Aniket] SGB Amravati Univ, Dept Biotechnol, Amravati 444602, Maharashtra, India; [Bridge, Paul] British Antarctic Survey, NERC, Cambridge CB3 0ET, England</t>
  </si>
  <si>
    <t>Rai, M (corresponding author), SGB Amravati Univ, Dept Biotechnol, Amravati 444602, Maharashtra, India.</t>
  </si>
  <si>
    <t>Rai, Mahendra/ABG-6511-2021; Rai, Mahendra/AAG-3336-2019; Gade, Aniket Krishnarao/C-5656-2016; Gade, Aniket/AAG-4974-2021; , Sant Gadge Baba Amravati University/AAN-5820-2021</t>
  </si>
  <si>
    <t>Rai, Mahendra/0000-0003-0291-0422; Gade, Aniket Krishnarao/0000-0002-1966-999X; Gade, Aniket/0000-0002-1966-999X; , Sant Gadge Baba Amravati University/0000-0002-3759-6755</t>
  </si>
  <si>
    <t>WOS:000293004200015</t>
  </si>
  <si>
    <t>Koplovitz, Gil; McClintock, James B.; Amsler, Charles D.; Baker, Bill J.</t>
  </si>
  <si>
    <t>Palatability and chemical anti-predatory defenses in common ascidians from the Antarctic Peninsula</t>
  </si>
  <si>
    <t>AQUATIC BIOLOGY</t>
  </si>
  <si>
    <t>Ascidian; Antarctica; Palatability; Chemical defense; Benthic ecology</t>
  </si>
  <si>
    <t>SOUTH SHETLAND ISLANDS; TUBE-FOOT RESPONSES; FISH NOTOTHENIA-CORIICEPS; STAR PERKNASTER-FUSCUS; POTTER COVE; SECONDARY METABOLITES; SUBTIDAL MACROALGAE; CARIBBEAN SPONGES; ORGANIC EXTRACTS; MCMURDO SOUND</t>
  </si>
  <si>
    <t>Palatability of outer tissues of a suite (12 species) of Antarctic ascidians was evaluated using omnivorous fish and sea star predators. Tissues of 100% of those tested were unpalatable to fish, while 58% were unpalatable to sea stars. Lipophilic and hydrophilic extracts of 11 species were incorporated into pellets and tested in fish and sea star bioassays. Only the lipophilic extract from Distaplia colligans caused fish feeding deterrence. Organic extracts from 10 ascidian species were also examined in food pellet assays using an omnivorous amphipod. Only the lipophilic extract of D. cylindrica was a deterrent. Five of the ascidians possessed acidified outer tunics (pH &lt; 3). We tested the ability of acidified krill pellets (pH 2 to 7) to deter fish and sea star predators and found that, while fish readily ingested acidified food pellets (pH 2), sea stars were deterred at pH 5 or less. Thus either organic or inorganic chemical defenses explain defense in 5 of the 7 ascidian species found unpalatable to sea stars. In contrast, chemical defenses only explain 1 of 12 species found unpalatable to fish, and only 1 of 10 ascidians tested against an amphipod predator. This predator-specific pattern of chemical defense may reflect greater predation pressure on ascidians from Antarctic sea stars. Alternatively, Antarctic ascidians may rely on other factors such as the toughness of their tunic or sequestration of heavy metals such as vanadium to inhibit feeding by Antarctic fish, a taxonomic group known to lack strong jaws.</t>
  </si>
  <si>
    <t>[Koplovitz, Gil; McClintock, James B.; Amsler, Charles D.] Univ Alabama Birmingham, Dept Biol, Birmingham, AL 35294 USA; [Baker, Bill J.] Univ S Florida, Dept Chem, Tampa, FL 33620 USA</t>
  </si>
  <si>
    <t>Koplovitz, G (corresponding author), Univ Alabama Birmingham, Dept Biol, Birmingham, AL 35294 USA.</t>
  </si>
  <si>
    <t>Amsler, Charles/0000-0002-4843-3759</t>
  </si>
  <si>
    <t>NSF [OPP-0442769, OPP-0442857]; Polar and Marine Biology through the University of Alabama at Birmingham</t>
  </si>
  <si>
    <t>NSF(National Science Foundation (NSF)); Polar and Marine Biology through the University of Alabama at Birmingham</t>
  </si>
  <si>
    <t>We thank M. Amsler, C. Aumack and J. Zamzow for their assistance with field collections. We also thank M. Amsler and J. Zamzow for their assistance with running the fish bioassays. We are very grateful to L. Cole at the Smithsonian Institution, Washington, DC, for her assistance with ascidian taxonomy. We acknowledge the generous logistical support provided by those individuals employed by Raytheon Polar Services. This research was facilitated by NSF awards to C.D.A. and J.B.M. (OPP-0442769) and to B.J.B. (OPP-0442857). J.B.M. acknowledges the support of an Endowed Research Professorship in Polar and Marine Biology through the University of Alabama at Birmingham.</t>
  </si>
  <si>
    <t>1864-7790</t>
  </si>
  <si>
    <t>1864-7782</t>
  </si>
  <si>
    <t>AQUAT BIOL</t>
  </si>
  <si>
    <t>Aquat. Biol.</t>
  </si>
  <si>
    <t>10.3354/ab00188</t>
  </si>
  <si>
    <t>529BK</t>
  </si>
  <si>
    <t>WOS:000272490500007</t>
  </si>
  <si>
    <t>Bhadury, P; Bridge, PD; Austen, MC; Bilton, DT; Smerdon, GR</t>
  </si>
  <si>
    <t>Bhadury, Punyasloke; Bridge, Paul D.; Austen, Melanie C.; Bilton, David T.; Smerdon, Gary R.</t>
  </si>
  <si>
    <t>Detection of fungal 18S rRNA sequences in conjunction with marine nematode 18S rRNA amplicons</t>
  </si>
  <si>
    <t>Marine nematodes; 18S rRNA; DGGE; Fungi</t>
  </si>
  <si>
    <t>DIVERSITY; IDENTIFICATION; BACTERIAL; ENDOSYMBIONTS; ATTACHMENT; COAST</t>
  </si>
  <si>
    <t>Free-living nematodes constitute an important component of estuarine and marine benthic ecosystems. Some marine and soil nematodes are known to harbor microbes, including symbiotic bacteria and fungi, in their external cuticle as well as internally. While assessing diversity of marine nematodes from southwest England using molecular approaches, we found evidence of co-amplification of fungal 18S rRNA sequences in conjunction with nematode 18S rRNA sequences. Based on an 18S rRNA PCR-DGGE approach, 3 fungal clone types were detected alongside nematodes from 2 of 4 estuarine and marine sites in southwest England. At the phylogeny level, fungal clone type 1 belongs to Chaetothyriales while the other 2 clone types belong to Hypocreales. The fungal clones were co-amplified with specific marine nematode taxa indicating true ecological association rather than transient environmental contamination. The present study is the first to detect fungal 18S sequences in parallel with marine nematodes and opens up a new avenue of research for investigating ecological interactions between nematodes and fungi in the marine environment.</t>
  </si>
  <si>
    <t>[Bhadury, Punyasloke; Austen, Melanie C.; Smerdon, Gary R.] Plymouth Marine Lab, Plymouth PL1 3DH, Devon, England; [Bridge, Paul D.] British Antarctic Survey, Cambridge CB3 0ET, England; [Bhadury, Punyasloke; Bilton, David T.] Univ Plymouth, Sch Biol Sci, Plymouth PL4 8AA, Devon, England; [Bhadury, Punyasloke] Indian Inst Sci Educ &amp; Res Kolkata, Nadia 741252, W Bengal, India</t>
  </si>
  <si>
    <t>Plymouth Marine Laboratory; UK Research &amp; Innovation (UKRI); Natural Environment Research Council (NERC); NERC British Antarctic Survey; University of Plymouth; Indian Institute of Science Education &amp; Research (IISER) - Kolkata</t>
  </si>
  <si>
    <t>Bhadury, P (corresponding author), Plymouth Marine Lab, Prospect Pl, Plymouth PL1 3DH, Devon, England.</t>
  </si>
  <si>
    <t>pbhadury@iiserkol.ac.in</t>
  </si>
  <si>
    <t>Bhadury, Punyasloke/A-2355-2008; Austen, Melanie C/GLU-1418-2022; Smerdon, Gary/W-2035-2019</t>
  </si>
  <si>
    <t>Austen, Melanie C/0000-0001-8133-0498; Smerdon, Gary/0000-0003-1121-0778; Bhadury, Punyasloke/0000-0001-8714-7475; Bilton, David/0000-0003-1136-0848</t>
  </si>
  <si>
    <t>NERC [bas010020] Funding Source: UKRI; Natural Environment Research Council [bas010020] Funding Source: researchfish</t>
  </si>
  <si>
    <t>10.3354/ab00145</t>
  </si>
  <si>
    <t>455DQ</t>
  </si>
  <si>
    <t>WOS:000266737900005</t>
  </si>
  <si>
    <t>Pankowski, A; McMinn, A</t>
  </si>
  <si>
    <t>Pankowski, Andrew; McMinn, Andrew</t>
  </si>
  <si>
    <t>Iron availability regulates growth, photosynthesis, and production of ferredoxin and flavodoxin in Antarctic sea ice diatoms</t>
  </si>
  <si>
    <t>Antarctic; Sea ice; Iron; Ferredoxin; Flavodoxin; Microalgae</t>
  </si>
  <si>
    <t>CHLOROPHYLL FLUORESCENCE; MARINE-PHYTOPLANKTON; CHAETOCEROS-BREVIS; ALGAL COMMUNITIES; OCEAN DIATOMS; ROSS SEA; LIMITATION; LIGHT; COASTAL; PHOTOINHIBITION</t>
  </si>
  <si>
    <t>Iron availability affects the growth of not only phytoplankton, but also sea ice diatoms. Iron availability had a clear effect on the growth rates of Fragilariopsis cylindrus and F curta. Maximum growth rates were 0.57 d(-1) for F. cylindrus and 0.28 d(-1) for F. curta; K-m (half-saturation growth constant) was 0.51 x 10(-12) and 1.3 x 10(-12) M for F cylindrus and F. curta, respectively. For both F. cylindrus and F. curta, F-v/F-m (quantum yield of fluorescence) was highest and lowest for the cultures grown with the highest and lowest concentrations of iron, respectively. For both species there was also a reduction in both rETR(max) (maximum relative electron transfer rate) and (x (photosynthetic efficiency) with decreasing iron concentration. For F. cylindrus grown with the least iron, rETR(max) was half of the iron-replete value, while alpha was reduced by 65%. Changes in E-k (light-adaptation parameter) were not well defined. Immunoassays were developed for the proteins ferredoxin and flavodoxin in Antarctic pack ice. Iron availability had different effects on the expression of flavodoxin and ferredoxin in the 2 Fragilariopsis species tested. Cultures of F cylindrus grown at high iron concentration produced predominantly ferredoxin, with a small amount of flavodoxin. Ferredoxin was sequentially replaced by flavodoxin for cultures grown with less iron, although the response was not a simple switch from one protein to the other. The ability to produce ferredoxin is apparently absent in F. curta, with relatively constant levels of flavodoxin produced at all iron concentrations. These results strongly imply that the presence of flavodoxin alone cannot be used as evidence of iron-limited growth.</t>
  </si>
  <si>
    <t>[Pankowski, Andrew; McMinn, Andrew] Univ Tasmania, Inst Antarctic &amp; So Ocean Studies, Hobart, Tas 7001, Australia</t>
  </si>
  <si>
    <t>McMinn, A (corresponding author), Univ Tasmania, Inst Antarctic &amp; So Ocean Studies, Private Bag 77, Hobart, Tas 7001, Australia.</t>
  </si>
  <si>
    <t>andrew.mcminn@utas.edu.au</t>
  </si>
  <si>
    <t>McMinn, Andrew/A-9910-2008</t>
  </si>
  <si>
    <t>ARC</t>
  </si>
  <si>
    <t>ARC(Australian Research Council)</t>
  </si>
  <si>
    <t>We acknowledge financial support from an ARC Discovery Grant and logistical support from the Australian Antarctic Science Program. A.P. received support from an Australian postgraduate award.</t>
  </si>
  <si>
    <t>10.3354/ab00116</t>
  </si>
  <si>
    <t>411IH</t>
  </si>
  <si>
    <t>Bronze, Green Accepted, Green Submitted</t>
  </si>
  <si>
    <t>WOS:000263642500007</t>
  </si>
  <si>
    <t>Hastie, LC; Nyegaard, M; Collins, MA; Moreno, A; Pereira, JMF; Piatkowski, U; Pierce, GJ</t>
  </si>
  <si>
    <t>Hastie, Lee C.; Nyegaard, Marianne; Collins, Martin A.; Moreno, Ana; Pereira, Joao M. F.; Piatkowski, Uwe; Pierce, Graham J.</t>
  </si>
  <si>
    <t>Reproductive biology of the loliginid squid, Alloteuthis subulata, in the north-east Atlantic and adjacent waters</t>
  </si>
  <si>
    <t>AQUATIC LIVING RESOURCES</t>
  </si>
  <si>
    <t>Distribution; Recruitment; Spawning; Cephalopod; Alloteuthis sp.</t>
  </si>
  <si>
    <t>CEPHALOPODA; CONSUMPTION; FORBESI; FISH</t>
  </si>
  <si>
    <t>A study of the reproductive biology of the loliginid squid, Alloteuthis subulata in the North Sea, Irish Sea and Portuguese waters was carried out. A predominance of small squid (&lt;50 mm ML) during autumn was observed in all three areas. Multi-modal size-frequency distributions were apparent in both sexes. The greatest complexity was observed in Portuguese waters, with males exhibiting possibly four or more modal size classes. Sexually mature squid were found throughout the year, with generally more mature squid in spring-summer and fewer in autumn-winter. In Portuguese waters, maturity in both sexes peaked in spring, whereas maturity in the other areas peaked in summer. Similar sizes-at-maturity were observed, with male squid maturing over a greater size range (40-125 mm ML) than females (30-50 mm ML). An apparent secondary peak in male maturity at 65 mm ML suggests two different size-maturation patterns in Portuguese waters. Estimates of potential fecundity in the Irish Sea ranged from similar to 2200-13 500 eggs per female. Mean egg diameters of 0.45 mm and 1.55 mm were recorded for developing oocytes and mature ova, respectively. Three to four modal size classes of oocytes were apparent in each ovary. There was some indication of latitudinal effects on growth, maturation and reproduction of A. subulata across its geographic range. The greater complexity of size-structure in warmer waters suggests that water temperature may be the main factor involved, possibly through shorter incubation times, faster growth and maturation rates and extended spawning periods.</t>
  </si>
  <si>
    <t>[Hastie, Lee C.; Nyegaard, Marianne; Pierce, Graham J.] Univ Aberdeen, Dept Zool, Aberdeen AB24 2TZ, Scotland; [Collins, Martin A.] British Antarctic Survey, Cambridge CB3 0ET, England; [Moreno, Ana; Pereira, Joao M. F.] INRB L IPIMAR, Inst Nacl Recursos Biol, P-1400 Lisbon, Portugal; [Piatkowski, Uwe] Univ Kiel, Leibniz Inst Meereswissensch, D-24105 Kiel, Germany</t>
  </si>
  <si>
    <t>University of Aberdeen; UK Research &amp; Innovation (UKRI); Natural Environment Research Council (NERC); NERC British Antarctic Survey; Portuguese Institute of Sea &amp; Fisheries Research (IPIMAR); Helmholtz Association; GEOMAR Helmholtz Center for Ocean Research Kiel; University of Kiel</t>
  </si>
  <si>
    <t>Hastie, LC (corresponding author), Univ Aberdeen, Dept Zool, Tillydrone Ave, Aberdeen AB24 2TZ, Scotland.</t>
  </si>
  <si>
    <t>nhi646@abdn.ac.uk</t>
  </si>
  <si>
    <t>, Martin/ABE-6728-2020; Moreno, Ana/D-6491-2012; Nyegaard, Mette/G-4443-2012; Collins, Martin A/J-8560-2017; pereira, joao/GWN-1007-2022; Pereira, João/IAP-6686-2023; Pereira, Joao M F/AAE-1247-2022; Piatkowski, Uwe/G-4161-2011; Pierce, Graham/A-5404-2018</t>
  </si>
  <si>
    <t>, Martin/0000-0001-7132-8650; Moreno, Ana/0000-0002-5047-236X; Piatkowski, Uwe/0000-0003-1558-5817; Nyegaard, Marianne/0000-0002-9920-2862; Pierce, Graham/0000-0002-4744-4501</t>
  </si>
  <si>
    <t>SEAFISH and ANIMATE projects; NERC [bas010017] Funding Source: UKRI; Natural Environment Research Council [bas010017] Funding Source: researchfish</t>
  </si>
  <si>
    <t>SEAFISH and ANIMATE projects; NERC(UK Research &amp; Innovation (UKRI)Natural Environment Research Council (NERC)); Natural Environment Research Council(UK Research &amp; Innovation (UKRI)Natural Environment Research Council (NERC))</t>
  </si>
  <si>
    <t>Funding and support of this study was provided by the SEAFISH and ANIMATE projects. Samples of A. subulata from the different study areas were kindly supplied by Fisheries Research Services (FRS, Scotland), Bundesforschungsantalt fur Fishcherei (BFAFi, Germany), Department of Agriculture and Rural Development (DARD, Northern Ireland) and Instituto Nacional de Recursos Biologicos (INRB/L-IPIMAR, Portugal). We would also like to thank two anonymous referees for their constructive criticisms of the draft manuscript.</t>
  </si>
  <si>
    <t>EDP SCIENCES S A</t>
  </si>
  <si>
    <t>LES ULIS CEDEX A</t>
  </si>
  <si>
    <t>17, AVE DU HOGGAR, PA COURTABOEUF, BP 112, F-91944 LES ULIS CEDEX A, FRANCE</t>
  </si>
  <si>
    <t>0990-7440</t>
  </si>
  <si>
    <t>1765-2952</t>
  </si>
  <si>
    <t>AQUAT LIVING RESOUR</t>
  </si>
  <si>
    <t>Aquat. Living Resour.</t>
  </si>
  <si>
    <t>JAN-MAR</t>
  </si>
  <si>
    <t>10.1051/alr/2009002</t>
  </si>
  <si>
    <t>431RC</t>
  </si>
  <si>
    <t>WOS:000265079800005</t>
  </si>
  <si>
    <t>Evans, C; Pond, DW; Wilson, WH</t>
  </si>
  <si>
    <t>Evans, Claire; Pond, David W.; Wilson, William H.</t>
  </si>
  <si>
    <t>Changes in Emiliania huxleyi fatty acid profiles during infection with E-huxleyi virus 86: physiological and ecological implications</t>
  </si>
  <si>
    <t>AQUATIC MICROBIAL ECOLOGY</t>
  </si>
  <si>
    <t>Emiliania huxleyi; Virus; Fatty acids; Lipids; Virus infection; Oxidative stress</t>
  </si>
  <si>
    <t>LIPID-COMPOSITION; ENDOPLASMIC-RETICULUM; ISOCHRYSIS-GALBANA; VIRAL LYSIS; COCCOLITHOPHORE; MEMBRANES; PRYMNESIOPHYCEAE; BIOSYNTHESIS; ALKENONES; GROWTH</t>
  </si>
  <si>
    <t>Fatty acids profiles of Emiliania huxleyi strain CCMP1516 were determined in a virus-induced culture crash with E. huxleyi virus 86 (EhV-86). As cell numbers declined in the infected cultures due to virus lysis, a concomitant decrease in fatty acids was observed in the particulate fraction. The composition of fatty acids within infected E. huxleyi cells was restructured, with a shift from polyunsaturated to monounsaturated and saturated fatty acids (respective distributions changing from 70:10:20% at the start of the experiment to 44:24:32% at the final time point). In particular, decreases were seen in the major fatty acid 22:6(n-3) and in 18:5(n-3), whereas greatest increases were seen in 18:1(n-9) and 22:0. The increase in the amount and restructuring of the fatty acid pool in E. huxleyi was indicative of a combination of specific and non-specific effects of virus infection. Specific effects primarily included induction of metabolic pathways such as the synthesis of components involved in virus replication, the production of virions and signal transduction via sphingolipid biosynthesis. Non-specific effects due to stress were likely mediated by reactive oxygen species. Changes in the composition of virus-infected E. huxleyi are of significance to the food web since grazing on virus-infected blooms will decrease the amount of essential polyunsaturated fatty acids passed on to higher trophic levels. Consequently, this could decrease the overall productivity of marine ecosystems.</t>
  </si>
  <si>
    <t>[Evans, Claire; Wilson, William H.] Plymouth Marine Lab, Plymouth PL1 3DH, Devon, England; [Pond, David W.] British Antarctic Survey, Nat Environm Res Council, Cambridge CB3 0ET, England</t>
  </si>
  <si>
    <t>Plymouth Marine Laboratory; UK Research &amp; Innovation (UKRI); Natural Environment Research Council (NERC); NERC British Antarctic Survey</t>
  </si>
  <si>
    <t>Wilson, WH (corresponding author), Bigelow Lab Ocean Sci, 180 McKown Point Rd,POB 475, W Boothbay Harbor, ME 04575 USA.</t>
  </si>
  <si>
    <t>wwilson@bigelow.org</t>
  </si>
  <si>
    <t>Natural Environmental Research Council of the UK (NERC) [NERC/A/S/2003/00296]; NERC [pml010004, bas0100025] Funding Source: UKRI; Natural Environment Research Council [pml010004, bas0100025, NER/A/S/2003/00296] Funding Source: researchfish</t>
  </si>
  <si>
    <t>Natural Environmental Research Council of the UK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</si>
  <si>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C. Stevens and T. Fileman for assistance with the fatty acid analyses. C.E. was funded by the Natural Environmental Research Council of the UK (NERC) through an award to W.H.W under grant NERC/A/S/2003/00296. W.H.W. was supported through the NERC-funded core strategic research programme of Plymouth Marine Laboratory.</t>
  </si>
  <si>
    <t>0948-3055</t>
  </si>
  <si>
    <t>1616-1564</t>
  </si>
  <si>
    <t>AQUAT MICROB ECOL</t>
  </si>
  <si>
    <t>Aquat. Microb. Ecol.</t>
  </si>
  <si>
    <t>10.3354/ame01295</t>
  </si>
  <si>
    <t>470HP</t>
  </si>
  <si>
    <t>WOS:000267966100002</t>
  </si>
  <si>
    <t>Vaqué, D; Guadayol, O; Peters, F; Felipe, J; Malits, A; Pedrós-Alió, C</t>
  </si>
  <si>
    <t>Vaque, Dolors; Guadayol, Oscar; Peters, Francesc; Felipe, Jordi; Malits, Andrea; Pedros-Alio, Carlos</t>
  </si>
  <si>
    <t>Differential response of grazing and bacterial heterotrophic production to experimental warming in Antarctic waters</t>
  </si>
  <si>
    <t>Bacterial heterotrophic production; Grazing rates; Temperature; Antarctic waters</t>
  </si>
  <si>
    <t>MICROBIAL FOOD-WEB; COMMUNITY STRUCTURE; PROTEIN-SYNTHESIS; SOUTHERN-OCEAN; SPRING BLOOM; BIOMASS; NANOFLAGELLATE; PROTISTS; RATES; BACTERIOPLANKTON</t>
  </si>
  <si>
    <t>Narrow annual ranges of temperature characterize polar waters. Consequently, small increases in temperature could significantly affect the metabolic processes of marine microorganisms. We investigated the response of bacterial heterotrophic production (BHP) and grazing rates to small temperature changes in 3 zones near the western Antarctic Peninsula-Bransfield and Gerlache Straits, and Bellingshausen Sea-during December 2002. We performed 8 grazing experiments with water samples collected from depths where chlorophyll a (chl a) concentration was maximum, and incubated the samples at ambient temperature and at -1, 1, 2 and 5 degrees C. We expected that grazing would increase in parallel with BHP at increasing temperatures; however, temperature differentially affected these 2 microbial activities. Thus, grazing rates increased maximally at temperatures &lt;= 2 degrees C, except in 1 station in the Gerlache Strait, while BHP increased maximally at temperatures &lt;= 2 degrees C, except in 1 station in the Bellingshausen Sea. The percentage of grazed bacteria to BHP at the highest experimental temperatures was low (56 +/- 19%) in the Gerlache Strait, high (395 +/- 137%) in the Bransfield Strait and approximately balanced (97 +/- 24%) in the Bellingshausen Sea. This suggests that differential microbial processes in each zone at increasing temperatures will also depend on the autochthonous community. The present study contributes to the understanding of the variability of polar biogeochemical fluxes, and may aid in predicting the response of microorganisms in future scenarios with local and seasonal changes in temperature.</t>
  </si>
  <si>
    <t>[Vaque, Dolors; Guadayol, Oscar; Peters, Francesc; Felipe, Jordi; Malits, Andrea; Pedros-Alio, Carlos] Inst Ciencias Mar, CSIC, Dept Biol Marina &amp; Oceanog, Barcelona 08003, Catalonia, Spain; [Guadayol, Oscar] Oregon State Univ, Coll Ocean &amp; Atmospher Sci, Corvallis, OR 97331 USA</t>
  </si>
  <si>
    <t>Consejo Superior de Investigaciones Cientificas (CSIC); CSIC - Centro Mediterraneo de Investigaciones Marinas y Ambientales (CMIMA); CSIC - Instituto de Ciencias del Mar (ICM); Oregon State University</t>
  </si>
  <si>
    <t>Vaqué, D (corresponding author), Inst Ciencias Mar, CSIC, Dept Biol Marina &amp; Oceanog, Passeig Maritim Barceloneta 37-49, Barcelona 08003, Catalonia, Spain.</t>
  </si>
  <si>
    <t>dolors@icm.csic.es</t>
  </si>
  <si>
    <t>Peters, Francesc/A-6364-2009; Guadayol, Òscar/N-2940-2013; Malits, Andrea/U-6869-2018; Vaque, Dolors/H-6973-2018; Pedros-Alio, Carlos/H-1222-2011</t>
  </si>
  <si>
    <t>Peters, Francesc/0000-0001-9405-4306; Guadayol, Òscar/0000-0001-9552-1041; Vaque, Dolors/0000-0002-0420-5914; Pedros-Alio, Carlos/0000-0003-1009-4277</t>
  </si>
  <si>
    <t>Spanish MCyT [REN2001-0588/ANT]</t>
  </si>
  <si>
    <t>Spanish MCyT(Spanish Government)</t>
  </si>
  <si>
    <t>This study was supported by the Spanish MCyT grant REN2001-0588/ANT to D.V. We thank the scientists, scientific support staff and crew of the RV 'Hesperides' for their help during the enjoyable TEMPANO cruise. We are particularly grateful to A. Sabata, L. Font, L. Albert and R. Massana for helping in nanoflagellate and ciliate counts. Finally, we thank 3 anonymous reviewers for their thoughtful comments that have contributed to the improvement of the Manuscript.</t>
  </si>
  <si>
    <t>10.3354/ame01259</t>
  </si>
  <si>
    <t>432HI</t>
  </si>
  <si>
    <t>WOS:000265123700008</t>
  </si>
  <si>
    <t>Barceló, JA; del Castillo, MF; Mameli, L; Moreno, E; Videla, B</t>
  </si>
  <si>
    <t>Barcelo, Juan A.; Florencia del Castillo, Ma.; Mameli, Laura; Moreno, Eduardo; Videla, Blanca</t>
  </si>
  <si>
    <t>Where Does the South Begin? Social Variability at the Southern Top of the World</t>
  </si>
  <si>
    <t>ARCTIC ANTHROPOLOGY</t>
  </si>
  <si>
    <t>TIERRA-DEL-FUEGO; SUB-ANTARCTIC ZONE; MARITIME ADAPTATIONS; CULTURAL-ADAPTATION; MARINE RESOURCES; PATAGONIA; DIFFERENTIATION; ARCHAEOLOGY; GATHERERS; PAMPA</t>
  </si>
  <si>
    <t>For thousands of years, hunter-gatherer societies from southern and central Patagonia inhabited a Subantarctic landscape. In this paper, we argue against the traditional assumption that these were simple societies. We examine population diversity from ecological, archaeological, and ethno-historical data sources, emphasizing the economic and social variability while considering social change through time. We end by analyzing processes of the development of social complexity and hierarchy in recent times, when the industrial world violently disarticulated those societies. All this evidence suggests levels of social variability and complexity archaeologists have not expected. The paper critically reviews traditional archaeological approaches and suggests new research lines that allow for a better understanding of social dynamics.</t>
  </si>
  <si>
    <t>[Barcelo, Juan A.; Florencia del Castillo, Ma.; Mameli, Laura] Univ Autonoma Barcelona, Dept Prehist, Fac Lletres, Bellaterra 08193, Spain; [Moreno, Eduardo] Ctr Nacl Patagon, Dept Diversidad Sistemat &amp; Evoluc, Madryn, Argentina; [Videla, Blanca] Univ Nacl Patagonia Austral, Unidad Acad Caleta Olivia, Dept Ciencias Sociales, Caleta Olivia, Argentina</t>
  </si>
  <si>
    <t>Autonomous University of Barcelona; Centro Nacional Patagonico (CENPAT)</t>
  </si>
  <si>
    <t>Barceló, JA (corresponding author), Univ Autonoma Barcelona, Dept Prehist, Fac Lletres, Bellaterra 08193, Spain.</t>
  </si>
  <si>
    <t>Moreno, Eduardo/JGD-0592-2023; Barcelo, Juan A/I-1544-2015; Barcelo, Juan/L-2626-2014</t>
  </si>
  <si>
    <t>Barcelo, Juan/0000-0002-1580-471X</t>
  </si>
  <si>
    <t>UNIV WISCONSIN PRESS</t>
  </si>
  <si>
    <t>MADISON</t>
  </si>
  <si>
    <t>JOURNAL DIVISION, 1930 MONROE ST, 3RD FL, MADISON, WI 53711 USA</t>
  </si>
  <si>
    <t>0066-6939</t>
  </si>
  <si>
    <t>1933-8139</t>
  </si>
  <si>
    <t>ARCTIC ANTHROPOL</t>
  </si>
  <si>
    <t>Arct. Anthropol.</t>
  </si>
  <si>
    <t>10.1353/arc.0.0016</t>
  </si>
  <si>
    <t>Anthropology</t>
  </si>
  <si>
    <t>550GN</t>
  </si>
  <si>
    <t>WOS:000274116400006</t>
  </si>
  <si>
    <t>Fan, K</t>
  </si>
  <si>
    <t>Fan Ke</t>
  </si>
  <si>
    <t>Linkage between the Atlantic Tropical Hurricane Frequency and the Antarctic Oscillation in the Western Hemisphere</t>
  </si>
  <si>
    <t>ATMOSPHERIC AND OCEANIC SCIENCE LETTERS</t>
  </si>
  <si>
    <t>Atlantic hurricanes; Antarctic Oscillation in Western Hemisphere; Atmospheric Circulation</t>
  </si>
  <si>
    <t>To examine the zonal asymmetry of the Antarctic oscillation (AAO), different portions of the AAO from June to October (JJASO) in the interannual variability of the Atlantic tropical hurricanes number (ATHN) are documented in this research. It follows that the AAO in the Western Hemisphere (AAOWH) is positively correlated with the ATHN, at 0.36 during the period of 1871-1998 and 0.42 during the period of 1949-98. After removing the linear regressions on the Southern Oscillation Index (SOI) in all time series, the above correlation coefficients are 0.25 and 0.30, respectively. The underlying mechanisms are studied through analyses of the atmospheric general circulation variability associated with the AAOWH. It turns out that the positive (negative) phase of JJASO AAOWH corresponds with several factors: decreased (increased) vertical zonal wind shear magnitude, low-level anomalous convergence (divergence), high-level anomalous divergence (convergence), and warmed (cooled) sea surface temperature in the tropical Atlantic. Therefore, the positive (negative) phase of JJASO AAOWH is favorable (unfavorable) to the tropical hurricane genesis.</t>
  </si>
  <si>
    <t>[Fan Ke] Chinese Acad Sci, Inst Atmospher Phys, Nansen Zhu Int Res Ctr, Beijing 100029, Peoples R China</t>
  </si>
  <si>
    <t>Chinese Academy of Sciences; Institute of Atmospheric Physics, CAS</t>
  </si>
  <si>
    <t>Fan, K (corresponding author), Chinese Acad Sci, Inst Atmospher Phys, Nansen Zhu Int Res Ctr, Beijing 100029, Peoples R China.</t>
  </si>
  <si>
    <t>fanke@mail.iap.ac.cn</t>
  </si>
  <si>
    <t>Fan, K/GXH-3734-2022; Fan, Ke/AAJ-2315-2020</t>
  </si>
  <si>
    <t>National Natural Science Foundation of China [40775049]; Major State Basic Research Development Program of China (973 Program) [2009CB421406]; IAP Key Innovation Programs [IAP07117, IAP09302]</t>
  </si>
  <si>
    <t>National Natural Science Foundation of China(National Natural Science Foundation of China (NSFC)); Major State Basic Research Development Program of China (973 Program)(National Basic Research Program of China); IAP Key Innovation Programs</t>
  </si>
  <si>
    <t>This research was jointly supported by the National Natural Science Foundation of China, under Grant No. 40775049; the Major State Basic Research Development Program of China (973 Program), under Grant No. 2009CB421406; and the IAP Key Innovation Programs IAP07117 and IAP09302.</t>
  </si>
  <si>
    <t>1674-2834</t>
  </si>
  <si>
    <t>2376-6123</t>
  </si>
  <si>
    <t>ATMOS OCEAN SCI LETT</t>
  </si>
  <si>
    <t>Atmos. Ocean. Sci. Lett.</t>
  </si>
  <si>
    <t>10.1080/16742834.2009.11446796</t>
  </si>
  <si>
    <t>VC3IW</t>
  </si>
  <si>
    <t>WOS:000433680100007</t>
  </si>
  <si>
    <t>Dupuy, E; Walker, KA; Kar, J; Boone, CD; McElroy, CT; Bernath, PF; Drummond, JR; Skelton, R; McLeod, SD; Hughes, RC; Nowlan, CR; Dufour, DG; Zou, J; Nichitiu, F; Strong, K; Baron, P; Bevilacqua, RM; Blumenstock, T; Bodeker, GE; Borsdorff, T; Bourassa, AE; Bovensmann, H; Boyd, IS; Bracher, A; Brogniez, C; Burrows, JP; Catoire, V; Ceccherini, S; Chabrillat, S; Christensen, T; Coffey, MT; Cortesi, U; Davies, J; De Clercq, C; Degenstein, DA; De Mazière, M; Demoulin, P; Dodion, J; Firanski, B; Fischer, H; Forbes, G; Froidevaux, L; Fussen, D; Gerard, P; Godin-Beekmann, S; Goutail, F; Granville, J; Griffith, D; Haley, CS; Hannigan, JW; Höpfner, M; Jin, JJ; Jones, A; Jones, NB; Jucks, K; Kagawa, A; Kasai, Y; Kerzenmacher, TE; Kleinböhl, A; Klekociuk, AR; Kramer, I; Küllmann, H; Kuttippurath, J; Kyrölä, E; Lambert, JC; Livesey, NJ; Llewellyn, EJ; Lloyd, ND; Mahieu, E; Manney, GL; Marshall, BT; McConnell, JC; McCormick, MP; McDermid, IS; McHugh, M; McLinden, CA; Mellqvist, J; Mizutani, K; Murayama, Y; Murtagh, DP; Oelhaf, H; Parrish, A; Petelina, SV; Piccolo, C; Pommereau, JP; Randall, CE; Robert, C; Roth, C; Schneider, M; Senten, C; Steck, T; Strandberg, A; Strawbridge, KB; Sussmann, R; Swart, DPJ; Tarasick, DW; Taylor, JR; Tétard, C; Thomason, LW; Thompson, AM; Tully, MB; Urban, J; Vanhellemont, F; Vigouroux, C; von Clarmann, T; von der Gathen, P; von Savigny, C; Waters, JW; Witte, JC; Wolff, M; Zawodny, JM</t>
  </si>
  <si>
    <t>Dupuy, E.; Walker, K. A.; Kar, J.; Boone, C. D.; McElroy, C. T.; Bernath, P. F.; Drummond, J. R.; Skelton, R.; McLeod, S. D.; Hughes, R. C.; Nowlan, C. R.; Dufour, D. G.; Zou, J.; Nichitiu, F.; Strong, K.; Baron, P.; Bevilacqua, R. M.; Blumenstock, T.; Bodeker, G. E.; Borsdorff, T.; Bourassa, A. E.; Bovensmann, H.; Boyd, I. S.; Bracher, A.; Brogniez, C.; Burrows, J. P.; Catoire, V.; Ceccherini, S.; Chabrillat, S.; Christensen, T.; Coffey, M. T.; Cortesi, U.; Davies, J.; De Clercq, C.; Degenstein, D. A.; Maziere, M. De; Demoulin, P.; Dodion, J.; Firanski, B.; Fischer, H.; Forbes, G.; Froidevaux, L.; Fussen, D.; Gerard, P.; Godin-Beekmann, S.; Goutail, F.; Granville, J.; Griffith, D.; Haley, C. S.; Hannigan, J. W.; Hoepfner, M.; Jin, J. J.; Jones, A.; Jones, N. B.; Jucks, K.; Kagawa, A.; Kasai, Y.; Kerzenmacher, T. E.; Kleinboehl, A.; Klekociuk, A. R.; Kramer, I.; Kuellmann, H.; Kuttippurath, J.; Kyroelae, E.; Lambert, J. -C.; Livesey, N. J.; Llewellyn, E. J.; Lloyd, N. D.; Mahieu, E.; Manney, G. L.; Marshall, B. T.; McConnell, J. C.; McCormick, M. P.; McDermid, I. S.; McHugh, M.; McLinden, C. A.; Mellqvist, J.; Mizutani, K.; Murayama, Y.; Murtagh, D. P.; Oelhaf, H.; Parrish, A.; Petelina, S. V.; Piccolo, C.; Pommereau, J. -P.; Randall, C. E.; Robert, C.; Roth, C.; Schneider, M.; Senten, C.; Steck, T.; Strandberg, A.; Strawbridge, K. B.; Sussmann, R.; Swart, D. P. J.; Tarasick, D. W.; Taylor, J. R.; Tetard, C.; Thomason, L. W.; Thompson, A. M.; Tully, M. B.; Urban, J.; Vanhellemont, F.; Vigouroux, C.; von Clarmann, T.; von der Gathen, P.; von Savigny, C.; Waters, J. W.; Witte, J. C.; Wolff, M.; Zawodny, J. M.</t>
  </si>
  <si>
    <t>Validation of ozone measurements from the Atmospheric Chemistry Experiment (ACE)</t>
  </si>
  <si>
    <t>ATMOSPHERIC CHEMISTRY AND PHYSICS</t>
  </si>
  <si>
    <t>GROUND-BASED FTIR; LIMB SCATTER MEASUREMENTS; TECHNICAL NOTE; STRATOSPHERIC OZONE; POAM-III; SAGE-II; VERTICAL-DISTRIBUTION; ERROR ANALYSIS; O-3 PROFILES; GEOPHYSICAL VALIDATION</t>
  </si>
  <si>
    <t>This paper presents extensive bias determination analyses of ozone observations from the Atmospheric Chemistry Experiment (ACE) satellite instruments: the ACE Fourier Transform Spectrometer (ACE-FTS) and the Measurement of Aerosol Extinction in the Stratosphere and Troposphere Retrieved by Occultation (ACE-MAESTRO) instrument. Here we compare the latest ozone data products from ACE-FTS and ACE-MAESTRO with coincident observations from nearly 20 satellite-borne, airborne, balloon-borne and ground-based instruments, by analysing volume mixing ratio profiles and partial column densities. The ACE-FTS version 2.2 Ozone Update product reports more ozone than most correlative measurements from the upper troposphere to the lower mesosphere. At altitude levels from 16 to 44 km, the average values of the mean relative differences are nearly all within +1 to +8%. At higher altitudes (45 60 km), the ACE-FTS ozone amounts are significantly larger than those of the comparison instruments, with mean relative differences of up to +40% (about + 20% on average). For the ACE-MAESTRO version 1.2 ozone data product, mean relative differences are within +/- 10% (average values within +/- 6%) between 18 and 40 km for both the sunrise and sunset measurements. At higher altitudes (similar to 35-55 km), systematic biases of opposite sign are found between the ACE-MAESTRO sunrise and sunset observations. While ozone amounts derived from the ACE-MAESTRO sunrise occultation data are often smaller than the coincident observations (with mean relative differences down to -10%), the sunset occultation profiles for ACE-MAESTRO show results that are qualitatively similar to ACE-FTS, indicating a large positive bias (mean relative differences within +10 to +30%) in the 45-55 km altitude range. In contrast, there is no significant systematic difference in bias found for the ACE-FTS sunrise and sunset measurements.</t>
  </si>
  <si>
    <t>[Dupuy, E.; Walker, K. A.; Boone, C. D.; Bernath, P. F.; Skelton, R.; McLeod, S. D.; Hughes, R. C.] Univ Waterloo, Dept Chem, Waterloo, ON N2L 3G1, Canada; [Walker, K. A.; Kar, J.; McElroy, C. T.; Drummond, J. R.; Nowlan, C. R.; Zou, J.; Nichitiu, F.; Strong, K.; Kerzenmacher, T. E.; Taylor, J. R.; Wolff, M.] Univ Toronto, Dept Phys, Toronto, ON, Canada; [McElroy, C. T.; Davies, J.; McLinden, C. A.; Tarasick, D. W.] Environm Canada, Downsview, ON, Canada; [Bernath, P. F.] Univ York, Dept Chem, York YO10 5DD, N Yorkshire, England; [Drummond, J. R.] Dalhousie Univ, Dept Phys &amp; Atmospher Sci, Halifax, NS, Canada; [Dufour, D. G.] Picomole Instruments Inc, Edmonton, AB, Canada; [Baron, P.; Kagawa, A.; Kasai, Y.; Mizutani, K.; Murayama, Y.] Natl Inst Informat &amp; Commun Technol NICT, Koganei, Tokyo, Japan; [Bevilacqua, R. M.] USN, Res Lab, Washington, DC 20375 USA; [Blumenstock, T.; Fischer, H.; Hoepfner, M.; Kramer, I.; Oelhaf, H.; Schneider, M.; Steck, T.; von Clarmann, T.] Forschungszentrum Karlsruhe, Inst Meteorol &amp; Klimaforsch, D-76021 Karlsruhe, Germany; [Blumenstock, T.; Fischer, H.; Hoepfner, M.; Kramer, I.; Oelhaf, H.; Schneider, M.; Steck, T.; von Clarmann, T.] Univ Karlsruhe, Karlsruhe, Germany; [Bodeker, G. E.] Natl Inst Water &amp; Atmospher Res, Lauder, New Zealand; [Borsdorff, T.; Sussmann, R.] Forschungszentrum Karlsruhe, Inst Meteorol &amp; Klimaforsch Atmosphar Umweltforsc, Garmisch Partenkirchen, Germany; [Bourassa, A. E.; Degenstein, D. A.; Llewellyn, E. J.; Lloyd, N. D.; Petelina, S. V.; Roth, C.] Univ Saskatchewan, Inst Space &amp; Atmospher Studies, Saskatoon, SK S7N 0W0, Canada; [Bovensmann, H.; Bracher, A.; Burrows, J. P.; Kleinboehl, A.; Kuellmann, H.; Kuttippurath, J.; von Savigny, C.] Univ Bremen, IUP, Bremen, Germany; [Boyd, I. S.] Univ Massachusetts, NIWA Environm Res Inst, Amherst, MA 01003 USA; [Brogniez, C.; Tetard, C.] Univ Lille 1, Opt Atmospher Lab, CNRS, F-59655 Villeneuve Dascq, France; [Catoire, V.; Robert, C.] Univ Orleans, CNRS, Lab Phys &amp; Chim Environm, Orleans, France; [Ceccherini, S.; Cortesi, U.] CNR, Inst Fis Applicata N Carrara IFAC, Sesto Fiorentino, Italy; [Chabrillat, S.; De Clercq, C.; Maziere, M. De; Dodion, J.; Fussen, D.; Gerard, P.; Granville, J.; Lambert, J. -C.; Senten, C.; Vanhellemont, F.; Vigouroux, C.] Inst Aeron Spatiale Belgique BIRA IASB, Brussels, Belgium; [Christensen, T.] Danish Meteorol Inst, Danish Climate Ctr, Copenhagen, Denmark; [Coffey, M. T.; Hannigan, J. W.] Natl Ctr Atmospher Res, Earth &amp; Sun Syst Lab, Boulder, CO 80307 USA; [Demoulin, P.; Mahieu, E.] Univ Liege, Inst Astrophys &amp; Geophys, Liege, Belgium; [Firanski, B.; Strawbridge, K. B.] Environm Canada, Ctr Atmospher Res Expt, Sci &amp; Technol Branch, Egbert, ON, Canada; [Forbes, G.] Environm Canada Sable Isl, Dartmouth, NS, Canada; [Froidevaux, L.; Kleinboehl, A.; Livesey, N. J.; Manney, G. L.; Waters, J. W.] CALTECH, Jet Prop Lab, Pasadena, CA USA; [Godin-Beekmann, S.; Kuttippurath, J.] Univ Paris 06, CNRS, Serv Aeron, Paris, France; [Goutail, F.; Pommereau, J. -P.] CNRS, Serv Aeron, F-91371 Verrieres Le Buisson, France; [Griffith, D.; Jones, N. B.] Univ Wollongong, Sch Chem, Wollongong, NSW, Australia; [Haley, C. S.] York Univ, Ctr Res Earth &amp; Space Sci, Toronto, ON M3J 2R7, Canada; [Jin, J. J.] York Univ, Dept Earth &amp; Space Sci &amp; Engn, Toronto, ON M3J 2R7, Canada; [Jones, A.; Mellqvist, J.; Murtagh, D. P.; Strandberg, A.; Urban, J.] Chalmers Univ Technol, Dept Radio &amp; Space Sci, S-41296 Gothenburg, Sweden; [Jucks, K.] Harvard Smithsonian Ctr Astrophys, Cambridge, MA 02138 USA; [Kagawa, A.] Fujitsu FIP Corp, Tokyo, Japan; [Klekociuk, A. R.] Australian Antarctic Div, Ice Ocean Atmosphere &amp; Climate IOAC Program, Kingston, Australia; [Kyroelae, E.] Finnish Meteorol Inst, Earth Observat, FIN-00101 Helsinki, Finland; [Manney, G. L.] New Mexico Inst Min &amp; Technol, Socorro, NM 87801 USA; [Marshall, B. T.; McHugh, M.] GATS Inc, Newport News, VA USA; [McCormick, M. P.; Thomason, L. W.; Zawodny, J. M.] NASA, Langley Res Ctr, Div Atmospher Sci, Hampton, VA 23665 USA; [McDermid, I. S.] Table Mt Facil, Jet Prop Lab, Wrightwood, CA USA; [Parrish, A.] Univ Massachusetts, Dept Astron, Amherst, MA 01003 USA; [Petelina, S. V.] La Trobe Univ, Dept Phys, Bundoora, Vic 3086, Australia; [Piccolo, C.] Univ Oxford, Oxford OX1 2JD, England; [Randall, C. E.] Univ Colorado, Atmospher &amp; Space Phys Lab, Boulder, CO 80309 USA; [Swart, D. P. J.] Natl Inst Publ Hlth &amp; Environm RIVM, Bilthoven, Netherlands; [Thompson, A. M.] Penn State Univ, Dept Meteorol, University Pk, PA 16802 USA; [Tully, M. B.] Bur Meteorol, Atmosphere Watch Sect, Melbourne, Vic, Australia; [von der Gathen, P.] Alfred Wegener Inst Polar &amp; Marine Res, Res Unit Potsdam, Potsdam, Germany; [Witte, J. C.] Sci Syst &amp; Applicat Inc, Lanham, MD USA; [Witte, J. C.] NASA, Goddard Space Flight Ctr, Greenbelt, MD 20771 USA</t>
  </si>
  <si>
    <t>University of Waterloo; University of Toronto; Environment &amp; Climate Change Canada; University of York - UK; Dalhousie University; National Institute of Information &amp; Communications Technology (NICT) - Japan; United States Department of Defense; United States Navy; Naval Research Laboratory; Helmholtz Association; Karlsruhe Institute of Technology; Helmholtz Association; Karlsruhe Institute of Technology; National Institute of Water &amp; Atmospheric Research (NIWA) - New Zealand; Helmholtz Association; Karlsruhe Institute of Technology; University of Saskatchewan; University of Bremen; University of Massachusetts System; University of Massachusetts Amherst; Universite de Lille; Centre National de la Recherche Scientifique (CNRS); Universite de Orleans; Centre National de la Recherche Scientifique (CNRS); Consiglio Nazionale delle Ricerche (CNR); Istituto di Fisica Applicata Nello Carrara (IFAC-CNR); Danish Meteorological Institute DMI; National Center Atmospheric Research (NCAR) - USA; University of Liege; Environment &amp; Climate Change Canada; Environment &amp; Climate Change Canada; California Institute of Technology; National Aeronautics &amp; Space Administration (NASA); NASA Jet Propulsion Laboratory (JPL); Sorbonne Universite; Centre National de la Recherche Scientifique (CNRS); Centre National de la Recherche Scientifique (CNRS); University of Wollongong; York University - Canada; York University - Canada; Chalmers University of Technology; Harvard University; Smithsonian Institution; Smithsonian Astrophysical Observatory; Fujitsu Ltd; Australian Antarctic Division; Finnish Meteorological Institute; New Mexico Institute of Mining Technology; National Aeronautics &amp; Space Administration (NASA); NASA Langley Research Center; National Aeronautics &amp; Space Administration (NASA); NASA Jet Propulsion Laboratory (JPL); University of Massachusetts System; University of Massachusetts Amherst; La Trobe University; University of Oxford; University of Colorado System; University of Colorado Boulder; Netherlands National Institute for Public Health &amp; the Environment; Pennsylvania Commonwealth System of Higher Education (PCSHE); Pennsylvania State University; Pennsylvania State University - University Park; Bureau of Meteorology - Australia; Helmholtz Association; Alfred Wegener Institute, Helmholtz Centre for Polar &amp; Marine Research; Science Systems and Applications Inc; National Aeronautics &amp; Space Administration (NASA); NASA Goddard Space Flight Center</t>
  </si>
  <si>
    <t>Dupuy, E (corresponding author), Univ Waterloo, Dept Chem, Waterloo, ON N2L 3G1, Canada.</t>
  </si>
  <si>
    <t>Baron, Philippe/I-5927-2018; Bodeker, Greg E/A-8870-2008; Drummond, James R/O-7467-2014; Bernath, Peter F/B-6567-2012; Blumenstock, Thomas/K-2263-2012; Manney, Gloria/JED-7207-2023; von der Gathen, Peter/B-8515-2009; Kuttippurath, Jayanarayanan/M-2878-2019; KASAI, Yasuko/Q-3103-2018; Ceccherini, Simone/AAA-9297-2019; Livesey, Nathaniel/AGQ-7257-2022; Burrows, John Philip/AAF-8468-2019; Lambert, Jean-Christopher/IUN-1096-2023; Urban, Jo/F-9172-2010; Kyrölä, Erkki T/E-1835-2014; Kerzenmacher, Tobias/AGN-7243-2022; Tully, Matthew/AAG-1730-2020; Bracher, Astrid/I-2672-2013; Tarasick, David Walter/IYS-7006-2023; Chabrillat, Simon/AAM-7850-2020; Jones, Nicholas/AFU-3135-2022; von Savigny, Christian/B-3910-2014; Thompson, Anne Mee/V-5862-2019; Bracher, Astrid/B-7805-2013; Jones, Nicholas B/G-5575-2011; Murayama, Yasuhiro/ABF-1698-2020; Sussmann, Ralf/K-3999-2012; Kuttippurath, Jayanarayanan/E-6441-2017; von Clarmann, Thomas/A-7287-2013; Schneider, Matthias/B-1441-2013; Jin, Jianjun/G-8357-2012; Oelhaf, Hermann A/A-7895-2013; Mellqvist, Johan/B-3473-2016; /F-8694-2011; Klekociuk, Andrew/A-4498-2015; Witte, Jacquelyn/H-7393-2013; Cortesi, Ugo/D-2704-2012; CATOIRE, Valery/E-9662-2015; Strong, Kimberly/D-2563-2012; RANDALL, CORA/L-8760-2014; Bovensmann, Heinrich/P-4135-2016; Hopfner, Michael/A-7255-2013; McLinden, Chris/A-7710-2010</t>
  </si>
  <si>
    <t>Baron, Philippe/0000-0001-7141-5260; Bernath, Peter F/0000-0002-1255-396X; Blumenstock, Thomas/0000-0003-4005-900X; von der Gathen, Peter/0000-0001-7409-1556; Kuttippurath, Jayanarayanan/0000-0003-4073-8918; Ceccherini, Simone/0000-0002-8902-2040; Burrows, John Philip/0000-0002-6821-5580; Lambert, Jean-Christopher/0000-0001-7243-6848; Urban, Jo/0000-0001-7026-793X; Kerzenmacher, Tobias/0000-0001-8413-0539; Tully, Matthew/0000-0002-6153-5610; Bracher, Astrid/0000-0003-3025-5517; Tarasick, David Walter/0000-0001-9869-0692; Chabrillat, Simon/0000-0003-4378-1567; Jones, Nicholas/0000-0002-0111-2368; Thompson, Anne Mee/0000-0002-7829-0920; Murayama, Yasuhiro/0000-0003-1129-334X; Sussmann, Ralf/0000-0002-1970-7538; Kuttippurath, Jayanarayanan/0000-0003-4073-8918; Mellqvist, Johan/0000-0002-6578-9220; /0000-0003-1539-3559; Klekociuk, Andrew/0000-0003-3335-0034; Hannigan, James/0000-0002-4269-1677; Witte, Jacquelyn/0000-0002-4110-5277; Bodeker, Gregory/0000-0003-1094-5852; Cortesi, Ugo/0000-0002-2827-5239; CATOIRE, Valery/0000-0001-8126-3096; Strong, Kimberly/0000-0001-9947-1053; RANDALL, CORA/0000-0002-4313-4397; Bovensmann, Heinrich/0000-0001-8882-4108; von Clarmann, Thomas/0000-0003-2219-3379; Hopfner, Michael/0000-0002-4174-9531; Mahieu, Emmanuel/0000-0002-5251-0286; Thomason, Larry/0000-0002-1902-0840; McLinden, Chris/0000-0001-5054-1380; von Savigny, Christian/0000-0001-7926-3986</t>
  </si>
  <si>
    <t>NSERC; CSA; CFCAS; ABB Bomem; Ontario Research and Development Challenge Fund; Premier's Excellence Research Award; University of Toronto; NASA [NNG05GN46G]</t>
  </si>
  <si>
    <t>NSERC(Natural Sciences and Engineering Research Council of Canada (NSERC)); CSA; CFCAS; ABB Bomem; Ontario Research and Development Challenge Fund; Premier's Excellence Research Award; University of Toronto(University of Toronto); NASA(National Aeronautics &amp; Space Administration (NASA))</t>
  </si>
  <si>
    <t>Work at the Toronto Atmospheric Observatory was supported by NSERC, CSA, CFCAS, ABB Bomem, the Ontario Research and Development Challenge Fund, the Premier's Excellence Research Award and the University of Toronto.; Thanks to B. Bojkov of the Aura Validation Data Center (AVDC) and the Aura-MLS Data Distribution Team for access to the Aura-MLS dataset (see http://avdc.gsfc.nasa.gov). Work at the Jet Propulsion Laboratory (JPL), California Institute of Technology (CalTech), is carried out under a contract with NASA. Work at the University of Massachusetts is supported by NASA under award No. NNG05GN46G.</t>
  </si>
  <si>
    <t>1680-7316</t>
  </si>
  <si>
    <t>1680-7324</t>
  </si>
  <si>
    <t>ATMOS CHEM PHYS</t>
  </si>
  <si>
    <t>Atmos. Chem. Phys.</t>
  </si>
  <si>
    <t>10.5194/acp-9-287-2009</t>
  </si>
  <si>
    <t>406WN</t>
  </si>
  <si>
    <t>WOS:000263325700001</t>
  </si>
  <si>
    <t>Hitchcock, P; Shepherd, TG; McLandress, C</t>
  </si>
  <si>
    <t>Hitchcock, P.; Shepherd, T. G.; McLandress, C.</t>
  </si>
  <si>
    <t>Past and future conditions for polar stratospheric cloud formation simulated by the Canadian Middle Atmosphere Model</t>
  </si>
  <si>
    <t>1999-2000 ARCTIC WINTER; INTERACTIVE CHEMISTRY; OZONE DEPLETION</t>
  </si>
  <si>
    <t>We analyze here the polar stratospheric temperatures in an ensemble of three 150-year integrations of the Canadian Middle Atmosphere Model (CMAM), an interactive chemistry-climate model which simulates ozone depletion and recovery, as well as climate change. A key motivation is to understand possible mechanisms for the observed trend in the extent of conditions favourable for polar stratospheric cloud (PSC) formation in the Arctic winter lower stratosphere. We find that in the Antarctic winter lower stratosphere, the low temperature extremes required for PSC formation increase in the model as ozone is depleted, but remain steady through the twenty-first century as the warming from ozone recovery roughly balances the cooling from climate change. Thus, ozone depletion itself plays a major role in the Antarctic trends in low temperature extremes. The model trend in low temperature extremes in the Arctic through the latter half of the twentieth century is weaker and less statistically robust than the observed trend. It is not projected to continue into the future. Ozone depletion in the Arctic is weaker in the CMAM than in observations, which may account for the weak past trend in low temperature extremes. In the future, radiative cooling in the Arctic winter due to climate change is more than compensated by an increase in dynamically driven downwelling over the pole.</t>
  </si>
  <si>
    <t>[Hitchcock, P.; Shepherd, T. G.; McLandress, C.] Univ Toronto, Dept Phys, Toronto, ON, Canada</t>
  </si>
  <si>
    <t>Hitchcock, P (corresponding author), Univ Toronto, Dept Phys, Toronto, ON, Canada.</t>
  </si>
  <si>
    <t>peterh@atmosp.physics.utoronto.ca</t>
  </si>
  <si>
    <t>Hitchcock, Peter/JLK-8563-2023</t>
  </si>
  <si>
    <t>Hitchcock, Peter/0000-0001-8993-3808</t>
  </si>
  <si>
    <t>Natural Sciences and Engineering Research Council; Canadian Foundation for Climate and Atmospheric Sciences</t>
  </si>
  <si>
    <t>Natural Sciences and Engineering Research Council(Natural Sciences and Engineering Research Council of Canada (NSERC)); Canadian Foundation for Climate and Atmospheric Sciences</t>
  </si>
  <si>
    <t>This research has been supported by the Natural Sciences and Engineering Research Council through a scholarship to the first author and by the Canadian Foundation for Climate and Atmospheric Sciences. The authors thank John Austin and an anonymous reviewer for their helpful comments and Michelle Santee for useful discussions.</t>
  </si>
  <si>
    <t>10.5194/acp-9-483-2009</t>
  </si>
  <si>
    <t>gold, Green Accepted, Green Submitted</t>
  </si>
  <si>
    <t>WOS:000263325700009</t>
  </si>
  <si>
    <t>Heikkilä, U; Beer, J; Feichter, J</t>
  </si>
  <si>
    <t>Heikkilae, U.; Beer, J.; Feichter, J.</t>
  </si>
  <si>
    <t>Meridional transport and deposition of atmospheric 10Be</t>
  </si>
  <si>
    <t>COSMOGENIC NUCLIDE PRODUCTION; SOLAR MODULATION; ANTARCTIC ICE; AEROSOL; SIMULATION; CYCLES; CORE</t>
  </si>
  <si>
    <t>Be-10 concentrations measured in ice cores exhibit larger temporal variability than expected based on theoretical production calculations. To investigate whether this is due to atmospheric transport a general circulation model study is performed with the Be-10 production divided into stratospheric, tropospheric tropical, tropospheric subtropical and tropospheric polar sources. A control run with present day Be-10 production rate is compared with a run during a geomagnetic minimum. The present Be-10 production rate is 4-5 times higher at high latitudes than in the tropics whereas during a period of no geomagnetic dipole field it is constant at all latitudes. The Be-10 deposition fluxes, however, show a very similar latitudinal distribution in both the present day and the geomagnetic minimum run indicating that Be-10 is well mixed in the atmosphere before its deposition. This is also confirmed by the fact that the contribution of Be-10 produced in the stratosphere is dominant (55%-70%) and relatively constant at all latitudes. The contribution of stratospheric Be-10 is approximately 70% in Greenland and 60% in Antarctica reflecting the weaker stratosphere-troposphere air exchange in the Southern Hemisphere.</t>
  </si>
  <si>
    <t>[Heikkilae, U.; Beer, J.] EAWAG, CH-8600 Dubendorf, Switzerland; [Feichter, J.] Max Planck Inst Meteorol, Hamburg, Germany</t>
  </si>
  <si>
    <t>Swiss Federal Institutes of Technology Domain; Swiss Federal Institute of Aquatic Science &amp; Technology (EAWAG); Max Planck Society</t>
  </si>
  <si>
    <t>Heikkilä, U (corresponding author), EAWAG, Uberlandstr 133, CH-8600 Dubendorf, Switzerland.</t>
  </si>
  <si>
    <t>ulla.heikkilae@eawag.ch</t>
  </si>
  <si>
    <t>NCCR Climate</t>
  </si>
  <si>
    <t>NCCR Climate(Swiss National Science Foundation (SNSF))</t>
  </si>
  <si>
    <t>We are grateful to the German Computer Centre (DKRZ) for providing us with the computing time. This project was financially supported by the NCCR Climate.</t>
  </si>
  <si>
    <t>10.5194/acp-9-515-2009</t>
  </si>
  <si>
    <t>Green Accepted, gold, Green Submitted</t>
  </si>
  <si>
    <t>WOS:000263325700011</t>
  </si>
  <si>
    <t>Theys, N; Van Roozendael, M; Errera, Q; Hendrick, F; Daerden, F; Chabrillat, S; Dorf, M; Pfeilsticker, K; Rozanov, A; Lotz, W; Burrows, JP; Lambert, JC; Goutail, F; Roscoe, HK; De Mazière, M</t>
  </si>
  <si>
    <t>Theys, N.; Van Roozendael, M.; Errera, Q.; Hendrick, F.; Daerden, F.; Chabrillat, S.; Dorf, M.; Pfeilsticker, K.; Rozanov, A.; Lotz, W.; Burrows, J. P.; Lambert, J. -C.; Goutail, F.; Roscoe, H. K.; De Maziere, M.</t>
  </si>
  <si>
    <t>A global stratospheric bromine monoxide climatology based on the BASCOE chemical transport model</t>
  </si>
  <si>
    <t>TROPOSPHERIC BRO; VISIBLE SPECTROMETERS; DOAS MEASUREMENTS; OZONE DEPLETION; ATMOSPHERIC CHEMISTRY; VERTICAL-DISTRIBUTION; LIMB MEASUREMENTS; ORGANIC BROMINE; BOUNDARY-LAYER; NO2</t>
  </si>
  <si>
    <t>A new climatology of stratospheric BrO profiles based on a parameterization using dynamical and chemical indicators has been developed, with the aim to apply it to the retrieval of tropospheric BrO columns from space nadir measurements. The adopted parameterization is based on three years of output data from the 3-D chemistry transport model BASCOE. The impact of the atmospheric dynamics on the stratospheric BrO distribution is treated by means of Br-y/ozone correlations built from 3-D-CTM model results, while photochemical effects are taken into account using stratospheric NO2 columns as an indicator of the BrO/Br-y ratio. The model simulations have been optimized for bromine chemistry and budget, and validated through comparisons using an extensive data set of ground-based, balloon-borne and satellite limb (SCIAMACHY) stratospheric BrO observations.</t>
  </si>
  <si>
    <t>[Theys, N.; Van Roozendael, M.; Errera, Q.; Hendrick, F.; Daerden, F.; Chabrillat, S.; Lambert, J. -C.; De Maziere, M.] Belgium Inst Space Aeron BIRA, Brussels, Belgium; [Dorf, M.; Pfeilsticker, K.] Heidelberg Univ, Inst Environm Phys, Heidelberg, Germany; [Rozanov, A.; Lotz, W.; Burrows, J. P.] Univ Bremen, Inst Environm Phys, Bremen, Germany; [Goutail, F.] CNRS, Serv Aeron, F-91371 Verrieres Le Buisson, France; [Roscoe, H. K.] British Antarctic Survey, Cambridge CB3 0ET, England</t>
  </si>
  <si>
    <t>Ruprecht Karls University Heidelberg; University of Bremen; Centre National de la Recherche Scientifique (CNRS); UK Research &amp; Innovation (UKRI); Natural Environment Research Council (NERC); NERC British Antarctic Survey</t>
  </si>
  <si>
    <t>Theys, N (corresponding author), Belgium Inst Space Aeron BIRA, Brussels, Belgium.</t>
  </si>
  <si>
    <t>theys@aeronomie.be</t>
  </si>
  <si>
    <t>Chabrillat, Simon/AAM-7850-2020; Burrows, John Philip/AAF-8468-2019; Lambert, Jean-Christopher/IUN-1096-2023; Daerden, Frank/S-8759-2017</t>
  </si>
  <si>
    <t>Chabrillat, Simon/0000-0003-4378-1567; Burrows, John Philip/0000-0002-6821-5580; Lambert, Jean-Christopher/0000-0001-7243-6848; Errera, Quentin/0000-0002-4818-4879; Rozanov, Alexei/0000-0003-4525-3223; Daerden, Frank/0000-0001-7433-1839</t>
  </si>
  <si>
    <t>Belgium Prodex; Ozone SAF; Belgian Federal Science Policy [PEA 90125]; German Ministry of Education and Research (BMF) through the German Aerospace Center (DLR) [50EE0727]; European Centre for Medium-Range Weather Forecasts (ECMWF); NERC [bas010020] Funding Source: UKRI; Natural Environment Research Council [bas010020] Funding Source: researchfish</t>
  </si>
  <si>
    <t>Belgium Prodex; Ozone SAF; Belgian Federal Science Policy(Belgian Federal Science Policy Office); German Ministry of Education and Research (BMF) through the German Aerospace Center (DLR)(Helmholtz AssociationGerman Aerospace Centre (DLR)Federal Ministry of Education &amp; Research (BMBF)); European Centre for Medium-Range Weather Forecasts (ECMWF); NERC(UK Research &amp; Innovation (UKRI)Natural Environment Research Council (NERC)); Natural Environment Research Council(UK Research &amp; Innovation (UKRI)Natural Environment Research Council (NERC))</t>
  </si>
  <si>
    <t>This research has been financially supported by the Belgium Prodex 8 contract NOy-Bry and the Ozone SAF (BrO visiting scientist) project. Q. Errera and S. Chabrillat are supported by the Belgian Federal Science Policy in the framework of the BASCOE Prodex project (PEA 90125). The authors wish to thank M. P. Chipperfield for providing us with SLIMCAT data, and ECMWF for providing us with meteorological analysis.; The ozone and nitrogen dioxide ground-based data used in this publication was obtained as part of the Network for the Detection of Atmospheric Composition Change (NDACC) and is publicly available (see http://www.ndacc.org).; The SCIAMACHY limb BrO retrieval activity was partially funded by the German Ministry of Education and Research (BMF) through the German Aerospace Center (DLR) within the SADOS project (50EE0727). The IUP Bremen group thanks the European Centre for Medium-Range Weather Forecasts (ECMWF) for providing the pressure and temperature information (ECMWF Special Project SPDECDIO). Some data shown here were calculated on German HLRN (High-Performance Computer Center North) and NIC/JUMP (Julich Multiprocessor System). Services and support are gratefully acknowledged.</t>
  </si>
  <si>
    <t>10.5194/acp-9-831-2009</t>
  </si>
  <si>
    <t>406WP</t>
  </si>
  <si>
    <t>WOS:000263325900006</t>
  </si>
  <si>
    <t>von Clarmann, T; Glatthor, N; Ruhnke, R; Stiller, GP; Kirner, O; Reddmann, T; Höpfner, M; Kellmann, S; Kouker, W; Linden, A; Funke, B</t>
  </si>
  <si>
    <t>von Clarmann, T.; Glatthor, N.; Ruhnke, R.; Stiller, G. P.; Kirner, O.; Reddmann, T.; Hoepfner, M.; Kellmann, S.; Kouker, W.; Linden, A.; Funke, B.</t>
  </si>
  <si>
    <t>HOCl chemistry in the Antarctic Stratospheric Vortex 2002, as observed with the Michelson Interferometer for Passive Atmospheric Sounding (MIPAS)</t>
  </si>
  <si>
    <t>NITRIC-ACID TRIHYDRATE; POLAR VORTEX; SOUTHERN-HEMISPHERE; OZONE PROFILES; WINTER; CLO; TEMPERATURE; GAS; DISTRIBUTIONS; VALIDATION</t>
  </si>
  <si>
    <t>In the 2002 Antarctic polar vortex enhanced HOCl mixing ratios were detected by the Michelson Interferometer for Passive Atmospheric Sounding both at altitudes of around 35 km (1000K potential temperature), where HOCl abundances are ruled by gas phase chemistry and at around 18-24 km (475-625 K), which belongs to the altitude domain where heterogeneous chlorine chemistry is relevant. At altitudes of 33 to 40 km polar vortex HOCl mixing ratios were found to be around 0.14 ppbv as long as the polar vortex was intact, centered at the pole, and thus received relatively little sunlight. This is the altitude region where in midlatitudinal and tropic atmospheres peak HOCl mixing ratios significantly above 0.2 ppbv (in terms of daily mean values) are observed. After deformation and displacement of the polar vortex in the course of a major warming, ClO-rich vortex air was more exposed to sunlight, where enhanced HOx abundances led to largely increased HOCl mixing ratios (up to 0.3 ppbv), exceeding typical midlatitudinal and tropical amounts significantly. The HOCl increase was preceded by an increase of ClO. Model runs could reproduce these measurements only when the Stimpfle et al. (1979) rate constant for the reaction ClO+HO2 -&gt; HOCl+O-2 was used but not with the current JPL recommendation. At an altitude of 24 km, HOCl mixing ratios of up to 0.15 ppbv were detected. This HOCl enhancement, which is already visible in 18 September data, is attributed to heterogeneous chemistry, which is in agreement with observations of polar stratospheric clouds. The measurements were compared to a model run where no polar stratospheric clouds appeared during the observation period. The fact that HOCl still was produced in the model run suggests that a significant part of HOCl was generated from ClO rather than directly via heterogeneous reaction. Excess ClO, lower ClONO2 and earlier loss of HOCl in the measurements are attributed to ongoing heterogeneous chemistry which is not reproduced by the model. On 11 October, polar vortex mean daytime mixing ratios were only 0.03 ppbv.</t>
  </si>
  <si>
    <t>[von Clarmann, T.; Glatthor, N.; Ruhnke, R.; Stiller, G. P.; Kirner, O.; Reddmann, T.; Hoepfner, M.; Kellmann, S.; Kouker, W.; Linden, A.] Forschungszentrum Karlsruhe, D-76021 Karlsruhe, Germany; [von Clarmann, T.; Glatthor, N.; Ruhnke, R.; Stiller, G. P.; Kirner, O.; Reddmann, T.; Hoepfner, M.; Kellmann, S.; Kouker, W.; Linden, A.] Univ Karlsruhe, Inst Meteorol &amp; Klimaforsch, Karlsruhe, Germany</t>
  </si>
  <si>
    <t>Helmholtz Association; Karlsruhe Institute of Technology; Helmholtz Association; Karlsruhe Institute of Technology</t>
  </si>
  <si>
    <t>von Clarmann, T (corresponding author), Univ Toulouse, UPS, CNRS, Lab Aerol, 14 Ave Edouard Belin, F-31400 Toulouse, France.</t>
  </si>
  <si>
    <t>thomas.clarmann@imk.fzk.de</t>
  </si>
  <si>
    <t>Ruhnke, Roland/J-8800-2012; Reddmann, Thomas/A-7681-2013; Glatthor, Norbert/B-2141-2013; von Clarmann, Thomas/A-7287-2013; Stiller, Gabriele P./A-7340-2013; Kirner, Oliver/K-8815-2015; Funke, Bernd/C-2162-2008; Hopfner, Michael/A-7255-2013</t>
  </si>
  <si>
    <t>Ruhnke, Roland/0000-0002-0353-1603; Reddmann, Thomas/0000-0003-1733-7016; Stiller, Gabriele P./0000-0003-2883-6873; Kirner, Oliver/0000-0001-5668-6177; Funke, Bernd/0000-0003-0462-4702; von Clarmann, Thomas/0000-0003-2219-3379; Hopfner, Michael/0000-0002-4174-9531</t>
  </si>
  <si>
    <t>10.5194/acp-9-1817-2009</t>
  </si>
  <si>
    <t>418FA</t>
  </si>
  <si>
    <t>gold, Green Published, Green Submitted</t>
  </si>
  <si>
    <t>WOS:000264132800019</t>
  </si>
  <si>
    <t>Newman, PA; Oman, LD; Douglass, AR; Fleming, EL; Frith, SM; Hurwitz, MM; Kawa, SR; Jackman, CH; Krotkov, NA; Nash, ER; Nielsen, JE; Pawson, S; Stolarski, RS; Velders, GJM</t>
  </si>
  <si>
    <t>Newman, P. A.; Oman, L. D.; Douglass, A. R.; Fleming, E. L.; Frith, S. M.; Hurwitz, M. M.; Kawa, S. R.; Jackman, C. H.; Krotkov, N. A.; Nash, E. R.; Nielsen, J. E.; Pawson, S.; Stolarski, R. S.; Velders, G. J. M.</t>
  </si>
  <si>
    <t>What would have happened to the ozone layer if chlorofluorocarbons (CFCs) had not been regulated?</t>
  </si>
  <si>
    <t>CLIMATE MODEL; SKIN-CANCER; CHLORINE; HALOGEN; PARAMETERIZATION; CIRCULATION; TROPOSPHERE; SCATTERING; TRENDS</t>
  </si>
  <si>
    <t>Ozone depletion by chlorofluorocarbons (CFCs) was first proposed by Molina and Rowland in their 1974 Nature paper. Since that time, the scientific connection between ozone losses and CFCs and other ozone depleting substances (ODSs) has been firmly established with laboratory measurements, atmospheric observations, and modeling studies. This science research led to the implementation of international agreements that largely stopped the production of ODSs. In this study we use a fully-coupled radiation-chemical-dynamical model to simulate a future world where ODSs were never regulated and ODS production grew at an annual rate of 3%. In this world avoided simulation, 17% of the globally-averaged column ozone is destroyed by 2020, and 67% is destroyed by 2065 in comparison to 1980. Large ozone depletions in the polar region become year-round rather than just seasonal as is currently observed in the Antarctic ozone hole. Very large temperature decreases are observed in response to circulation changes and decreased shortwave radiation absorption by ozone. Ozone levels in the tropical lower stratosphere remain constant until about 2053 and then collapse to near zero by 2058 as a result of heterogeneous chemical processes ( as currently observed in the Antarctic ozone hole). The tropical cooling that triggers the ozone collapse is caused by an increase of the tropical upwelling. In response to ozone changes, ultraviolet radiation increases, more than doubling the erythemal radiation in the northern summer midlatitudes by 2060.</t>
  </si>
  <si>
    <t>[Newman, P. A.; Hurwitz, M. M.] NASA, Goddard Space Flight Ctr, NASA Postdoctoral Program, Greenbelt, MD USA; [Oman, L. D.] Johns Hopkins Univ, Baltimore, MD USA; [Fleming, E. L.; Frith, S. M.; Nash, E. R.; Nielsen, J. E.] Sci Syst &amp; Applicat Inc, Lanham, MD USA; [Krotkov, N. A.] Univ Maryland Baltimore Cty, Goddard Earth Sci &amp; Technol Ctr, Baltimore, MD 21228 USA; [Velders, G. J. M.] Netherlands Environm Assessment Agcy, Bilthoven, Netherlands</t>
  </si>
  <si>
    <t>National Aeronautics &amp; Space Administration (NASA); NASA Goddard Space Flight Center; Johns Hopkins University; Science Systems and Applications Inc; National Aeronautics &amp; Space Administration (NASA); NASA Goddard Space Flight Center; University System of Maryland; University of Maryland Baltimore County; Netherlands National Institute for Public Health &amp; the Environment</t>
  </si>
  <si>
    <t>Newman, PA (corresponding author), NASA, Goddard Space Flight Ctr, NASA Postdoctoral Program, Greenbelt, MD USA.</t>
  </si>
  <si>
    <t>paul.a.newman@nasa.gov</t>
  </si>
  <si>
    <t>Frith, Stacey/HMD-9437-2023; Krotkov, Nickolay A/E-1541-2012; Jackman, Charles H/D-4699-2012; Stolarski, Richard S/B-8499-2013; Douglass, Anne R/D-4655-2012; Kawa, Stephan R/E-9040-2012; Pawson, Steven/I-1865-2014; Oman, Luke/C-2778-2009; Newman, Paul A./D-6208-2012; Velders, Guus/H-1204-2013</t>
  </si>
  <si>
    <t>Frith, Stacey/0000-0001-6894-0574; Krotkov, Nickolay A/0000-0001-6170-6750; Oman, Luke/0000-0002-5487-2598; Newman, Paul A./0000-0003-1139-2508; Velders, Guus/0000-0002-6597-7088</t>
  </si>
  <si>
    <t>NASA Atmospheric Chemistry Modeling and Analysis Program; Modeling, Analysis, and Prediction Program</t>
  </si>
  <si>
    <t>NASA Atmospheric Chemistry Modeling and Analysis Program(National Aeronautics &amp; Space Administration (NASA)); Modeling, Analysis, and Prediction Program</t>
  </si>
  <si>
    <t>This work was supported under the NASA Atmospheric Chemistry Modeling and Analysis Program and the Modeling, Analysis, and Prediction Program. GEOS CCM simulations were performed on NASA's Columbia platform using resources provided by NASA's High-End Computing initiative. We are also grateful for the helpful comments provided by David Fahey and several reviewers.</t>
  </si>
  <si>
    <t>10.5194/acp-9-2113-2009</t>
  </si>
  <si>
    <t>425GQ</t>
  </si>
  <si>
    <t>WOS:000264625400020</t>
  </si>
  <si>
    <t>Strahan, SE; Schoeberl, MR; Steenrod, SD</t>
  </si>
  <si>
    <t>Strahan, S. E.; Schoeberl, M. R.; Steenrod, S. D.</t>
  </si>
  <si>
    <t>The impact of tropical recirculation on polar composition</t>
  </si>
  <si>
    <t>TRANSPORT; CHEMISTRY; AIR; MODEL; AGE</t>
  </si>
  <si>
    <t>We derive the tropical modal age of air from an analysis of the water vapor tape recorder. We combine the observationally derived modal age with mean age of air from CO2 and SF6 to create diagnostics for the independent evaluation of the vertical transport rate and horizontal recirculation into the tropics between 16-32 km. These diagnostics are applied to two Global Modeling Initiative (GMI) chemistry and transport model (CTM) age tracer simulations to give new insights into the tropical transport characteristics of the meteorological fields from the GEOS4-GCM and the GEOS4-DAS. Both simulations are found to have modal ages that are in reasonable agreement with the empirically derived age (i.e., transit times) over the entire altitude range. Both simulations show too little horizontal recirculation into the tropics above 22 km, with the GEOS4-DAS fields having greater recirculation. Using CH4 as a proxy for mean age, comparisons between HALOE and model CH4 in the Antarctic demonstrate how the strength of tropical recirculation affects polar composition in both CTM experiments. Better tropical recirculation tends to improve the CH4 simulation in the Antarctic. However, mean age in the Antarctic lower stratosphere can be compromised by poor representation of tropical ascent, tropical recirculation, or vortex barrier strength. The connection between polar and tropical composition shown in this study demonstrates the importance of diagnosing each of these processes separately in order to verify the adequate representation of the processes contributing to polar composition in models.</t>
  </si>
  <si>
    <t>[Strahan, S. E.; Steenrod, S. D.] Univ Maryland Baltimore Cty, Goddard Earth Sci &amp; Technol Ctr, Baltimore, MD 21228 USA; [Schoeberl, M. R.] NASA, Goddard Space Flight Ctr, Greenbelt, MD 20771 USA</t>
  </si>
  <si>
    <t>University System of Maryland; University of Maryland Baltimore County; National Aeronautics &amp; Space Administration (NASA); NASA Goddard Space Flight Center; National Aeronautics &amp; Space Administration (NASA); NASA Goddard Space Flight Center</t>
  </si>
  <si>
    <t>Strahan, SE (corresponding author), Univ Maryland Baltimore Cty, Goddard Earth Sci &amp; Technol Ctr, Baltimore, MD 21228 USA.</t>
  </si>
  <si>
    <t>susan.e.strahan@.nasa.gov</t>
  </si>
  <si>
    <t>Steenrod, Stephen D/H-2218-2012; Strahan, Susan E/H-1965-2012</t>
  </si>
  <si>
    <t>NASA Modeling, Analysis, and Prediction Program</t>
  </si>
  <si>
    <t>NASA Modeling, Analysis, and Prediction Program(National Aeronautics &amp; Space Administration (NASA))</t>
  </si>
  <si>
    <t>This work was supported by the NASA Modeling, Analysis, and Prediction Program. We thank J. Rodriguez, Project Scientist of the Global Modeling Initiative, for scientific support; E. Nielsen for producing the GEOS4-GCM fields, and S. Pawson for producing a 3-h time averaged version of the GEOS4-DAS meteorological fields. We also thank Luke Oman and Darryn Waugh for insightful comments and discussion.</t>
  </si>
  <si>
    <t>10.5194/acp-9-2471-2009</t>
  </si>
  <si>
    <t>431YL</t>
  </si>
  <si>
    <t>WOS:000265100600013</t>
  </si>
  <si>
    <t>Takemura, T; Egashira, M; Matsuzawa, K; Ichijo, H; O'ishi, R; Abe-Ouchi, A</t>
  </si>
  <si>
    <t>Takemura, T.; Egashira, M.; Matsuzawa, K.; Ichijo, H.; O'ishi, R.; Abe-Ouchi, A.</t>
  </si>
  <si>
    <t>A simulation of the global distribution and radiative forcing of soil dust aerosols at the Last Glacial Maximum</t>
  </si>
  <si>
    <t>SEA-SURFACE TEMPERATURES; OPTICAL-THICKNESS; MINERAL AEROSOL; MODEL; CLIMATE; VEGETATION; RECONSTRUCTION; CIRCULATION; PALEOCLIMATE; MIDHOLOCENE</t>
  </si>
  <si>
    <t>In this study an integrated simulation of the global distribution and the radiative forcing of soil dust aerosols at the Last Glacial Maximum (LGM) is performed with an aerosol climate model, SPRINTARS. It is compared with another simulation for the present climate condition. The global total emission flux of soil dust aerosols at the LGM is simulated to be about 2.4 times as large as that in the present climate, and the simulated deposition flux is in general agreement with estimations from ice core and marine sediment samplings though it appears to be underestimated over the Antarctic. The calculated direct radiative forcings of soil dust aerosols at the LGM is close to zero at the tropopause and -0.4 W m(-2) at the surface. These radiative forcings are about twice as large as those in the present climate. SPRINTARS also includes the microphysical parameterizations of the cloud-aerosol interaction both for liquid water and ice crystals, which affect the radiation budget. The positive radiative forcing from the indirect effect of soil dust aerosols is mainly caused by their properties to act as ice nuclei. This effect is simulated to be smaller (-0.9 W m(-2)) at the LGM than in the present. It is suggested that atmospheric dust might contribute to the cold climate during the glacial periods both through the direct and indirect effects, relative to the interglacial periods.</t>
  </si>
  <si>
    <t>[Takemura, T.] Kyushu Univ, Res Inst Appl Mech, Fukuoka 812, Japan; [Egashira, M.; Matsuzawa, K.] Kyushu Univ, Interdisciplinary Grad Sch Engn Sci, Fukuoka 812, Japan; [Ichijo, H.; O'ishi, R.; Abe-Ouchi, A.] Univ Tokyo, Ctr Climate Syst Res, Chiba, Japan</t>
  </si>
  <si>
    <t>Kyushu University; Kyushu University; University of Tokyo</t>
  </si>
  <si>
    <t>Takemura, T (corresponding author), Kyushu Univ, Res Inst Appl Mech, Fukuoka 812, Japan.</t>
  </si>
  <si>
    <t>toshi@riam.kyushu-u.ac.jp</t>
  </si>
  <si>
    <t>Takemura, Toshihiko/C-2822-2009; Abe-Ouchi, Ayako A/M-6359-2013</t>
  </si>
  <si>
    <t>Takemura, Toshihiko/0000-0002-2859-6067; Abe-Ouchi, Ayako A/0000-0003-1745-5952; O'ishi, Ryouta/0000-0002-1001-9309</t>
  </si>
  <si>
    <t>Ministry of Education, Culture, Sports, Science, and Technology of Japan [18681002]; Grants-in-Aid for Scientific Research [18681002]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</si>
  <si>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</si>
  <si>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We would like to thank the contributors of development of SPRINTARS and MIROC, DIRTMAP investigators, and anonymous reviewers. The simulation in this study was performed on the NIES supercomputer system (NEC SX-8R). This study is supported by the Grant-in-Aid for Young Scientists (18681002) of the Ministry of Education, Culture, Sports, Science, and Technology of Japan.</t>
  </si>
  <si>
    <t>10.5194/acp-9-3061-2009</t>
  </si>
  <si>
    <t>447KJ</t>
  </si>
  <si>
    <t>WOS:000266189700013</t>
  </si>
  <si>
    <t>Jin, JJ; Semeniuk, K; Beagley, SR; Fomichev, VI; Jonsson, AI; McConnell, JC; Urban, J; Murtagh, D; Manney, GL; Boone, CD; Bernath, PF; Walker, KA; Barret, B; Ricaud, P; Dupuy, E</t>
  </si>
  <si>
    <t>Jin, J. J.; Semeniuk, K.; Beagley, S. R.; Fomichev, V. I.; Jonsson, A. I.; McConnell, J. C.; Urban, J.; Murtagh, D.; Manney, G. L.; Boone, C. D.; Bernath, P. F.; Walker, K. A.; Barret, B.; Ricaud, P.; Dupuy, E.</t>
  </si>
  <si>
    <t>Comparison of CMAM simulations of carbon monoxide (CO), nitrous oxide (N2O), and methane (CH4) with observations from Odin/SMR, ACE-FTS, and Aura/MLS</t>
  </si>
  <si>
    <t>MIDDLE ATMOSPHERE; SEMIANNUAL OSCILLATION; ANNUAL CYCLE; EOS MLS; VALIDATION; OZONE; CLIMATOLOGY; TEMPERATURE; STRATOSPHERE; CHEMISTRY</t>
  </si>
  <si>
    <t>Simulations of CO, N2O and CH4 from a coupled chemistry-climate model (CMAM) are compared with satellite measurements from Odin Sub-Millimeter Radiometer (Odin/SMR), Atmospheric Chemistry Experiment Fourier Transform Spectrometer (ACE-FTS), and Aura Microwave Limb Sounder (Aura/MLS). Pressure-latitude cross-sections and seasonal time series demonstrate that CMAM reproduces the observed global CO, N2O, and CH4 distributions quite well. Generally, excellent agreement with measurements is found between CO simulations and observations in the stratosphere and mesosphere. Differences between the simulations and the ACE-FTS observations are generally within 30%, and the differences between CMAM results and SMR and MLS observations are slightly larger. These differences are comparable with the difference between the instruments in the upper stratosphere and mesosphere. Comparisons of N2O show that CMAM results are usually within 15% of the measurements in the lower and middle stratosphere, and the observations are close to each other. However, the standard version of CMAM has a low N2O bias in the upper stratosphere. The CMAM CH4 distribution also reproduces the observations in the lower stratosphere, but has a similar but smaller negative bias in the upper stratosphere. The negative bias may be due to that the gravity drag is not fully resolved in the model. The simulated polar CO evolution in the Arctic and Antarctic agrees with the ACE and MLS observations. CO measurements from 2006 show evidence of enhanced descent of air from the mesosphere into the stratosphere in the Arctic after strong stratospheric sudden warmings (SSWs). CMAM also shows strong descent of air after SSWs. In the tropics, CMAM captures the annual oscillation in the lower stratosphere and the semiannual oscillations at the stratopause and mesopause seen in Aura/MLS CO and N2O observations and in Odin/SMR N2O observations. The Odin/SMR and Aura/MLS N2O observations also show a quasi-biennial oscillation (QBO) in the upper stratosphere, whereas, the CMAM does not have QBO included. This study confirms that CMAM is able to simulate middle atmospheric transport processes reasonably well.</t>
  </si>
  <si>
    <t>[Jin, J. J.; Semeniuk, K.; Beagley, S. R.; Fomichev, V. I.; McConnell, J. C.] York Univ, Dept Earth &amp; Space Sci &amp; Engn, Toronto, ON M3J 2R7, Canada; [Jonsson, A. I.; Walker, K. A.] Univ Toronto, Dept Phys, Toronto, ON, Canada; [Urban, J.; Murtagh, D.] Chalmers Univ Technol, Dept Radio &amp; Space Sci, S-41296 Gothenburg, Sweden; [Manney, G. L.] CALTECH, Jet Prop Lab, Pasadena, CA USA; [Manney, G. L.] New Mexico Inst Min &amp; Technol, Socorro, NM 87801 USA; [Boone, C. D.; Bernath, P. F.; Walker, K. A.; Dupuy, E.] Univ Waterloo, Dept Chem, Waterloo, ON N2L 3G1, Canada; [Bernath, P. F.] Univ York, Dept Chem, York YO10 5DD, N Yorkshire, England; [Barret, B.; Ricaud, P.] Univ Toulouse 3, Observ Midi Pyrenees, Lab Aerol, CNRS UMR 5560, F-31062 Toulouse, France</t>
  </si>
  <si>
    <t>York University - Canada; University of Toronto; Chalmers University of Technology; National Aeronautics &amp; Space Administration (NASA); NASA Jet Propulsion Laboratory (JPL); California Institute of Technology; New Mexico Institute of Mining Technology; University of Waterloo; University of York - UK; Centre National de la Recherche Scientifique (CNRS); CNRS - National Institute for Earth Sciences &amp; Astronomy (INSU); Universite de Toulouse; Universite Toulouse III - Paul Sabatier</t>
  </si>
  <si>
    <t>Jin, JJ (corresponding author), York Univ, Dept Earth &amp; Space Sci &amp; Engn, Toronto, ON M3J 2R7, Canada.</t>
  </si>
  <si>
    <t>jin@nimbus.yorku.ca</t>
  </si>
  <si>
    <t>Urban, Jo/F-9172-2010; Barret, Brice/I-9350-2012; Jin, Jianjun/G-8357-2012; Manney, Gloria/JED-7207-2023; Ricaud, Philippe/AAC-2991-2020; Jonsson, Andreas I/B-3887-2013; satellite, aeronomy mission The Odin/F-1671-2011; Bernath, Peter F/B-6567-2012; /F-8694-2011</t>
  </si>
  <si>
    <t>Urban, Jo/0000-0001-7026-793X; Barret, Brice/0000-0002-1784-4758; Jonsson, Andreas I/0000-0003-0321-6213; Bernath, Peter F/0000-0002-1255-396X; /0000-0003-1539-3559</t>
  </si>
  <si>
    <t>Canadian Space Agency (CSA); Natural Sciences and Engineering Research Council (NSERC) of Canada; Canadian Foundation for Climate and Atmospheric Science (CFCAS); United Kingdom Natural Environment Research Council (NERC); NERC [NE/F002041/1] Funding Source: UKRI; Natural Environment Research Council [NE/F002041/1] Funding Source: researchfish</t>
  </si>
  <si>
    <t>Canadian Space Agency (CSA)(Canadian Space Agency); Natural Sciences and Engineering Research Council (NSERC) of Canada(Natural Sciences and Engineering Research Council of Canada (NSERC)); Canadian Foundation for Climate and Atmospheric Science (CFCAS); United Kingdom 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</si>
  <si>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 the Canadian Space Agency (CSA), the Natural Sciences and Engineering Research Council (NSERC) of Canada, the Canadian Foundation for Climate and Atmospheric Science (CFCAS), and the United Kingdom Natural Environment Research Council (NERC) for support. Computing resources were also provided by the Canadian Foundation for Innovation and the Ontario Innovation Trust. Work at the Jet Propulsion Laboratory, California Institute of Technology was done under contract with the National Aeronautics and Space Administration. Odin is a Swedish-led satellite project funded jointly by the Swedish National Space Board (SNSB), the CSA, the Centre National d'Etudes Spatiales (CNES) in France, the National Technology Agency of Finland (Tekes), and the European Space Agency (ESA). Funding for ACE is provided by the CSA, the NSERC, Environment Canada, and the CFCAS.</t>
  </si>
  <si>
    <t>10.5194/acp-9-3233-2009</t>
  </si>
  <si>
    <t>452QJ</t>
  </si>
  <si>
    <t>WOS:000266556000001</t>
  </si>
  <si>
    <t>Frey, MM; Hutterli, MA; Chen, G; Sjostedt, SJ; Burkhart, JF; Friel, DK; Bales, RC</t>
  </si>
  <si>
    <t>Frey, M. M.; Hutterli, M. A.; Chen, G.; Sjostedt, S. J.; Burkhart, J. F.; Friel, D. K.; Bales, R. C.</t>
  </si>
  <si>
    <t>Contrasting atmospheric boundary layer chemistry of methylhydroperoxide (CH3OOH) and hydrogen peroxide (H2O2) above polar snow</t>
  </si>
  <si>
    <t>SOUTH-POLE; ICE CORE; GREENLAND; SUMMIT; AIR; FORMALDEHYDE; HYDROPEROXIDES; HYDROXYL; PHOTOCHEMISTRY; VARIABILITY</t>
  </si>
  <si>
    <t>Atmospheric hydroperoxides (ROOH) were measured at Summit, Greenland (72.97 degrees N, 38.77 degrees W) in summer 2003 (SUM03) and spring 2004 (SUM04) and South Pole in December 2003 (SP03). The two dominant hydroperoxides were H2O2 and CH3OOH (from here on MHP) with average (+/- 1 sigma) mixing ratios of 1448 (+/- 688) pptv, 204 (+/- 162) and 278 (+/- 67) for H2O2 and 578 (+/- 377) pptv, 139 (+/- 101) pptv and 138 (+/- 89) pptv for MHP, respectively. In early spring, MHP dominated the ROOH budget and showed night timemaxima and daytime minima, out of phase with the diurnal cycle of H2O2, suggesting that the organic peroxide is controlled by photochemistry, while H2O2 is largely influenced by temperature driven exchange between the atmosphere and snow. Highly constrained photochemical box model runs yielded median ratios between modeled and observed MHP of 52%, 148% and 3% for SUM03, SUM04 and SP03, respectively. At Summit firn air measurements and model calculations suggest a daytime sink of MHP in the upper snow pack, which decreases in strength through the spring season into the summer. Up to 50% of the estimated sink rates of 1-5 x 10(11) molecules m(-3) s(-1) equivalent to 24-96 pptv h(-1) can be explained by photolysis and reaction with the OH radical in firn air and in the quasi-liquid layer on snow grains. Rapid processing of MHP in surface snow is expected to contribute significantly to a photochemical snow pack source of formaldehyde (CH2O). Conversely, summer levels of MHP at South Pole are inconsistent with the prevailing high NO concentrations, and cannot be explained currently by known photochemical precursors or transport, thus suggesting a missing source. Simultaneous measurements of H2O2, MHP and CH2O allow to constrain the NO background today and potentially also in the past using ice cores, although it seems less likely that MHP is preserved in firn and ice.</t>
  </si>
  <si>
    <t>[Frey, M. M.; Hutterli, M. A.] British Antarctic Survey, Nat Environm Res Council, Cambridge CB3 0ET, England; [Frey, M. M.; Burkhart, J. F.; Bales, R. C.] Univ Calif, Sch Engn, Merced, CA USA; [Chen, G.] NASA, Langley Res Ctr, Hampton, VA 23665 USA; [Sjostedt, S. J.] Univ Toronto, Dept Chem, Toronto, ON M5S 1A1, Canada; [Friel, D. K.] Boston Coll, Dept Chem, Boston, MA USA; [Burkhart, J. F.] Norwegian Inst Air Res, Dept Atmospher &amp; Climate Sci, Kjeller, Norway</t>
  </si>
  <si>
    <t>UK Research &amp; Innovation (UKRI); Natural Environment Research Council (NERC); NERC British Antarctic Survey; University of California System; University of California Merced; National Aeronautics &amp; Space Administration (NASA); NASA Langley Research Center; University of Toronto; Boston College; NILU</t>
  </si>
  <si>
    <t>Frey, MM (corresponding author), British Antarctic Survey, Nat Environm Res Council, Cambridge CB3 0ET, England.</t>
  </si>
  <si>
    <t>maey@bas.ac.uk</t>
  </si>
  <si>
    <t>Burkhart, John/AAB-4744-2021; Sjostedt, Steven J/B-5032-2015; Frey, Markus/G-1756-2012; Burkhart, John/B-7095-2008</t>
  </si>
  <si>
    <t>National Science Foundations Office of Polar Programs [OPP-0636929, OPP-9814810, OPP-0230051, OPP-0221150]; Natural Environment Research Council [bas0100024, bas010016] Funding Source: researchfish; NERC [bas0100024, bas010016] Funding Source: UKRI</t>
  </si>
  <si>
    <t>National Science Foundations Office of Polar Programs(National Science Foundation (NSF)); Natural Environment Research Council(UK Research &amp; Innovation (UKRI)Natural Environment Research Council (NERC)); NERC(UK Research &amp; Innovation (UKRI)Natural Environment Research Council (NERC))</t>
  </si>
  <si>
    <t>This work was supported by the National Science Foundations Office of Polar Programs (OPP-0636929, OPP-9814810, OPP-0230051 and OPP-0221150). We thank A. Ohmura at the Institute for Atmospheric and Climate Science IAC, Swiss Federal Institute of Technology ETH for providing meteorological data for Summit, Greenland. Any opinions, findings, and conclusions or recommendations expressed in this material are those of the author(s) and do not necessarily reflect the views of the National Science Foundation.</t>
  </si>
  <si>
    <t>10.5194/acp-9-3261-2009</t>
  </si>
  <si>
    <t>WOS:000266556000003</t>
  </si>
  <si>
    <t>Shirsat, SV; Graf, HF</t>
  </si>
  <si>
    <t>Shirsat, S. V.; Graf, H. F.</t>
  </si>
  <si>
    <t>An emission inventory of sulfur from anthropogenic sources in Antarctica</t>
  </si>
  <si>
    <t>MARINE BOUNDARY-LAYER; AIRCRAFT EMISSIONS; SHIP EMISSIONS; ENVIRONMENTAL-IMPACT; ATMOSPHERIC SULFUR; DIOXIDE EMISSIONS; HEAVY-METAL; CLIMATE; NOX; PHOTOCHEMISTRY</t>
  </si>
  <si>
    <t>This paper presents first results of a comprehensive emission inventory of chemical species from anthropogenic activities (power generation, vehicles, ships and aircraft) in Antarctica, covering the 2004-2005 period. The inventory is based on estimated emission rates of fuel consumption provided by some of the Antarctic research stations. Since the emission sources have different modes of operation and use a variety of fuel, the emission flux rate of chemical species is calculated by multiplying the fuel consumption value with the density of fuel and appropriate emission factors. A separate inventory is prepared for each anthropogenic emission source in Antarctica. Depending on the type of operation, emission rates of SO2, and BC (Black Carbon, from shipping only) have been calculated using the above technique. However, only results of SO2 emissions from each source are presented here. Emission inventory maps of SO2 depicting the track/path taken by each mobile source are shown. The total annual SO2 is 158 Mg from power generation and vehicle operations, 3873 Mg from ships and 56 Mg from aircraft for 2004-2005 and these values undergo strong seasonality following the human activity in Antarctica. Though these figures are small when compared to the emissions at most other regions of the world, they are an indication that human presence in Antarctica leads to at least local pollution. The sources are mainly line and point sources and thus the local pollution potentially is relatively strong.</t>
  </si>
  <si>
    <t>[Shirsat, S. V.; Graf, H. F.] Univ Cambridge, Dept Geog, Cambridge CB2 3EN, England</t>
  </si>
  <si>
    <t>University of Cambridge</t>
  </si>
  <si>
    <t>Shirsat, SV (corresponding author), Univ Cambridge, Dept Geog, Downing Pl, Cambridge CB2 3EN, England.</t>
  </si>
  <si>
    <t>ss612@cam.ac.uk</t>
  </si>
  <si>
    <t>Graf, Hans/GQQ-2206-2022</t>
  </si>
  <si>
    <t>10.5194/acp-9-3397-2009</t>
  </si>
  <si>
    <t>WOS:000266556000012</t>
  </si>
  <si>
    <t>Cook, PA; Roscoe, HK</t>
  </si>
  <si>
    <t>Cook, P. A.; Roscoe, H. K.</t>
  </si>
  <si>
    <t>Variability and trends in stratospheric NO2 in Antarctic summer, and implications for stratospheric NOy</t>
  </si>
  <si>
    <t>SKY VISIBLE SPECTROMETERS; ERRORS; O3; IMPROVEMENTS; SPECTROSCOPY; ACCURACY; EXCHANGE; MODEL</t>
  </si>
  <si>
    <t>NO2 measurements during 1990-2007, obtained from a zenith-sky spectrometer in the Antarctic, are analysed to determine the long-term changes in NO2. An atmospheric photochemical box model and a radiative transfer model are used to improve the accuracy of determination of the vertical columns from the slant column measurements, and to deduce the amount of NOy from NO2. We find that the NO2 and NOy columns in midsummer have large inter-annual variability superimposed on a broad maximum in 2000, with little or no overall trend over the full time period. These changes are robust to a variety of alternative settings when determining vertical columns from slant columns or determining NOy from NO2. They may signify similar changes in speed of the Brewer-Dobson circulation but with opposite sign, i.e. a broad minimum around 2000. Multiple regressions show significant correlation with solar and quasi-biennial-oscillation indices, and weak correlation with El Nino, but no significant overall trend, corresponding to an increase in Brewer-Dobson circulation of 1.4+/-3.5%/decade. There remains an unexplained cycle of amplitude and period at least 15% and 17 years, with minimum speed in about 2000.</t>
  </si>
  <si>
    <t>[Cook, P. A.; Roscoe, H. K.] British Antarctic Survey, Cambridge CB3 0ET, England</t>
  </si>
  <si>
    <t>Roscoe, HK (corresponding author), British Antarctic Survey, Madingley Rd, Cambridge CB3 0ET, England.</t>
  </si>
  <si>
    <t>hkro@bas.ac.uk</t>
  </si>
  <si>
    <t>EU [036677]; NERC [bas010011, bas010020] Funding Source: UKRI; Natural Environment Research Council [bas010020, bas010011] Funding Source: researchfish</t>
  </si>
  <si>
    <t>EU(European Union (EU)); NERC(UK Research &amp; Innovation (UKRI)Natural Environment Research Council (NERC)); Natural Environment Research Council(UK Research &amp; Innovation (UKRI)Natural Environment Research Council (NERC))</t>
  </si>
  <si>
    <t>Funding was provided by the EU as part of the GEOMON project (contract number 036677). ECMWF operational analyses data and ERA 40 reanalysis data were obtained from the British Atmospheric Data Centre. We thank the WinDOAS authors Michel van Roozendael and Caroline Fayt of IASB, Belgium, and Martyn P. Chipperfield and Wuhu Feng of the School of Earth and Environment, University of Leeds, UK, for the box model and the climatology. Finally, we thank referees for stimulating us to do the multiple regressions.</t>
  </si>
  <si>
    <t>10.5194/acp-9-3601-2009</t>
  </si>
  <si>
    <t>457XD</t>
  </si>
  <si>
    <t>WOS:000266968200008</t>
  </si>
  <si>
    <t>Martinerie, P; Nourtier-Mazauric, E; Barnola, JM; Sturges, WT; Worton, DR; Atlas, E; Gohar, LK; Shine, KP; Brasseur, GP</t>
  </si>
  <si>
    <t>Martinerie, P.; Nourtier-Mazauric, E.; Barnola, J. -M.; Sturges, W. T.; Worton, D. R.; Atlas, E.; Gohar, L. K.; Shine, K. P.; Brasseur, G. P.</t>
  </si>
  <si>
    <t>Long-lived halocarbon trends and budgets from atmospheric chemistry modelling constrained with measurements in polar firn</t>
  </si>
  <si>
    <t>SULFUR-HEXAFLUORIDE; GAS CONCENTRATIONS; MONTREAL PROTOCOL; AIR; LIFETIMES; ICE; HISTORIES; EMISSIONS; CFC-12; SF6</t>
  </si>
  <si>
    <t>The budgets of seven halogenated gases (CFC-11, CFC-12, CFC-113, CFC-114, CFC-115, CCl4 and SF6) are studied by comparing measurements in polar firn air from two Arctic and three Antarctic sites, and simulation results of two numerical models: a 2-D atmospheric chemistry model and a 1-D firn diffusion model. The first one is used to calculate atmospheric concentrations from emission trends based on industrial inventories; the calculated concentration trends are used by the second one to produce depth concentration profiles in the firn. The 2-D atmospheric model is validated in the boundary layer by comparison with atmospheric station measurements, and vertically for CFC-12 by comparison with balloon and FTIR measurements. Firn air measurements provide constraints on historical atmospheric concentrations over the last century. Age distributions in the firn are discussed using a Green function approach. Finally, our results are used as input to a radiative model in order to evaluate the radiative forcing of our target gases. Multi-species and multi-site firn air studies allow to better constrain atmospheric trends. The low concentrations of all studied gases at the bottom of the firn, and their consistency with our model results confirm that their natural sources are small. Our results indicate that the emissions, sinks and trends of CFC-11, CFC-12, CFC-113, CFC-115 and SF6 are well constrained, whereas it is not the case for CFC-114 and CCl4. Significant emission-dependent changes in the lifetimes of halocarbons destroyed in the stratosphere were obtained. Those result from the time needed for their transport from the surface where they are emitted to the stratosphere where they are destroyed. Efforts should be made to update and reduce the large uncertainties on CFC lifetimes.</t>
  </si>
  <si>
    <t>[Martinerie, P.; Nourtier-Mazauric, E.; Barnola, J. -M.] Univ Grenoble 1, CNRS, UMR 5183, INSU,Lab Glaciol &amp; Geophys Environm, F-38402 St Martin Dheres, France; [Sturges, W. T.; Worton, D. R.] Univ E Anglia, Sch Environm Sci, Norwich NR4 7TJ, Norfolk, England; [Atlas, E.] Univ Miami, Rosenstiel Sch Marine &amp; Atmospher Sci, Miami, FL 33149 USA; [Gohar, L. K.; Shine, K. P.] Univ Reading, Dept Meteorol, Reading RG6 6BB, Berks, England; [Brasseur, G. P.] Natl Ctr Atmospher Res, Boulder, CO 80307 USA</t>
  </si>
  <si>
    <t>Centre National de la Recherche Scientifique (CNRS); CNRS - National Institute for Earth Sciences &amp; Astronomy (INSU); Communaute Universite Grenoble Alpes; Universite Grenoble Alpes (UGA); University of East Anglia; University of Miami; University of Reading; National Center Atmospheric Research (NCAR) - USA</t>
  </si>
  <si>
    <t>Martinerie, P (corresponding author), Univ Grenoble 1, CNRS, UMR 5183, INSU,Lab Glaciol &amp; Geophys Environm, BP 96, F-38402 St Martin Dheres, France.</t>
  </si>
  <si>
    <t>patricia@lgge.obs.ujf-grenoble.fr</t>
  </si>
  <si>
    <t>Sturges, William/B-8248-2012; Atlas, Elliot/J-8171-2015; Martinerie, Patricia/N-5731-2017; Atlas, Elliot/AAE-4605-2021; Shine, Keith/D-9093-2012; Worton, David/A-8374-2012</t>
  </si>
  <si>
    <t>Martinerie, Patricia/0000-0002-6820-2296; Shine, Keith/0000-0003-2672-9978; Atlas, Elliot/0000-0003-3847-5346; Worton, David/0000-0002-6558-5586</t>
  </si>
  <si>
    <t>CRYOSTAT [EUK2-CT2001-00116]; FIRETRACC [ENV4-CT97-0406]; CNRS-INSU; NERC [NE/F021194/1] Funding Source: UKRI</t>
  </si>
  <si>
    <t>CRYOSTAT; FIRETRACC; CNRS-INSU(Centre National de la Recherche Scientifique (CNRS)); NERC(UK Research &amp; Innovation (UKRI)Natural Environment Research Council (NERC))</t>
  </si>
  <si>
    <t>We are grateful to Steve Montzka for his help at selecting the best data among the ESRL records and to Emmanuel Witrant for useful discussions about the mathematical and numerical aspects of firn models. We also thank the people involved in field campaigns and acquisition of data used in this study, especially Paul Begley, Carl Brenninkmeijer, Robert Mulvaney and Jakob Schwander. This work was funded by the CEC programmes: EUK2-CT2001-00116 (CRYOSTAT) and ENV4-CT97-0406 (FIRETRACC).; The publication of this article is financed by CNRS-INSU.</t>
  </si>
  <si>
    <t>10.5194/acp-9-3911-2009</t>
  </si>
  <si>
    <t>462CX</t>
  </si>
  <si>
    <t>WOS:000267324700006</t>
  </si>
  <si>
    <t>Hu, Y; Fu, Q</t>
  </si>
  <si>
    <t>Hu, Y.; Fu, Q.</t>
  </si>
  <si>
    <t>Stratospheric warming in Southern Hemisphere high latitudes since 1979</t>
  </si>
  <si>
    <t>PLANETARY WAVE ACTIVITY; ATLANTIC CLIMATE-CHANGE; OZONE DEPLETION; TEMPERATURE TRENDS; MSU CHANNEL-2; TROPOSPHERE; REANALYSIS; OCEAN; SIMULATIONS; EXCHANGE</t>
  </si>
  <si>
    <t>In the present study, we show evidence of significant stratospheric warming over Southern Hemisphere high latitudes and large portions of the Antarctic polar region in winter and spring seasons, with a maximum warming of 7-8 degrees C in September and October, using satellite Microwave Sounding Unit observations for 1979-2006. It is found that this warming is associated with increasing wave activity from the troposphere into the stratosphere, suggesting that the warming is caused by enhanced wave-driven adiabatic heating. We show that the stratospheric warming in Southern Hemisphere high latitudes has close correlations with sea surface temperature (SST) increases, and that general circulation model simulations forced with observed time-varying SSTs reproduce similar warming trend patterns in the Antarctic stratosphere. The simulated stratospheric warming is closely related to increasing wave activity in the Southern Hemisphere. These findings suggest that the stratospheric warming is likely induced by SST warming. As SST warming continues as a consequence of greenhouse gas increases due to anthropogenic activity, the stratospheric warming would also continue, which has important implications to the recovery of the Antarctic ozone hole.</t>
  </si>
  <si>
    <t>[Hu, Y.] Peking Univ, Dept Atmospher Sci, Beijing 100871, Peoples R China; [Fu, Q.] Univ Washington, Dept Atmospher Sci, Seattle, WA 98195 USA</t>
  </si>
  <si>
    <t>Peking University; University of Washington; University of Washington Seattle</t>
  </si>
  <si>
    <t>Hu, Y (corresponding author), Peking Univ, Dept Atmospher Sci, Beijing 100871, Peoples R China.</t>
  </si>
  <si>
    <t>yyhu@pku.edu.cn</t>
  </si>
  <si>
    <t>Hu, Yongyun/B-6786-2016; Fu, Qiang/W-5836-2019</t>
  </si>
  <si>
    <t>Hu, Yongyun/0000-0002-4003-4630;</t>
  </si>
  <si>
    <t>NSF of China [40575031, 40533016]; Ministry of Education of China [106002]; National Basic Research Program of China [2007CB411801]; NOAA [NA08OAR4310725]</t>
  </si>
  <si>
    <t>NSF of China(National Natural Science Foundation of China (NSFC)); Ministry of Education of China(Ministry of Education, China); National Basic Research Program of China(National Basic Research Program of China); NOAA(National Oceanic Atmospheric Admin (NOAA) - USA)</t>
  </si>
  <si>
    <t>Y. Hu is supported by grants from the NSF of China ( 40575031 and 40533016), the Ministry of Education of China ( 106002), and the National Basic Research Program of China (2007CB411801). Q. Fu is supported by NOAA Grant NA08OAR4310725. GCM simulations were done when Y. Hu Columbia University. We thank D. L. Hartmann, L. Jaegle, C. B. Leovy, and J. M. Wallace for critical discussion and reading of the manuscript. We also thank J. Zhu for his assistance in part of data analysis.</t>
  </si>
  <si>
    <t>10.5194/acp-9-4329-2009</t>
  </si>
  <si>
    <t>470OG</t>
  </si>
  <si>
    <t>WOS:000267984400010</t>
  </si>
  <si>
    <t>Jones, AE; Anderson, PS; Begoin, M; Brough, N; Hutterli, MA; Marshall, GJ; Richter, A; Roscoe, HK; Wolff, EW</t>
  </si>
  <si>
    <t>Jones, A. E.; Anderson, P. S.; Begoin, M.; Brough, N.; Hutterli, M. A.; Marshall, G. J.; Richter, A.; Roscoe, H. K.; Wolff, E. W.</t>
  </si>
  <si>
    <t>BrO, blizzards, and drivers of polar tropospheric ozone depletion events</t>
  </si>
  <si>
    <t>BOUNDARY-LAYER; SURFACE OZONE; BLOWING SNOW; BROMINE; GOME; SEA; CHEMISTRY; MECHANISM; RELEASE; FLUXES</t>
  </si>
  <si>
    <t>The source of bromine that drives polar boundary layer ozone depletion events (ODEs) is still open to some debate. While ODEs are generally noted to form under conditions of a shallow stable boundary layer, observations of depleted air under high wind conditions are taken as being transport-related. Here we report observations from Antarctica in which an unusually large cloud of BrO formed over the Weddell Sea. The enhanced BrO was observed over Halley station in coastal Antarctica, providing an opportunity to probe the conditions within an active 'bromine explosion' event. On this occasion, enhanced BrO and depleted boundary layer ozone coincided with high wind speeds and saline blowing snow. We derive a simple model to consider the environmental conditions that favour ODEs and find two maxima, one at low wind/stable boundary layer and one at high wind speeds with blowing snow. Modelling calculations aiming to reproduce the wider regional or global impacts of ODEs, either via radiative effects or as a halogen source, will also need to account for high wind speed mechanisms.</t>
  </si>
  <si>
    <t>[Jones, A. E.; Anderson, P. S.; Brough, N.; Hutterli, M. A.; Marshall, G. J.; Roscoe, H. K.; Wolff, E. W.] British Antarctic Survey, Nat Environm Res Council, Cambridge CB3 0ET, England; [Begoin, M.; Richter, A.] Univ Bremen, Inst Environm Phys, D-28359 Bremen, Germany</t>
  </si>
  <si>
    <t>UK Research &amp; Innovation (UKRI); Natural Environment Research Council (NERC); NERC British Antarctic Survey; University of Bremen</t>
  </si>
  <si>
    <t>Jones, AE (corresponding author), British Antarctic Survey, Nat Environm Res Council, High Cross,Madingley Rd, Cambridge CB3 0ET, England.</t>
  </si>
  <si>
    <t>aejo@bas.ac.uk</t>
  </si>
  <si>
    <t>brough, neil/AAG-8550-2019; Wolff, Eric W/D-7925-2014; Richter, Andreas/C-4971-2008</t>
  </si>
  <si>
    <t>brough, neil/0000-0002-2316-5292; Wolff, Eric W/0000-0002-5914-8531; Begoin, Mathias/0000-0003-3922-8638; Richter, Andreas/0000-0003-3339-212X</t>
  </si>
  <si>
    <t>DFG; NERC [bas0100024] Funding Source: UKRI; Natural Environment Research Council [bas0100024] Funding Source: researchfish</t>
  </si>
  <si>
    <t>DFG(German Research Foundation (DFG)); NERC(UK Research &amp; Innovation (UKRI)Natural Environment Research Council (NERC)); Natural Environment Research Council(UK Research &amp; Innovation (UKRI)Natural Environment Research Council (NERC))</t>
  </si>
  <si>
    <t>The authors gratefully acknowledge the NOAA Air Resources Laboratory (ARL) for the provision of the HYSPLIT transport and dispersion model, available on the READY website (http://www.arl.noaa.gov/ready.html), that was used in this publication. We are grateful to the British Antarctic Survey overwintering staff who carried out the snow pit sampling of 19 October, and to Louise Thilthorpe for carrying out the snow sample ionic analyses. We thank Steve Colwell for making available Halley meteorological data. Analysis of the satellite BrO data was supported by the DFG through the SALT project. Finally we thank Xin Yang for useful discussions, and two anonymous referees for very useful comments.</t>
  </si>
  <si>
    <t>10.5194/acp-9-4639-2009</t>
  </si>
  <si>
    <t>477RF</t>
  </si>
  <si>
    <t>WOS:000268535500009</t>
  </si>
  <si>
    <t>Alexander, B; Hastings, MG; Allman, DJ; Dachs, J; Thornton, JA; Kunasek, SA</t>
  </si>
  <si>
    <t>Alexander, B.; Hastings, M. G.; Allman, D. J.; Dachs, J.; Thornton, J. A.; Kunasek, S. A.</t>
  </si>
  <si>
    <t>Quantifying atmospheric nitrate formation pathways based on a global model of the oxygen isotopic composition (δ17O) of atmospheric nitrate</t>
  </si>
  <si>
    <t>UNITED-STATES; OZONE PHOTOCHEMISTRY; TROPOSPHERIC OZONE; PEROXY-RADICALS; NITROGEN-OXIDES; ANTARCTIC FIRN; DRY DEPOSITION; BOUNDARY-LAYER; WATER-VAPOR; AIR-QUALITY</t>
  </si>
  <si>
    <t>The oxygen isotopic composition (delta O-17) of atmospheric nitrate is a function of the relative abundance of atmospheric oxidants (O-3, ROx=OH+HO2+RO2) and the formation pathway of nitrate from its precursor NOx (=NO+NO2). Coupled observations and modeling of nitrate delta O-17 can be used to quantify the relative importance of chemical formation pathways leading to nitrate formation and reduce uncertainties in the budget of reactive nitrogen chemistry in the atmosphere. We present the first global model of atmospheric nitrate delta O-17 and compare with available observations. The largest uncertainty for calculations of nitrate delta O-17 is the unconstrained variability in the delta O-17 value of tropospheric ozone. The model shows the best agreement with a global compilation of observations when assuming a delta O-17 value of tropospheric ozone equal to 35 parts per thousand and preferential oxidation of NOx by the terminal oxygen atoms of ozone. Calculated values of annual-mean nitrate delta O-17 in the lowest model layer (0-200 m above the surface) vary from 7 parts per thousand in the tropics to 41 parts per thousand in the polar-regions. The global, annual-mean tropospheric inorganic nitrate burden is dominated by nitrate formation via NO2+OH (76%), followed by N2O5 hydrolysis (18%) and NO3+DMS/HC (4%). Calculated nitrate delta O-17 is sensitive to the relative importance of each nitrate formation pathway, suggesting that observations of nitrate delta O-17 can be used to quantify the importance of individual reactions (e.g. N2O5 hydrolysis) leading to nitrate formation if the delta O-17 value of ozone is known.</t>
  </si>
  <si>
    <t>[Alexander, B.; Allman, D. J.; Thornton, J. A.] Univ Washington, Dept Atmospher Sci, Seattle, WA 98195 USA; [Hastings, M. G.] Brown Univ, Dept Geol Sci, Providence, RI 02912 USA; [Hastings, M. G.] Brown Univ, Environm Change Initiat, Providence, RI 02912 USA; [Dachs, J.] IDAEA CSIC, Inst Environm Assessment &amp; Water Studies, Dept Environm Chem, Barcelona, Spain; [Kunasek, S. A.] Univ Washington, Dept Earth &amp; Space Sci, Seattle, WA 98195 USA</t>
  </si>
  <si>
    <t>University of Washington; University of Washington Seattle; Brown University; Brown University; Consejo Superior de Investigaciones Cientificas (CSIC); CSIC - Centro de Investigacion y Desarrollo Pascual Vila (CID-CSIC); CSIC - Instituto de Diagnostico Ambiental y Estudios del Agua (IDAEA); University of Washington; University of Washington Seattle</t>
  </si>
  <si>
    <t>Alexander, B (corresponding author), Univ Washington, Dept Atmospher Sci, Seattle, WA 98195 USA.</t>
  </si>
  <si>
    <t>beckya@u.washington.edu</t>
  </si>
  <si>
    <t>Alexander, Becky/N-7048-2013; Thornton, Joel/C-1142-2009; Hastings, Meredith/C-6199-2008</t>
  </si>
  <si>
    <t>Alexander, Becky/0000-0001-9915-4621; Thornton, Joel/0000-0002-5098-4867; Hastings, Meredith/0000-0001-6716-6783; Dachs, Jordi/0000-0002-4237-169X</t>
  </si>
  <si>
    <t>Spanish Ministry of Science and Innovation; NSF [NSF-ATM 0607846]; NOAA [NA17RJ1232]</t>
  </si>
  <si>
    <t>Spanish Ministry of Science and Innovation(Spanish Government); NSF(National Science Foundation (NSF)); NOAA(National Oceanic Atmospheric Admin (NOAA) - USA)</t>
  </si>
  <si>
    <t>We gratefully acknowledge funding of the COCA cruise by the Spanish Ministry of Science and Innovation, and financial support for this project from the NSF Atmospheric Chemistry Program under grant NSF-ATM 0607846 to B. Alexander. M. G. Hastings acknowledges partial support from the Joint Institute for the Study of the Atmosphere and Ocean (JISAO) under NOAA cooperative agreement No. NA17RJ1232 (contribution # 1761). We thank Dean Hegg and Andrew Schauer for assistance with nitrate concentration and isotopic measurements, respectively, for the COCA samples, and Lauren Brothers for sharing her data from Ecuador.</t>
  </si>
  <si>
    <t>10.5194/acp-9-5043-2009</t>
  </si>
  <si>
    <t>WOS:000268535500033</t>
  </si>
  <si>
    <t>Weare, BC</t>
  </si>
  <si>
    <t>Weare, B. C.</t>
  </si>
  <si>
    <t>Dynamical modes associated with the Antarctic ozone hole</t>
  </si>
  <si>
    <t>REANALYSIS</t>
  </si>
  <si>
    <t>Generalized Maximum Covariance Analysis (GMCA) has been developed and applied to diagnosing the dynamical modes associated with variations in the Antarctic spring ozone hole. GMCA is used to identify the most important patterns of co-variability between interannual ozone mixing ratio variations in the Antarctic region and temperature, zonal, meridional and vertical velocities between 100 and 10 hPa in the same region. The most important two pairs of GMCA time coefficients show large year-to-year variations and trends, which are connected with the growth of the Antarctic Ozone Hole and the increase of ozone depleting substances. The associated spatial patterns of ozone variations may be characterized as being quasi-symmetric and asymmetric about the pole. These patterns of ozone variations are associated with comparable patterns of variations of temperature and winds through most of the vertical domain. The year 2000 is shown to be dominated by the asymmetric mode, whereas the adjacent year 2001 is dominated by the quasi-symmetric mode. A case study, focusing on the asymmetric differences between these two years, shows the magnitude of the ozone mixing ratio, temperature and zonal wind differences to be in the range of 2 e-6 kg/kg, 10 degrees C and 10 m/s, respectively. Budget calculations show that transport processes contribute substantially to the ozone and temperature changes in the middle stratosphere over the Antarctic continent. However, both radiative and chemical processes also play important roles in the changes.</t>
  </si>
  <si>
    <t>Univ Calif Davis, Dept Land Air &amp; Water Resources, Atmospher Sci Program, Davis, CA 95616 USA</t>
  </si>
  <si>
    <t>Weare, BC (corresponding author), Univ Calif Davis, Dept Land Air &amp; Water Resources, Atmospher Sci Program, Davis, CA 95616 USA.</t>
  </si>
  <si>
    <t>bcweare@ucdavis.edu</t>
  </si>
  <si>
    <t>NSF [ATM-0733698]</t>
  </si>
  <si>
    <t>ERA-40 data were provided by the European Centre for Medium-Range Weather Forecasting from their web site at http://data.ecmwf.int/data/d/era40daily/. This work was partially supported by NSF grant ATM-0733698.</t>
  </si>
  <si>
    <t>10.5194/acp-9-5403-2009</t>
  </si>
  <si>
    <t>482HW</t>
  </si>
  <si>
    <t>WOS:000268876600002</t>
  </si>
  <si>
    <t>Struthers, H; Bodeker, GE; Austin, J; Bekki, S; Cionni, I; Dameris, M; Giorgetta, MA; Grewe, V; Lefèvre, F; Lott, F; Manzini, E; Peter, T; Rozanov, E; Schraner, M</t>
  </si>
  <si>
    <t>Struthers, H.; Bodeker, G. E.; Austin, J.; Bekki, S.; Cionni, I.; Dameris, M.; Giorgetta, M. A.; Grewe, V.; Lefevre, F.; Lott, F.; Manzini, E.; Peter, T.; Rozanov, E.; Schraner, M.</t>
  </si>
  <si>
    <t>The simulation of the Antarctic ozone hole by chemistry-climate models</t>
  </si>
  <si>
    <t>DOPPLER-SPREAD PARAMETERIZATION; GRAVITY-WAVE-DRAG; GENERAL-CIRCULATION; MIDDLE ATMOSPHERE; LAGRANGIAN TRANSPORT; TRANSIENT SIMULATION; IMPACT; DEPLETION; SCHEME; WINTER</t>
  </si>
  <si>
    <t>While chemistry-climate models are able to reproduce many characteristics of the global total column ozone field and its long-term evolution, they have fared less well in simulating the commonly used diagnostic of the area of the Antarctic ozone hole i.e. the area within the 220 Dobson Unit (DU) contour. Two possible reasons for this are: (1) the underlying Global Climate Model (GCM) does not correctly simulate the size of the polar vortex, and (2) the stratospheric chemistry scheme incorporated into the GCM, and/or the model dynamics, results in systematic biases in the total column ozone fields such that the 220DU contour is no longer appropriate for delineating the edge of the ozone hole. Both causes are examined here with a view to developing ozone hole area diagnostics that better suit measurement-model inter-comparisons. The interplay between the shape of the meridional mixing barrier at the edge of the vortex and the meridional gradients in total column ozone across the vortex edge is investigated in measurements and in 5 chemistry-climate models (CCMs). Analysis of the simulation of the polar vortex in the CCMs shows that the first of the two possible causes does play a role in some models. This in turn affects the ability of the models to simulate the large observed meridional gradients in total column ozone. The second of the two causes also strongly affects the ability of the CCMs to track the observed size of the ozone hole. It is shown that by applying a common algorithm to the CCMs for selecting a delineating threshold unique to each model, a more appropriate diagnostic of ozone hole area can be generated that shows better agreement with that derived from observations.</t>
  </si>
  <si>
    <t>[Austin, J.] NOAA, Geophys Fluid Dynam Lab, Princeton, NJ USA; [Bekki, S.; Lefevre, F.] Inst Pierre Simon Laplace, CNRS, Serv Aeron, Paris, France; [Dameris, M.; Grewe, V.] Inst Atmospher Phys, Deutsches Zentrum Luft &amp; Raumfahrt, Oberpfaffenhofen, Wessling, Germany; [Giorgetta, M. A.] Max Planck Inst Meteorol, Hamburg, Germany; [Lott, F.] Meteorol Dynam Lab, Paris, France; [Manzini, E.] Ctr Euro Mediterraneo &amp; Cambiamenti Climatici, Bologna, Italy; [Peter, T.; Rozanov, E.; Schraner, M.] ETH, Inst Atmospher &amp; Climate Sci, Zurich, Switzerland; [Rozanov, E.] PMOD WRC, CH-7260 Davos, Switzerland; [Struthers, H.; Bodeker, G. E.; Cionni, I.] Natl Inst Water &amp; Atmospher Res, Lauder, New Zealand</t>
  </si>
  <si>
    <t>National Oceanic Atmospheric Admin (NOAA) - USA; Universite Paris Saclay; Centre National de la Recherche Scientifique (CNRS); CNRS - National Institute for Earth Sciences &amp; Astronomy (INSU); Universite Paris Cite; Helmholtz Association; German Aerospace Centre (DLR); Max Planck Society; Sorbonne Universite; Centro Euro-Mediterraneo sui Cambiamenti Climatici (CMCC); Swiss Federal Institutes of Technology Domain; ETH Zurich; National Institute of Water &amp; Atmospheric Research (NIWA) - New Zealand</t>
  </si>
  <si>
    <t>Struthers, H (corresponding author), Stockholm Univ, Dept Appl Environm Sci, Stockholm, Sweden.</t>
  </si>
  <si>
    <t>h.struthers@itm.su.se</t>
  </si>
  <si>
    <t>bekki, slimane/J-7221-2015; Peter, Thomas/B-2529-2018; CIONNI, Irene/E-8204-2017; Bodeker, Greg E/A-8870-2008; Manzini, Elisa/H-5760-2011; Grewe, Volker/JCE-0830-2023; Rozanov, Eugene/V-1881-2018; Grewe, Volker/A-6147-2011; Rozanov, Eugene/A-9857-2012</t>
  </si>
  <si>
    <t>bekki, slimane/0000-0002-5538-0800; Peter, Thomas/0000-0002-7218-7156; CIONNI, Irene/0000-0002-0591-9193; Rozanov, Eugene/0000-0003-0479-4488; Grewe, Volker/0000-0002-8012-6783; Rozanov, Eugene/0000-0003-0479-4488; Bodeker, Gregory/0000-0003-1094-5852; Dameris, Martin/0000-0001-6700-0628</t>
  </si>
  <si>
    <t>ETH; Swiss National Science Foundation [SCOPES IB7320-110884]; New Zealand Foundation for Research, Science and Technology [C01X0703]</t>
  </si>
  <si>
    <t>ETH(ETH Zurich); Swiss National Science Foundation(Swiss National Science Foundation (SNSF)); New Zealand Foundation for Research, Science and Technology(New Zealand Foundation for Research, Science and Technology)</t>
  </si>
  <si>
    <t>W e would like to thank D. Smale (NIWA) for the SOCOL and H. Garny (DLR) for the E39C-A output used in this study. The LMDz-REPRO, MAECHAM4CHEM and the DLR group acknowledges the support of the SCOUT-O3 Integrated Project which is funded by the European Commission. H. S. would like to acknowledge the NIWA high performance computing facility for their support in completing the UMETRAC simulations used in this work and Jill Scott for her assistance. The CCM SOCOL development was supported by the ETH Poly-Projects VSGC I and II and by the Swiss National Science Foundation (grant SCOPES IB7320-110884). This work was supported by the New Zealand Foundation for Research, Science and Technology under contract C01X0703. The authors would like to acknowledge the ACP editors and the two anonymous referees for their contribution to improving the original manuscript of this paper.</t>
  </si>
  <si>
    <t>10.5194/acp-9-6363-2009</t>
  </si>
  <si>
    <t>493ZK</t>
  </si>
  <si>
    <t>Green Submitted, Green Published, gold, Green Accepted</t>
  </si>
  <si>
    <t>WOS:000269778500006</t>
  </si>
  <si>
    <t>Tunbridge, VM; Mitchell, NJ</t>
  </si>
  <si>
    <t>Tunbridge, V. M.; Mitchell, N. J.</t>
  </si>
  <si>
    <t>The two-day wave in the Antarctic and Arctic mesosphere and lower thermosphere</t>
  </si>
  <si>
    <t>RESOLUTION DOPPLER IMAGER; QUASI-2-DAY WAVE; MIDDLE ATMOSPHERE; PLANETARY-WAVES; BAROCLINIC INSTABILITY; POLAR STRATOSPHERE; WIND OSCILLATIONS; SUMMER MESOSPHERE; CIRCULATION MODEL; REGION</t>
  </si>
  <si>
    <t>There have been comparatively few studies reported of the 2-day planetary wave in the middle atmosphere at polar latitudes. Here we report on a study made using high-latitude meteor radars at Rothera in the Antarctic (68 degrees S, 68 degrees W) and Esrange in Arctic Sweden (68 degrees N, 21 degrees E). Observations from 2005-2008 are used for Rothera and from 1999-2008 for Esrange. Measurements were made of horizontal winds at heights of 80-100 km. The radar data revealed distinct summertime and wintertime 2-day waves. The Antarctic summertime wave occurs with significant amplitudes in January-February at heights between about 88100 km. Horizontal wind monthly variances associated with the wave exceed 160m(2) s(-2) and the zonal component has larger amplitudes than the meridional. In contrast, the Arctic summertime wave occurs for a longer duration, June-August and has meridional amplitudes larger than the zonal amplitudes. The Arctic summertime wave is weaker than that in the Antarctic and maximum monthly variances are typically 60m(2) s(-2). In both hemispheres the summertime wave reaches largest amplitudes in the strongly sheared eastward zonal flow above the zero-wind line and is largely absent in the westward flow below. The observed differences in the summertime wave are probably due to the differences in the background zonal winds in the two hemispheres. The Antarctic and Arctic wintertime 2-day waves have very similar behaviour. The Antarctic wave has significant amplitudes in May-August and the Arctic wave in November-February. Both are evident across the full height range observed.</t>
  </si>
  <si>
    <t>[Tunbridge, V. M.; Mitchell, N. J.] Univ Bath, Dept Elect &amp; Elect Engn, Bath BA2 7AY, Avon, England</t>
  </si>
  <si>
    <t>Tunbridge, VM (corresponding author), Univ Bath, Dept Elect &amp; Elect Engn, Bath BA2 7AY, Avon, England.</t>
  </si>
  <si>
    <t>vt211@bath.ac.uk</t>
  </si>
  <si>
    <t>Natural Environment Research Council [NE/E007384/1] Funding Source: researchfish; NERC [NE/E007384/1] Funding Source: UKRI; STFC [PP/E002218/1] Funding Source: UKRI</t>
  </si>
  <si>
    <t>Natural Environment Research Council(UK Research &amp; Innovation (UKRI)Natural Environment Research Council (NERC)); NERC(UK Research &amp; Innovation (UKRI)Natural Environment Research Council (NERC)); STFC(UK Research &amp; Innovation (UKRI)Science &amp; Technology Facilities Council (STFC))</t>
  </si>
  <si>
    <t>10.5194/acp-9-6377-2009</t>
  </si>
  <si>
    <t>WOS:000269778500007</t>
  </si>
  <si>
    <t>Bourdages, L; Duck, TJ; Lesins, G; Drummond, JR; Eloranta, EW</t>
  </si>
  <si>
    <t>Bourdages, L.; Duck, T. J.; Lesins, G.; Drummond, J. R.; Eloranta, E. W.</t>
  </si>
  <si>
    <t>Physical properties of High Arctic tropospheric particles during winter</t>
  </si>
  <si>
    <t>NONSPHERICAL ICE PARTICLE; INDEPENDENT SPHERES; ANTARCTIC PLATEAU; CLOUD PROPERTIES; COMBINED LIDAR; WATER-CONTENT; BLOWING SNOW; RADAR; RADIATION; CIRRUS</t>
  </si>
  <si>
    <t>A climatology of particle scattering properties in the wintertime High Arctic troposphere, including vertical distributions and effective radii, is presented. The measurements were obtained using a lidar and cloud radar located at Eureka, Nunavut Territory (80 degrees N, 86 degrees W). Four different particle groupings are considered: boundary-layer ice crystals, ice clouds, mixed-phase clouds, and aerosols. Two-dimensional histograms of occurrence probabilities against depolarization, radar/lidar colour ratio and height are given. Colour ratios are related to particle minimum dimensions (i.e., widths rather than lengths) using a Mie scattering model. Ice cloud crystals have effective radii spanning 25-220 mu m, with larger particles observed at lower altitudes. Topographic blowing snow residuals in the boundary layer have the smallest crystals at 15-70 mu m. Mixed-phase clouds have water droplets and ice crystal precipitation in the 5-40 mu m and 40-220 mu m ranges, respectively. Ice cloud crystals have depolarization decreasing with height. The depolarization trend is associated with the large ice crystal sub-population. Small crystals depolarize more than large ones in ice clouds at a given altitude, and show constant modal depolarization with height. Ice clouds in the mid-troposphere are sometimes observed to precipitate to the ground. Water clouds are constrained to the lower troposphere (0.5-3.5 km altitude). Aerosols are most abundant near the ground and are frequently mixed with the other particle types. The data are used to construct a classification chart for particle scattering in wintertime Arctic conditions.</t>
  </si>
  <si>
    <t>[Bourdages, L.; Duck, T. J.; Lesins, G.; Drummond, J. R.] Dalhousie Univ, Dept Phys &amp; Atmospher Sci, Halifax, NS, Canada; [Eloranta, E. W.] Univ Wisconsin, Ctr Space Sci &amp; Engn, Madison, WI 53706 USA</t>
  </si>
  <si>
    <t>Dalhousie University; University of Wisconsin System; University of Wisconsin Madison</t>
  </si>
  <si>
    <t>Duck, TJ (corresponding author), Dalhousie Univ, Dept Phys &amp; Atmospher Sci, Halifax, NS, Canada.</t>
  </si>
  <si>
    <t>tom.duck@dal.ca</t>
  </si>
  <si>
    <t>Drummond, James R/O-7467-2014</t>
  </si>
  <si>
    <t>Canadian Foundation for Climate and Atmospheric Research (CFCAS); Canadian Foundation for Innovation (CFI); National Science and Engineering Research Council (NSERC) of Canada; Canadian Space Agency (CSA); Ontario Innovation Trust (OIT); Ontario Research Fund (ORF); Nova Scotia Research and Innovation Trust (NSRIT); Government of Canada International Polar Year; NSF [ARC-0612452]; NOAA [RA133R07CN0281]; Environment Canada; Eureka Weather Station; PEARL</t>
  </si>
  <si>
    <t>Canadian Foundation for Climate and Atmospheric Research (CFCAS); Canadian Foundation for Innovation (CFI)(Canada Foundation for Innovation); National Science and Engineering Research Council (NSERC) of Canada(Natural Sciences and Engineering Research Council of Canada (NSERC)); Canadian Space Agency (CSA)(Canadian Space Agency); Ontario Innovation Trust (OIT); Ontario Research Fund (ORF); Nova Scotia Research and Innovation Trust (NSRIT); Government of Canada International Polar Year; NSF(National Science Foundation (NSF)); NOAA(National Oceanic Atmospheric Admin (NOAA) - USA); Environment Canada(CGIAR); Eureka Weather Station; PEARL(Luxembourg National Research Fund)</t>
  </si>
  <si>
    <t>Financial support for this research was provided by the Canadian Foundation for Climate and Atmospheric Research (CFCAS), the Canadian Foundation for Innovation (CFI), the National Science and Engineering Research Council (NSERC) of Canada, the Canadian Space Agency (CSA), the Ontario Innovation Trust (OIT), the Ontario Research Fund (ORF), the Nova Scotia Research and Innovation Trust (NSRIT), the Government of Canada International Polar Year fund, and NSF grant ARC-0612452 and NOAA contract RA133R07CN0281. Logistical and other in-kind support from Environment Canada, the staff of the Eureka Weather Station, the PEARL Manager Pierre Fogal and Operators Alexei Khmel, Paul Loewen, Oleg Mikhailov, Ashley Harrett and Matthew Okraszewski is gratefully acknowledged.</t>
  </si>
  <si>
    <t>10.5194/acp-9-6881-2009</t>
  </si>
  <si>
    <t>498IE</t>
  </si>
  <si>
    <t>WOS:000270131400015</t>
  </si>
  <si>
    <t>Urban, J; Pommier, M; Murtagh, DP; Santee, ML; Orsolini, YJ</t>
  </si>
  <si>
    <t>Urban, J.; Pommier, M.; Murtagh, D. P.; Santee, M. L.; Orsolini, Y. J.</t>
  </si>
  <si>
    <t>Nitric acid in the stratosphere based on Odin observations from 2001 to 2009-Part 1: A global climatology</t>
  </si>
  <si>
    <t>VALIDATION; HNO3; SATELLITE; DENITRIFICATION; OZONE</t>
  </si>
  <si>
    <t>The Sub-Millimetre Radiometer (SMR) on board the Odin satellite, launched in February 2001, observes thermal emissions of stratospheric nitric acid (HNO3) originating from the Earth limb in a band centred at 544.6 GHz. Height-resolved measurements of the global distribution of nitric acid in the stratosphere were performed approximately on two observation days per week. An HNO3 climatology based on more than 7 years of observations from August 2001 to April 2009 covering the vertical range between typically similar to 19 and 45 km (similar to 1.5-60 hPa or similar to 500-1800 K in terms of potential temperature) was created. The study highlights the spatial and seasonal variation of nitric acid in the stratosphere, characterised by a pronounced seasonal cycle at middle and high latitudes with maxima during late fall and minima during spring, strong denitrification in the lower stratosphere of the Antarctic polar vortex during winter ( the irreversible removal of NOy by the sedimentation of cloud particles containing HNO3), as well as large quantities of HNO3 formed every winter at high-latitudes in the middle and upper stratosphere. A strong inter-annual variability is observed in particular at high latitudes. A comparison with a stratospheric HNO3 climatology, based on over 7 years of UARS/MLS ( Upper Atmosphere Research Satellite/Microwave Limb Sounder) measurements from the 1990s, shows good consistency and agreement of the main morphological features in the potential temperature range similar to 465 to similar to 960 K, if the different characteristics of the data sets such as the better altitude resolution of Odin/SMR as well as the slightly different altitude ranges are considered. Odin/SMR reaches higher up and UARS/MLS lower down in the stratosphere. An overview from 1991 to 2009 of stratospheric nitric acid is provided ( with a short gap between 1998 and 2001), if the global measurements of both experiments are taken together.</t>
  </si>
  <si>
    <t>[Urban, J.; Pommier, M.; Murtagh, D. P.] Chalmers, Dept Radio &amp; Space Sci, S-41296 Gothenburg, Sweden; [Santee, M. L.] NASA, Jet Prop Lab, CALTECH, Pasadena, CA USA; [Orsolini, Y. J.] Norwegian Inst Air Res, Kjeller, Norway</t>
  </si>
  <si>
    <t>Chalmers University of Technology; California Institute of Technology; National Aeronautics &amp; Space Administration (NASA); NASA Jet Propulsion Laboratory (JPL); NILU</t>
  </si>
  <si>
    <t>Urban, J (corresponding author), Chalmers, Dept Radio &amp; Space Sci, S-41296 Gothenburg, Sweden.</t>
  </si>
  <si>
    <t>joaurb@chalmers.se</t>
  </si>
  <si>
    <t>Urban, Jo/F-9172-2010; Santee, MIchelle/R-5762-2019; /F-8694-2011</t>
  </si>
  <si>
    <t>Urban, Jo/0000-0001-7026-793X; Pommier, Matthieu/0000-0002-3694-0083; /0000-0003-1539-3559; Orsolini, Yvan/0000-0001-7454-026X</t>
  </si>
  <si>
    <t>Sweden (SNSB); Canada (CSA); Finland (TEKES); France (CNES); EC [505390-GOCE-CT-2004]; Swedish National Space Board (SNSB); European ERASMUS</t>
  </si>
  <si>
    <t>Sweden (SNSB); Canada (CSA)(Canadian Space Agency); Finland (TEKES)(Finnish Funding Agency for Technology &amp; Innovation (TEKES)); France (CNES)(Centre National D'etudes Spatiales); EC(European Union (EU)European Commission Joint Research Centre); Swedish National Space Board (SNSB); European ERASMUS</t>
  </si>
  <si>
    <t>Odin is a Swedish-led satellite project funded jointly by Sweden (SNSB), Canada (CSA), Finland (TEKES), and France (CNES). Since 2007 the Odin project is supported by the third party mission programme of the European Space Agency (ESA). J. Urban was partly funded by the EC Integrated Project SCOUT-O3 (505390-GOCE-CT-2004) as well as by the Swedish National Space Board ( SNSB). M. Pommier received support from the European ERASMUS program to conduct his master thesis project in Sweden ( exchange with Universite d'Orleans, France). Work at the Jet Propulsion Laboratory, California Institute of Technology, was done under contract with the National Aeronautics and Space Administration ( NASA). We like to acknowledge the contributions of J. Moller, P. Eriksson, M. Olberg, and G. Persson to the Odin/SMR level-1b and level-2 processing system.</t>
  </si>
  <si>
    <t>10.5194/acp-9-7031-2009</t>
  </si>
  <si>
    <t>WOS:000270131400022</t>
  </si>
  <si>
    <t>Pitts, MC; Poole, LR; Thomason, LW</t>
  </si>
  <si>
    <t>Pitts, M. C.; Poole, L. R.; Thomason, L. W.</t>
  </si>
  <si>
    <t>CALIPSO polar stratospheric cloud observations: second-generation detection algorithm and composition discrimination</t>
  </si>
  <si>
    <t>LARGE HNO3-CONTAINING PARTICLES; AIRBORNE LIDAR OBSERVATIONS; ARCTIC STRATOSPHERE; LIQUID PARTICLES; WINTER; MICROPHYSICS; CLIMATOLOGY; AEROSOL; GROWTH; PSCS</t>
  </si>
  <si>
    <t>This paper focuses on polar stratospheric cloud (PSC) measurements by the CALIOP (Cloud-Aerosol LI-dar with Orthogonal Polarization) lidar system onboard the CALIPSO (Cloud-Aerosol Lidar and Infrared Pathfinder Satellite Observations) spacecraft, which has been operating since June 2006. We describe a second-generation PSC detection algorithm that utilizes both the CALIOP 532-nm scattering ratio (ratio of total-to-molecular backscatter coefficients) and 532-nm perpendicular backscatter coefficient measurements for cloud detection. The inclusion of the perpendicular backscatter measurements enhances the detection of tenuous PSC mixtures containing low number densities of solid (likely nitric acid trihydrate, NAT) particles and leads to about a 15% increase in PSC areal coverage compared with our original algorithm. Although these low number density NAT mixtures would have a minimal impact on chlorine activation due to their relatively small particle surface area, these particles may play a significant role in denitrification and therefore are an important component of our PSC detection. In addition, the new algorithm allows discrimination of PSCs by composition in terms of their ensemble backscatter and depolarization in a manner analogous to that used in previous ground-based and airborne lidar PSC studies. Based on theoretical optical calculations, we define four CALIPSO-based composition classes which we call supercooled ternary solution (STS), ice, and Mix1 and Mix2, denoting mixtures of STS with NAT particles in lower or higher number densitiesvolumes, respectively. We examine the evolution of PSCs for three Antarctic and two Arctic seasons and illustrate the unique attributes of the CALIPSO PSC database. These analyses show substantial interannual variability in PSC areal coverage and also the well-known contrast between the Antarctic and Arctic. The CALIPSO data also reveal seasonal and altitudinal variations in Antarctic PSC composition, which are related to changes in HNO3 and H2O observed by the Microwave Limb Sounder on the Aura satellite.</t>
  </si>
  <si>
    <t>[Pitts, M. C.; Thomason, L. W.] NASA, Langley Res Ctr, Hampton, VA 23665 USA; [Poole, L. R.] Sci Syst &amp; Applicat Inc, Hampton, VA USA</t>
  </si>
  <si>
    <t>National Aeronautics &amp; Space Administration (NASA); NASA Langley Research Center; Science Systems and Applications Inc</t>
  </si>
  <si>
    <t>Pitts, MC (corresponding author), NASA, Langley Res Ctr, Hampton, VA 23665 USA.</t>
  </si>
  <si>
    <t>michael.c.pitts@nasa.gov</t>
  </si>
  <si>
    <t>Thomason, Larry/0000-0002-1902-0840</t>
  </si>
  <si>
    <t>MLS team at NASA's Jet Propulsion Laboratory,; California Institute of Technology; NASA Radiation Sciences Program manager; NASA HQ Earth Science Division; NASA [NNL07AA00C]</t>
  </si>
  <si>
    <t>MLS team at NASA's Jet Propulsion Laboratory,; California Institute of Technology; NASA Radiation Sciences Program manager(National Aeronautics &amp; Space Administration (NASA)); NASA HQ Earth Science Division; NASA(National Aeronautics &amp; Space Administration (NASA))</t>
  </si>
  <si>
    <t>The Derived Meteorological Products for Aura MLS were calculated and provided by G. Manney and W. Daffer with support from the MLS team at NASA's Jet Propulsion Laboratory, California Institute of Technology. The Aura MLS gas species data were provided courtesy of the MLS team and obtained through the Aura MLS website (http://mls.jpl.nasa.gov/index-eos-mls.php). IDL routines for calculating PSC thermodynamic properties were obtained from the GATS Scientific Software website (http://gwest.gats-inc.com/software/softwarepage.html). We would like to thank N. Larsen for his helpful suggestions and comments related to this work. We would also like to thank Dr. Hal Maring, NASA Radiation Sciences Program manager, and the NASA HQ Earth Science Division for continued support of this research. Support for L. Poole is provided under NASA contract NNL07AA00C.</t>
  </si>
  <si>
    <t>10.5194/acp-9-7577-2009</t>
  </si>
  <si>
    <t>506MT</t>
  </si>
  <si>
    <t>WOS:000270779700021</t>
  </si>
  <si>
    <t>Wespes, C; Hurtmans, D; Clerbaux, C; Santee, ML; Martin, RV; Coheur, PF</t>
  </si>
  <si>
    <t>Wespes, C.; Hurtmans, D.; Clerbaux, C.; Santee, M. L.; Martin, R. V.; Coheur, P. F.</t>
  </si>
  <si>
    <t>Global distributions of nitric acid from IASI/MetOP measurements</t>
  </si>
  <si>
    <t>ARCTIC LOWER STRATOSPHERE; TROPOSPHERIC OZONE; HNO3 PROFILES; IASI; MIPAS; SPECTROMETER; ASSIMILATION; RETRIEVALS; VALIDATION; SATELLITE</t>
  </si>
  <si>
    <t>This paper presents the first global distributions of HNO3 total columns acquired by the Infrared Atmospheric Sounding Interferometer (IASI) instrument, launched on-board the MetOp platform in October 2006. IASI is an infrared nadir-looking Fourier transform spectrometer providing atmospheric radiance spectra at 0.5 cm(-1) spectral resolution, from which temperature and infrared absorbing gas concentration profiles are retrieved with global Earth coverage twice a day. A first analysis of the IASI measurements in terms of information content demonstrates the possibility of retrieving a total column for HNO3 at all latitudes with a maximal sensitivity in the middle stratosphere. The retrievals are performed from IASI spectra in the atmospheric window using a fast radiative transfer model and inversion software (FORLI) relying on the Optimal Estimation Method. The operational processing of HNO3 total columns is achieved since March 2008. We show that FORLI-HNO3 performs well at all latitudes (RMS of the spectral residuals around 2.3x10(-6) W/m(2) sr m(-1)) and provides HNO3 total columns with on average statistical errors of about 12%, reaching the threshold value of 32% at the equatorial belt. The global distributions of the retrieved total columns for one year (from March 2008 to February 2009) are presented and discussed with emphasis given to seasonal and interhemispheric variations. Local seasonal variations at 6 specific locations are also described and discussed in comparison with MLS volume mixing ratios at 46.5 hPa. The seasonal cycle observed in Polar regions is highlighted, with maxima observed in fall-winter and minima during spring-summer. The denitrification inside the Antarctic polar vortex during winter is clearly revealed with unprecedented horizontal resolution: HNO3 columns decreasing down to about 1x10(16) molecules cm(-2) are observed, which is consistent with the lower values of temperature observed between 50 and 15 hPa (similar to 20-25 km) and the resulting formation and sedimentation of polar stratospheric clouds. During the same period, the collar region of high quantities of HNO3 at the vortex edge is also observed around 65-60 degrees S latitude. Preliminary correlations between IASI derived HNO3 and O-3 columns inside the polar vortex are presented and discussed.</t>
  </si>
  <si>
    <t>[Wespes, C.; Hurtmans, D.; Clerbaux, C.; Coheur, P. F.] Univ Libre Bruxelles, Brussels, Belgium; [Clerbaux, C.] Univ Paris 06, Paris, France; [Clerbaux, C.] Univ Versailles St Quentin, CNRS, INSU, LATMOS,IPSL, Paris, France; [Santee, M. L.] CALTECH, Jet Prop Lab, Pasadena, CA USA; [Martin, R. V.] Dalhousie Univ, Dept Phys &amp; Atmospher Sci, Halifax, NS B3H 3J5, Canada; [Martin, R. V.] Harvard Smithsonian Ctr Astrophys, Cambridge, MA 02138 USA</t>
  </si>
  <si>
    <t>Universite Libre de Bruxelles; Sorbonne Universite; Centre National de la Recherche Scientifique (CNRS); CNRS - National Institute for Earth Sciences &amp; Astronomy (INSU); Universite Paris Saclay; Sorbonne Universite; Universite Paris Cite; California Institute of Technology; National Aeronautics &amp; Space Administration (NASA); NASA Jet Propulsion Laboratory (JPL); Dalhousie University; Harvard University; Smithsonian Astrophysical Observatory; Smithsonian Institution</t>
  </si>
  <si>
    <t>cwespes@ulb.ac.be</t>
  </si>
  <si>
    <t>clerbaux, cathy/I-5478-2013; Santee, MIchelle/R-5762-2019; Martin, Randall/C-1205-2014</t>
  </si>
  <si>
    <t>Martin, Randall/0000-0003-2632-8402</t>
  </si>
  <si>
    <t>Fonds National de la Recherche Scientifique [4511.08]; Belgian State Federal Office for Scientific, Technical and Cultural Affairs; European Space Agency [C90-327]; FRIA; Communaute Franc, aise de Belgique-Actions de Recherche Concertees</t>
  </si>
  <si>
    <t>Fonds National de la Recherche Scientifique(Fonds de la Recherche Scientifique - FNRS); Belgian State Federal Office for Scientific, Technical and Cultural Affairs; European Space Agency(European Space Agency); FRIA(Fonds de la Recherche Scientifique - FNRS); Communaute Franc, aise de Belgique-Actions de Recherche Concertees</t>
  </si>
  <si>
    <t>IASI has been developed and built under the responsibility of the Centre National d'Etudes Spatiales (CNES, France). It is flown onboard the Metop satellites as part of the EUMETSAT Polar System. The IASI L1 data are received through the EUMETCast near real time data distribution service. The research was funded by the Fonds National de la Recherche Scientifique (FNRS, Belgium M. I. S. F. 4511.08), the Belgian State Federal Office for Scientific, Technical and Cultural Affairs and the European Space Agency (ESA-Prodex arrangement C90-327). Financial support by FRIA and the Communaute Franc, aise de Belgique-Actions de Recherche Concertees and are also acknowledged. Work at the Jet Propulsion Laboratory, California Institute of Technology, was done under contract with the National Aeronautics and Space Administration.</t>
  </si>
  <si>
    <t>10.5194/acp-9-7949-2009</t>
  </si>
  <si>
    <t>512IL</t>
  </si>
  <si>
    <t>WOS:000271240500018</t>
  </si>
  <si>
    <t>Kawa, SR; Stolarski, RS; Newman, PA; Douglass, AR; Rex, M; Hofmann, DJ; Santee, ML; Frieler, K</t>
  </si>
  <si>
    <t>Kawa, S. R.; Stolarski, R. S.; Newman, P. A.; Douglass, A. R.; Rex, M.; Hofmann, D. J.; Santee, M. L.; Frieler, K.</t>
  </si>
  <si>
    <t>Sensitivity of polar stratospheric ozone loss to uncertainties in chemical reaction kinetics</t>
  </si>
  <si>
    <t>ABSORPTION CROSS-SECTIONS; IN-SITU MEASUREMENTS; PHOTOCHEMISTRY; CHLORINE; CLO; PREDICTIONS; DEPLETION; MODEL</t>
  </si>
  <si>
    <t>The impact and significance of uncertainties in model calculations of stratospheric ozone loss resulting from known uncertainty in chemical kinetics parameters is evaluated in trajectory chemistry simulations for the Antarctic and Arctic polar vortices. The uncertainty in modeled ozone loss is derived from Monte Carlo scenario simulations varying the kinetic (reaction and photolysis rate) parameters within their estimated uncertainty bounds. Simulations of a typical winter/spring Antarctic vortex scenario and Match scenarios in the Arctic produce large uncertainty in ozone loss rates and integrated seasonal loss. The simulations clearly indicate that the dominant source of model uncertainty in polar ozone loss is uncertainty in the Cl2O2 photolysis reaction, which arises from uncertainty in laboratory-measured molecular cross sections at atmospherically important wavelengths. This estimated uncertainty in J(Cl2)O(2) from laboratory measurements seriously hinders our ability to model polar ozone loss within useful quantitative error limits. Atmospheric observations, however, suggest that the Cl2O2 photolysis uncertainty may be less than that derived from the lab data. Comparisons to Match, South Pole ozonesonde, and Aura Microwave Limb Sounder (MLS) data all show that the nominal recommended rate simulations agree with data within uncertainties when the Cl2O2 photolysis error is reduced by a factor of two, in line with previous in situ ClOx measurements. Comparisons to simulations using recent cross sections from Pope et al. (2007) are outside the constrained error bounds in each case. Other reactions producing significant sensitivity in polar ozone loss include BrO + ClO and its branching ratios. These uncertainties challenge our confidence in modeling polar ozone depletion and projecting future changes in response to changing halogen emissions and climate. Further laboratory, theoretical, and possibly atmospheric studies are needed.</t>
  </si>
  <si>
    <t>[Kawa, S. R.; Stolarski, R. S.; Newman, P. A.; Douglass, A. R.] NASA, Goddard Space Flight Ctr, Greenbelt, MD USA; [Rex, M.; Frieler, K.] Alfred Wegener Inst Polar &amp; Marine Res, Potsdam, Germany; [Hofmann, D. J.] Natl Ocean &amp; Atmospher Adm, Earth Syst Res Lab, Boulder, CO USA; [Santee, M. L.] CALTECH, Jet Prop Lab, Pasadena, CA USA</t>
  </si>
  <si>
    <t>National Aeronautics &amp; Space Administration (NASA); NASA Goddard Space Flight Center; Helmholtz Association; Alfred Wegener Institute, Helmholtz Centre for Polar &amp; Marine Research; National Oceanic Atmospheric Admin (NOAA) - USA; California Institute of Technology; National Aeronautics &amp; Space Administration (NASA); NASA Jet Propulsion Laboratory (JPL)</t>
  </si>
  <si>
    <t>Kawa, SR (corresponding author), NASA, Goddard Space Flight Ctr, Greenbelt, MD USA.</t>
  </si>
  <si>
    <t>stephan.r.kawa@nasa.gov</t>
  </si>
  <si>
    <t>Stolarski, Richard S/B-8499-2013; Santee, MIchelle/R-5762-2019; Kawa, Stephan R/E-9040-2012; Douglass, Anne R/D-4655-2012; Rex, Markus/A-6054-2009; Newman, Paul A./D-6208-2012</t>
  </si>
  <si>
    <t>Rex, Markus/0000-0001-7847-8221; Frieler, Katja/0000-0003-4869-3013; Newman, Paul A./0000-0003-1139-2508</t>
  </si>
  <si>
    <t>EC DG</t>
  </si>
  <si>
    <t>We would like to acknowledge support from the Atmospheric Chemistry Modeling and Analysis and the Modeling, Analysis, and Prediction Programs at NASA. Work at the Jet Propulsion Laboratory, California Institute of Technology, was done under contract with the National Aeronautics and Space Administration. Work at AWI was supported by the EC DG Research through the RECONCILE project. The McMurdo data used in this publication were obtained as part of the Network for the Detection of Atmospheric Composition Change ( NDACC) and are publicly available ( see http:// www. ndacc. org).</t>
  </si>
  <si>
    <t>10.5194/acp-9-8651-2009</t>
  </si>
  <si>
    <t>525QX</t>
  </si>
  <si>
    <t>WOS:000272232500002</t>
  </si>
  <si>
    <t>Frey, MM; Savarino, J; Morin, S; Erbland, J; Martins, JMF</t>
  </si>
  <si>
    <t>Frey, M. M.; Savarino, J.; Morin, S.; Erbland, J.; Martins, J. M. F.</t>
  </si>
  <si>
    <t>Photolysis imprint in the nitrate stable isotope signal in snow and atmosphere of East Antarctica and implications for reactive nitrogen cycling</t>
  </si>
  <si>
    <t>POLAR ICE CORES; SURFACE SNOW; FRESH-WATER; COASTAL ANTARCTICA; DENITRIFIER METHOD; N-15/N-14 RATIOS; NITRIC-ACID; GREENLAND; NOX; PHOTOCHEMISTRY</t>
  </si>
  <si>
    <t>The nitrogen (delta N-15) and triple oxygen (delta O-17 and delta O-18) isotopic composition of nitrate (NO3-) was measured year-round in the atmosphere and snow pits at Dome C, Antarctica (DC, 75.1 degrees S, 123.3 degrees E), and in surface snow on a transect between DC and the coast. Comparison to the isotopic signal in atmospheric NO3- shows that snow NO3- is significantly enriched in delta N-15 by &gt; 200 parts per thousand and depleted in delta O-18 by &lt; 40 parts per thousand. Post-depositional fractionation in delta O-17(NO3-) is small, potentially allowing reconstruction of past shifts in tropospheric oxidation pathways from ice cores. Assuming a Rayleigh-type process we find fractionation constants epsilon of -60 +/- 15 parts per thousand, 8 +/- 2 parts per thousand and 1 +/- 1 parts per thousand, for delta N-15, delta O-18 and delta O-17, respectively. A photolysis model yields an upper limit for the photolytic fractionation constant (15)epsilon of delta N-15, consistent with lab and field measurements, and demonstrates a high sensitivity of (15)epsilon to the incident actinic flux spectrum. The photolytic (15)epsilon is process-specific and therefore applies to any snow covered location. Previously published (15)epsilon values are not representative for conditions at the Earth surface, but apply only to the UV lamp used in the reported experiment (Blunier et al., 2005; Jacobi et al., 2006). Depletion of oxygen stable isotopes is attributed to photolysis followed by isotopic exchange with water and hydroxyl radicals. Conversely, N-15 enrichment of the NO3- fraction in the snow implies N-15 depletion of emissions. Indeed, delta N-15 in atmospheric NO3- shows a strong decrease from background levels (4 +/- 7 parts per thousand) to -35 parts per thousand in spring followed by recovery during summer, consistent with significant snowpack emissions of reactive nitrogen. Field and lab evidence therefore suggest that photolysis is an important process driving fractionation and associated NO3- loss from snow. The delta O-17 signature confirms previous coastal measurements that the peak of atmospheric NO3- in spring is of stratospheric origin. After sunrise photolysis drives then redistribution of NO3- from the snowpack photic zone to the atmosphere and a snow surface skin layer, thereby concentrating NO3- at the surface. Little NO3- appears to be exported off the EAIS plateau, still snow emissions from as far as 600 km inland can contribute to the coastal NO3- budget.</t>
  </si>
  <si>
    <t>[Frey, M. M.; Savarino, J.; Morin, S.; Erbland, J.] Univ Grenoble 1, CNRS, INSU, Lab Glaciol &amp; Geophys Environm, St Martin Dheres, France; [Frey, M. M.] British Antarctic Survey, NERC, Cambridge CB3 0ET, England; [Martins, J. M. F.] Univ Grenoble 1, CNRS, INSU, GINP,IRD,Lab Etud Transferts Hydrol &amp; Environm, St Martin Dheres, France</t>
  </si>
  <si>
    <t>Centre National de la Recherche Scientifique (CNRS); CNRS - National Institute for Earth Sciences &amp; Astronomy (INSU); Communaute Universite Grenoble Alpes; Universite Grenoble Alpes (UGA); UK Research &amp; Innovation (UKRI); Natural Environment Research Council (NERC); NERC British Antarctic Survey; Centre National de la Recherche Scientifique (CNRS); CNRS - National Institute for Earth Sciences &amp; Astronomy (INSU); Communaute Universite Grenoble Alpes; Institut National Polytechnique de Grenoble; Universite Grenoble Alpes (UGA); Institut de Recherche pour le Developpement (IRD)</t>
  </si>
  <si>
    <t>Frey, MM (corresponding author), Univ Grenoble 1, CNRS, INSU, Lab Glaciol &amp; Geophys Environm, St Martin Dheres, France.</t>
  </si>
  <si>
    <t>Martins, Jean/AAF-4186-2021; Morin, Samuel/E-8005-2011; Martins, Jean M.F./B-2715-2008; Savarino, Joel/H-9730-2012; Frey, Markus/G-1756-2012</t>
  </si>
  <si>
    <t>Martins, Jean/0000-0003-0314-1311; Morin, Samuel/0000-0002-1781-687X; Martins, Jean M.F./0000-0003-0314-1311; Savarino, Joel/0000-0002-6708-9623; Frey, Markus/0000-0003-0535-0416; Erbland, Joseph/0000-0002-1186-1370</t>
  </si>
  <si>
    <t>Institut Paul Emile Victor [1011 NITEDC]; National Research Agency of France [ANR-07VULN- 013 VANISH]; Natural Environment Research Council [bas0100024] Funding Source: researchfish; NERC [bas0100024] Funding Source: UKRI</t>
  </si>
  <si>
    <t>Institut Paul Emile Victor; National Research Agency of France; Natural Environment Research Council(UK Research &amp; Innovation (UKRI)Natural Environment Research Council (NERC)); NERC(UK Research &amp; Innovation (UKRI)Natural Environment Research Council (NERC))</t>
  </si>
  <si>
    <t>This work has been made possible thanks to partial support by Institut Paul Emile Victor ( IPEV - Programme 1011 NITEDC). Partial funding has also been provided by the National Research Agency of France through project ANR-07VULN- 013 VANISH. We thank D. M. Sigman for making available the denitrifier method, E. Vince, A. D ' ejeant and P. Donnadieu for helping with the lab analysis, B. Jourdain for setting- up the aerosol sampler at DC, DC overwintering staff for taking care of instruments and sample collection, as well as IPEV for providing logistics and PNRA for DC meteorological data. Discussions with C. E. Miller and K. Frey as well as the comments published in ACPD by G. Michalski and one anonymous reviewer were very valuable to further improve this manuscript.</t>
  </si>
  <si>
    <t>10.5194/acp-9-8681-2009</t>
  </si>
  <si>
    <t>WOS:000272232500004</t>
  </si>
  <si>
    <t>McDonald, AJ; George, SE; Woollands, RM</t>
  </si>
  <si>
    <t>McDonald, A. J.; George, S. E.; Woollands, R. M.</t>
  </si>
  <si>
    <t>Can gravity waves significantly impact PSC occurrence in the Antarctic?</t>
  </si>
  <si>
    <t>POLAR STRATOSPHERIC CLOUDS; NITRIC-ACID TRIHYDRATE; MOUNTAIN WAVES; POAM-III; AEROSOL; OZONE; DEPLETION; LIDAR; MICROPHYSICS; TEMPERATURES</t>
  </si>
  <si>
    <t>A combination of POAM III aerosol extinction and CHAMP RO temperature measurements are used to examine the role of atmospheric gravity waves in the formation of Antarctic Polar Stratospheric Clouds (PSCs). POAM III aerosol extinction observations and quality flag information are used to identify Polar Stratospheric Clouds using an unsupervised clustering algorithm. A PSC proxy, derived by thresholding Met Office temperature analyses with the PSC Type Ia formation temperature (T(NAT)), shows general agreement with the results of the POAM III analysis. However, in June the POAM III observations of PSC are more abundant than expected from temperature threshold crossings in five out of the eight years examined. In addition, September and October PSC identified using temperature thresholding is often significantly higher than that derived from POAM III; this observation probably being due to dehydration and denitrification. Comparison of the Met Office temperature analyses with corresponding CHAMP observations also suggests a small warm bias in the Met Office data in June. However, this bias cannot fully explain the differences observed. Analysis of CHAMP data indicates that temperature perturbations associated with gravity waves may partially explain the enhanced PSC incidence observed in June (relative to the Met Office analyses). For this month, approximately 40% of the temperature threshold crossings observed using CHAMP RO data are associated with small-scale perturbations. Examination of the distribution of temperatures relative to T(NAT) shows a large proportion of June data to be close to this threshold, potentially enhancing the importance of gravity wave induced temperature perturbations. Inspection of the longitudinal structure of PSC occurrence in June 2005 also shows that regions of enhancement are geographically associated with the Antarctic Peninsula; a known mountain wave 'hotspot'. The latitudinal variation of POAM III observations means that we only observe this region in June-July, and thus the true pattern of enhanced PSC production may continue operating into later months. The analysis has shown that early in the Antarctic winter stratospheric background temperatures are close to the T(NAT) threshold (and PSC formation), and are thus sensitive to temperature perturbations associated with mountain wave activity near the Antarctic peninsula (40% of PSC formation). Later in the season, and at latitudes away from the peninsula, temperature perturbations associated with gravity waves contribute to about 15% of the observed PSC (a value which corresponds well to several previous studies). This lower value is likely to be due to colder background temperatures already achieving the T(NAT) threshold unaided. Additionally, there is a reduction in the magnitude of gravity waves perturbations observed as POAM III samples poleward of the peninsula.</t>
  </si>
  <si>
    <t>[McDonald, A. J.; George, S. E.; Woollands, R. M.] Univ Canterbury, Dept Phys &amp; Astron, Christchurch 1, New Zealand</t>
  </si>
  <si>
    <t>University of Canterbury</t>
  </si>
  <si>
    <t>McDonald, AJ (corresponding author), Univ Canterbury, Dept Phys &amp; Astron, Private Bag 4800, Christchurch 1, New Zealand.</t>
  </si>
  <si>
    <t>adrian.mcdonald@canterbury.ac.nz</t>
  </si>
  <si>
    <t>Woollands, Robyn/ACC-7876-2022</t>
  </si>
  <si>
    <t>George, Steve/0000-0002-0396-0299; McDonald, Adrian/0000-0002-1456-6254</t>
  </si>
  <si>
    <t>Brian Mason Scientific and Technical Trust</t>
  </si>
  <si>
    <t>We are grateful to the GFZ Potsdam and the ISDC for providing the CHAMP data. The POAM III data is kindly provided at http:// wvms. nrl. navy. mil/ POAM/ data/ data. html. AJM would like to acknowledge the support provided by the Brian Mason Scientific and Technical Trust. AJM would also like to thank Rebecca Batchelor and Simon Alexander for useful comments on an early version of this work. We would like to thank four anonymous referees for providing suggestions for further analysis and improvements to the text.</t>
  </si>
  <si>
    <t>10.5194/acp-9-8825-2009</t>
  </si>
  <si>
    <t>WOS:000272232500014</t>
  </si>
  <si>
    <t>Castebrunet, H; Martinerie, P; Genthon, C; Cosme, E</t>
  </si>
  <si>
    <t>Castebrunet, H.; Martinerie, P.; Genthon, C.; Cosme, E.</t>
  </si>
  <si>
    <t>A three-dimensional model study of methanesulphonic acid to non sea salt sulphate ratio at mid and high-southern latitudes</t>
  </si>
  <si>
    <t>GAS-PHASE REACTION; DURVILLE COASTAL ANTARCTICA; METHANE SULFONIC-ACID; MARINE BOUNDARY-LAYER; DIMETHYL SULFIDE; FIELD OBSERVATIONS; DMS OXIDATION; ATMOSPHERIC DIMETHYLSULFIDE; INITIATED OXIDATION; SEASONAL-VARIATIONS</t>
  </si>
  <si>
    <t>The Antarctic and sub-Antarctic methanesulphonic acid (MSA) to non sea salt sulphate (nssSO(4)) ratio is simulated with the Laboratoire de M,t,orologie Dynamique Atmospheric General Circulation Model including an atmospheric sulphur chemistry module. Spatial variations of the MSA/nssSO(4) ratio in different regions have been suggested to be mostly dependent on temperature or sulphur source contributions. Its past variations in ice cores have been interpreted as related to the DMS precursor source location. Our model results are compared with available field measurements in the Antarctic and sub-Antarctic regions. This suggests that the MSA/nssSO(4) ratio in the extra-tropical south hemisphere is mostly dependent on the relative importance of various DMS oxidation pathways. In order to evaluate the effect of a rapid conversion of dimethyl sulphoxide (DMSO) into MSA, not implemented in the model, the MSA+DMSO to nssSO(4) ratio is also discussed. Using this modified ratio, the model mostly captures the seasonal variations of MSA/nssSO(4) at mid and high-southern latitudes. In addition, the model qualitatively reproduces the bell shaped meridional variations of the ratio, which is highly dependent on the adopted relative reaction rates for the DMS+OH addition and abstraction pathways, and on the assumed reaction products of the MSIA+OH reaction. MSA/nssSO(4) ratio in Antarctic snow is fairly well reproduced except at the most inland sites characterized with very low snow accumulation rates. Our results also suggest that atmospheric chemistry plays an important role in the observed decrease of the ratio in snow between coastal regions and central Antarctica. The still insufficient understanding of the DMS oxidation scheme limits our ability to model the MSA/nssSO(4) ratio. Specifically, reaction products of the MSIA+OH reaction should be better quantified, and the impact of a fast DMSO conversion to MSA in spring to fall over Antarctica should be evaluated. A better understanding of BrO source processes is needed in order to include DMS + BrO chemistry in global models. Completing the observations of DMS, BrO and MSA at Halley Bay with DMSO measurements would better constrain the role of BrO in DMS oxidation. Direct measurements of MSA and nssSO(4) dry deposition velocities on Antarctic snow would improve our ability to model MSA and nssSO(4) in ice cores.</t>
  </si>
  <si>
    <t>[Castebrunet, H.; Martinerie, P.; Genthon, C.; Cosme, E.] Univ Grenoble 1, CNRS, Lab Glaciol &amp; Geophys Environm, UMR INSU 5183, F-38402 St Martin Dheres, France; [Cosme, E.] Univ Grenoble 1, CNRS, Inst Natl Polytech Grenoble, Lab Ecoulements Geophys &amp; Ind,UMR INSU 5519, F-38402 St Martin Dheres, France</t>
  </si>
  <si>
    <t>Centre National de la Recherche Scientifique (CNRS); Communaute Universite Grenoble Alpes; Universite Grenoble Alpes (UGA); Communaute Universite Grenoble Alpes; Institut National Polytechnique de Grenoble; Universite Grenoble Alpes (UGA); Centre National de la Recherche Scientifique (CNRS)</t>
  </si>
  <si>
    <t>Castebrunet, H (corresponding author), Univ Grenoble 1, CNRS, Lab Glaciol &amp; Geophys Environm, UMR INSU 5183, BP 96, F-38402 St Martin Dheres, France.</t>
  </si>
  <si>
    <t>hcastebrunet@gmail.com</t>
  </si>
  <si>
    <t>Martinerie, Patricia/N-5731-2017</t>
  </si>
  <si>
    <t>Martinerie, Patricia/0000-0002-6820-2296; Cosme, Emmanuel/0000-0001-7349-6973</t>
  </si>
  <si>
    <t>Institut National des Sciences de l'Univers (INSU)</t>
  </si>
  <si>
    <t>This work was supported by Institut National des Sciences de l'Univers (INSU), program LEFE/CHAT. It benifited from observations of the CESOA program, available at http://cesoa.ore.fr. Other data where kindly provided by E. Wolff (British Antarctic Survey), R. Weller (Alfred Wegener Institute), J. M. Prospero (University of Miami) and M. Keywood (Australian Commonwealth Scientific and Research Organization). The page charges for this article were covered by the contract between Copernicus and INSU, component of Centre National de la Recherche Scientifique (CNRS).</t>
  </si>
  <si>
    <t>10.5194/acp-9-9449-2009</t>
  </si>
  <si>
    <t>536QZ</t>
  </si>
  <si>
    <t>WOS:000273060200008</t>
  </si>
  <si>
    <t>Converse, SJ; Kendall, WL; Doherty, PF; Ryan, PG</t>
  </si>
  <si>
    <t>Converse, Sarah J.; Kendall, William L.; Doherty, Paul F., Jr.; Ryan, Peter G.</t>
  </si>
  <si>
    <t>MULTISTATE MODELS FOR ESTIMATION OF SURVIVAL AND REPRODUCTION IN THE GREY-HEADED ALBATROSS (THALASSARCHE CHRYSOSTOMA)</t>
  </si>
  <si>
    <t>AUK</t>
  </si>
  <si>
    <t>Grey-headed Albatross; mark-recapture; open robust design; temporary emigration; Thalassarche chrysostoma; unobservable state</t>
  </si>
  <si>
    <t>CAPTURE-RECAPTURE DATA; TEMPORARY EMIGRATION; POPULATION-DYNAMICS; BIRD-ISLAND; ROBUST</t>
  </si>
  <si>
    <t>Reliable in formation on demography is necessary for conservation of albatrosses, the most threatened family of pelagic birds. Albatross survival has been estimated using mark-recapture data and the Cormack-Jolly-Seber (CJS) model. However, albatross exhibit skipped breeding, violating assumptions of the CJS model. Multistate modeling integrating unobservable states is a promising toot for such situations. We applied multistate models to data on Grey-headed Albatross (Thalassarche chrysostoma) to evaluate model performance and describe demographic patterns. These included a multistate equivalent of the CJS model (MS-2), including successful and failed breeding states and ignoring temporary emigration, and three versions of a four-state multistate model that accounts for temporary emigration by integrating unobservable states: a model (MS-4) with one sample per breeding season, a robust design model (RDMS-4) with multiple samples per season and geographic closure within the season, and an open robust design model (ORDMS-4) with multiple samples per season and staggered entry and exit of animals within the season. Survival estimates from the MS-2 model were higher than those from the MS-4 model, which resulted in apparent percent relative bias averaging 2.2%. The ORDMS-4 model was more appropriate than the RDMS-4 model, given that staggered entry and exit occurred. Annual survival probability for Grey-headed Albatross at Marion Island was 0.951. +/- 0.006 (SE), and the probability of skipped breeding in a subsequent year averaged 0.938 for successful and 0.163 for failed breeders. We recommend that multistate models with unobservable states, combined with robust-design sampling, be used in studies of species that exhibit temporary emigration. Received 13 November 2007 accepted 25 June 2008.</t>
  </si>
  <si>
    <t>[Converse, Sarah J.; Kendall, William L.] US Geol Survey, Patuxent Wildlife Res Ctr, Laurel, MD 20708 USA; [Converse, Sarah J.] Colorado State Univ, Colorado Cooperat Fish &amp; Wildlife Res Unit, Dept Fish Wildlife &amp; Conservat Biol, Ft Collins, CO 80523 USA; [Doherty, Paul F., Jr.] Colorado State Univ, Dept Fish Wildlife &amp; Conservat Biol, Ft Collins, CO 80523 USA; [Ryan, Peter G.] Univ Cape Town, Percy FitzPatrick Inst African Ornithol, ZA-7701 Rondebosch, South Africa</t>
  </si>
  <si>
    <t>United States Department of the Interior; United States Geological Survey; Colorado State University; Colorado State University; University of Cape Town</t>
  </si>
  <si>
    <t>Converse, SJ (corresponding author), US Geol Survey, Patuxent Wildlife Res Ctr, Laurel, MD 20708 USA.</t>
  </si>
  <si>
    <t>sconverse@usgs.gov</t>
  </si>
  <si>
    <t>Ryan, Peter/0000-0002-3356-2056; Converse, Sarah J/0000-0002-3719-5441</t>
  </si>
  <si>
    <t>Colorado Cooperative Research Unit; Patuxent Wildlife Research Center</t>
  </si>
  <si>
    <t>Field data were collected as part of the South African National Antarctic Programme, through a project headed by R. Crawford. We thank all field personnel, especially B. Dyer, L. Upfold, D. Nel, and G. Jones. We thank J. Hines for assistance with goodness-of-fit testing, and the Colorado Cooperative Research Unit and Patuxent Wildlife Research Center for supporting S.J.C. We thank A. Royle and A. O'Connell, G. Pendleton, and one anonymous reviewer for helpful suggestions on a draft of this manuscript. This paper arose from discussions stimulated by the Albatross Demography Working Group, coordinated by H. Caswell and C. Hunter. The IUCN Red List of Threatened Species is available at www.iucnredlist.org. For the Agreement on the Conservation of Albatross and Petrels, see www.acap.aq.</t>
  </si>
  <si>
    <t>0004-8038</t>
  </si>
  <si>
    <t>1938-4254</t>
  </si>
  <si>
    <t>10.1525/auk.2009.07189</t>
  </si>
  <si>
    <t>409EJ</t>
  </si>
  <si>
    <t>WOS:000263488700008</t>
  </si>
  <si>
    <t>Stephenson, SL; Shadwick, JDL</t>
  </si>
  <si>
    <t>Stephenson, Steven L.; Shadwick, John D. L.</t>
  </si>
  <si>
    <t>Nivicolous myxomycetes from alpine areas of south-eastern Australia</t>
  </si>
  <si>
    <t>AUSTRALIAN JOURNAL OF BOTANY</t>
  </si>
  <si>
    <t>ANTARCTIC MACQUARIE-ISLAND; LAMPRODERMA</t>
  </si>
  <si>
    <t>Nivicolous myxomycetes were collected from alpine areas of south-eastern Australia during the period of middle to late October 2004. Most collections came from the high-elevation area around Mount Kosciuszko, the highest peak on the continent at 2228 m, in the Snowy Mountains of New South Wales, and additional collections were obtained from two areas, Mount Buller and Mount Hotham, in the Victorian Alps of northern Victoria. Approximately 300 collections were obtained during a period of 2 weeks, including species such as Diderma alpinum, Didymium dubium, Lamproderma ovoideum, Physarum albescens and P. alpinum, not previously known to occur in mainland Australia. Lamproderma maculatum and L. zonatum were collected for the first time in the southern hemisphere, and another species of Lamproderma was described as new to science in a previous paper. In contrast to most other areas of the world where nivicolous myxomycetes have been studied, species of Diderma have been represented poorly among the collections from Australia.</t>
  </si>
  <si>
    <t>[Stephenson, Steven L.; Shadwick, John D. L.] Univ Arkansas, Dept Biol Sci, Fayetteville, AR 72701 USA</t>
  </si>
  <si>
    <t>University of Arkansas System; University of Arkansas Fayetteville</t>
  </si>
  <si>
    <t>Stephenson, SL (corresponding author), Univ Arkansas, Dept Biol Sci, Fayetteville, AR 72701 USA.</t>
  </si>
  <si>
    <t>slsteph@uark.edu</t>
  </si>
  <si>
    <t>Australian Biological Resources Study Participatory Program; National Science Foundation [DEB-0316284]</t>
  </si>
  <si>
    <t>Australian Biological Resources Study Participatory Program; National Science Foundation(National Science Foundation (NSF))</t>
  </si>
  <si>
    <t>This project was supported in part by grants from the Australian Biological Resources Study Participatory Program and the National Science Foundation (DEB-0316284). The assistance of Ken Green with the logistics of the field work in Australia is greatly appreciated. Thanks are extended to Gabriel Moreno, who carried out the SEM studies that helped identify several of the species reported herein.</t>
  </si>
  <si>
    <t>0067-1924</t>
  </si>
  <si>
    <t>1444-9862</t>
  </si>
  <si>
    <t>AUST J BOT</t>
  </si>
  <si>
    <t>Aust. J. Bot.</t>
  </si>
  <si>
    <t>10.1071/BT09022</t>
  </si>
  <si>
    <t>443RI</t>
  </si>
  <si>
    <t>WOS:000265927400005</t>
  </si>
  <si>
    <t>Page, KJ; Kemp, J; Nanson, GC</t>
  </si>
  <si>
    <t>Page, K. J.; Kemp, J.; Nanson, G. C.</t>
  </si>
  <si>
    <t>Late Quaternary evolution of Riverine Plain paleochannels, southeastern Australia</t>
  </si>
  <si>
    <t>AUSTRALIAN JOURNAL OF EARTH SCIENCES</t>
  </si>
  <si>
    <t>Cenozoic; Murray River; paleochannels; Quaternary; Riverine Plain</t>
  </si>
  <si>
    <t>SOUTH-EASTERN AUSTRALIA; VEGETATION HISTORY; MURRAY RIVER; WAGGA WAGGA; RECORD; DEPOSITS; AGES; CHRONOLOGY; VALLEY; WALES</t>
  </si>
  <si>
    <t>The Riverine Plain of southeastern Australia is the result of prolonged Cenozoic fluvial activity associated with the Murray River and its major southern tributaries, the Murrumbidgee, Goulburn and Lachlan. Single thread, distributary and anabranching channels and floodplains with associated eolian dunes and lunette-bordered lake basins characterise the uppermost sequences of the Late Quaternary. Following 30 years of detailed mapping and stratigraphic investigation, more recently supported by luminescence dating, the Pels sequential model of prior streams and ancestral rivers on the Riverine Plain was replaced with the Page Nanson model of alternating migrational and aggradational paleochannels. Despite some sub-catchment variability the emerging picture of climatic and hydrological change since the Last Interglacial shows many common themes that are in accord with findings in other parts of Australia including the Lake Eyre Basin and the coastal rivers of New South Wales. Enhanced fluvial activity is apparent in much of Oxygen Isotope Stage (OIS) 5 between 110 and 80ka and in OIS 3 from 55 to 25ka. The intervening OIS 4 represents a definite pause between pluvial episodes with an almost complete absence of luminescence dates from both riverine and lacustrine environments supported by evidence of enhanced dune mobilisation and high Antarctic dust flux. OIS 2 from 24 to 12ka remains somewhat enigmatic with evidence for intense aridity in the Willandra Lakes and elsewhere at the Last Glacial Maximum apparently contradicted by evidence of higher flows in the Darling and Lachlan Rivers and high water levels at Lakes Tandou, Urana and Cullivel. The question of the persistence of the Lachlan River's connection with the Willandra Lakes at this time remains an unresolved issue in urgent need of further study. Despite uncertainty about the nature of the Last Glacial Maximum, it is now clear that higher stream discharges and lake levels occurred later in OIS 2 from about 20 to 12ka. Dating evidence shows that the transition to essentially modern river regimes occurred early in the Holocene, but may have been somewhat asynchronous between the various Murray Basin sub-catchments.</t>
  </si>
  <si>
    <t>[Page, K. J.] Charles Sturt Univ, Sch Sci &amp; Technol, Wagga Wagga, NSW 2678, Australia; [Kemp, J.] Northumbria Univ, Div Geog, Newcastle Upon Tyne NE1 8ST, Tyne &amp; Wear, England; [Nanson, G. C.] Univ Wollongong, Sch Earth &amp; Environm Sci, Wollongong, NSW 2522, Australia</t>
  </si>
  <si>
    <t>Charles Sturt University; Northumbria University; University of Wollongong</t>
  </si>
  <si>
    <t>Page, KJ (corresponding author), Charles Sturt Univ, Sch Sci &amp; Technol, Locked Bag 588, Wagga Wagga, NSW 2678, Australia.</t>
  </si>
  <si>
    <t>kpage@csu.edu.au</t>
  </si>
  <si>
    <t>Kemp, Justine/I-7777-2012</t>
  </si>
  <si>
    <t>Kemp, Justine/0000-0003-0472-6960</t>
  </si>
  <si>
    <t>4 PARK SQUARE, MILTON PARK, ABINGDON OX14 4RN, OXON, ENGLAND</t>
  </si>
  <si>
    <t>0812-0099</t>
  </si>
  <si>
    <t>AUST J EARTH SCI</t>
  </si>
  <si>
    <t>Aust. J. Earth Sci.</t>
  </si>
  <si>
    <t>PII 912710882</t>
  </si>
  <si>
    <t>10.1080/08120090902870772</t>
  </si>
  <si>
    <t>462QK</t>
  </si>
  <si>
    <t>WOS:000267370500003</t>
  </si>
  <si>
    <t>Daczko, NR; Harb, N; Portner, RA; Dickinson, JA</t>
  </si>
  <si>
    <t>Daczko, N. R.; Harb, N.; Portner, R. A.; Dickinson, J. A.</t>
  </si>
  <si>
    <t>Geochemical fingerprint of hyaloclasts in glassy fragmental rocks of Macquarie Island (Southern Ocean): implications for volcanogenic sedimentary processes at a waning mid-ocean ridge</t>
  </si>
  <si>
    <t>Australia-Pacific plate boundary; geochemistry; glass; Macquarie Island; MORB; provenance</t>
  </si>
  <si>
    <t>MID-ATLANTIC RIDGE; EAST PACIFIC RISE; NORTH FIJI BASIN; PLATE BOUNDARY; SUBMERSIBLE OBSERVATIONS; VOLCANICLASTIC DEPOSITS; TRANSFORM INTERSECTION; FRACTURE-ZONE; EVOLUTION; SEA</t>
  </si>
  <si>
    <t>Two main types of glassy fragmental rocks formed along the Proto-Macquarie Spreading Ridge: (i) hyaloclastite breccia; and (ii) pillow-fragment breccia. Examples now exposed on Macquarie Island, Southern Ocean, were largely sourced from proximal pillow lavas. In each of seven samples examined, hyaloclasts (basaltic glass grains) have a narrow major- and trace-element geochemical range, consistent with derivation of each sample from a single volcanic eruption event. Moreover, every sample analysed within the one stratigraphic section (at three sites) displays distinctive major- and trace-element geochemistry compared with the other two sections. This suggests that hyaloclasts at each site represent discrete magma batches. A single source for these glassy fragmental rocks contrasts with the dominant fault-scarp-derived polymict sedimentary rocks on Macquarie Island. We suggest that the hyaloclasts analysed in this study were deposited in small basins between the slopes of growing pillow cones along the mid-ocean ridge. The geochemical analyses presented here encompass (weakly) fractionated (e.g. Bauer Bay) to near-primitive (e.g. Pyramid Peak) compositions. All samples presented here lie within the range of the enriched- to normal-MORB suites previously reported for the island that include the least fractionated MORB melts known globally. The interpretation of geochemically distinct magma batches over the small area of the island suggests very limited magma mixing consistent with an immature or waning magmatic system. We relate these geochemical characteristics to: (i) volcanism near a very long offset transform; and (ii) genesis of magmas during the waning stages of slow seafloor spreading within a very narrow (50 km-wide) spreading corridor.</t>
  </si>
  <si>
    <t>[Daczko, N. R.; Harb, N.; Portner, R. A.; Dickinson, J. A.] Macquarie Univ, Dept Earth &amp; Planetary Sci, GEMOC ARC Natl Key Ctr, N Ryde, NSW 2109, Australia</t>
  </si>
  <si>
    <t>Daczko, NR (corresponding author), Macquarie Univ, Dept Earth &amp; Planetary Sci, GEMOC ARC Natl Key Ctr, N Ryde, NSW 2109, Australia.</t>
  </si>
  <si>
    <t>ndaczko@els.mq.edu.au</t>
  </si>
  <si>
    <t>Australian Research Council [DP0663373]; Australian Antarctic Division (AAD); Antarctic Research Assessment Committee (ARAC); ARC LIEF; DEST Systemic Infrastructure Grants; Macquarie University and industry; ARC GEMOC National Key Centre [550]; Australian Research Council [DP0663373] Funding Source: Australian Research Council</t>
  </si>
  <si>
    <t>Australian Research Council(Australian Research Council); Australian Antarctic Division (AAD); Antarctic Research Assessment Committee (ARAC); ARC LIEF(Australian Research Council); DEST Systemic Infrastructure Grants(Australian GovernmentDepartment of Industry, Innovation and Science); Macquarie University and industry; ARC GEMOC National Key Centre(Australian Research Council); Australian Research Council(Australian Research Council)</t>
  </si>
  <si>
    <t>Australian Research Council funding to NRD and JAD (DP0663373) provided financial support to conduct this research. The Australian Antarctic Division (AAD) and Antarctic Research Assessment Committee (ARAC) funded the fieldwork and provided logistical support on Macquarie Island ( Science Project 2515). We thank the Tasmanian Parks and Wildlife Service for permission to visit and sample localities on Macquarie Island. NH and RAP thank the expeditioners of the 56th ANARE for their assistance in the field and Norman Pearson and Suzy Elhlou for their assistance with the geochemical analyses. Critical reviews by John Everard and an anonymous reviewer improved an earlier version of this manuscript. This study used instrumentation (and/or geochemical laboratories) funded by ARC LIEF and DEST Systemic Infrastructure Grants, Macquarie University and industry. This is contribution no. 550 from the ARC GEMOC National Key Centre (URL: ).</t>
  </si>
  <si>
    <t>PII 914317252</t>
  </si>
  <si>
    <t>10.1080/08120090903005402</t>
  </si>
  <si>
    <t>490YE</t>
  </si>
  <si>
    <t>WOS:000269543200006</t>
  </si>
  <si>
    <t>Haines, PW; Turner, SP; Foden, JD; Jago, JB</t>
  </si>
  <si>
    <t>Haines, P. W.; Turner, S. P.; Foden, J. D.; Jago, J. B.</t>
  </si>
  <si>
    <t>Isotopic and geochemical characterisation of the Cambrian Kanmantoo Group, South Australia: implications for stratigraphy and provenance</t>
  </si>
  <si>
    <t>Adelaide Rift Complex; Cambrian; geochemistry; Kanmantoo Group; neodymium isotopes; provenance; South Australia; strontium isotopes</t>
  </si>
  <si>
    <t>GAMBURTSEV SUBGLACIAL MOUNTAINS; DETRITAL-ZIRCON AGES; ADELAIDE FOLD BELT; SM-ND; U-PB; DELAMERIAN OROGENY; SE AUSTRALIA; ROSS OROGEN; PRYDZ BAY; T-DM</t>
  </si>
  <si>
    <t>The Early Cambrian Kanmantoo Group of southeastern South Australia is a thick marine succession of immature and predominantly turbiditic sandstone and mudstone, and metamorphic equivalents, that was deposited within a continental-margin delta and submarine-fan complex. Deposition was very rapid and occurred just prior to the onset of deformation and metamorphism by the Delamerian Orogeny. The Kanmantoo Group contrasts with older units of the Adelaide Rift Complex (Adelaide Geosyncline) in terms of sedimentary facies, rapidity of deposition, composition and provenance. Importantly, the Kanmantoo Group represents the earliest appearance in Australia of a sedimentary sequence characterised by the 'Pan-Gondwanaland' detrital-zircon signature. Here we present geochemical and Nd-Sr isotope data for sandstone-mudstone pairs collected throughout the Kanmantoo Group. Interestingly, sandstone-mudstone pairs do not have a consistent polarity in terms of their epsilon Nd values. This argues against simple mixing/unmixing between two distinct sediment components and suggests a more complex and incompletely mixed multicomponent provenance. There appears to be an abrupt change in isotopic character within the Backstairs Passage Formation in the mid-Kanmantoo Group. Although the origin of this change remains problematic, an overall shift to more negative epsilon Nd(t) numbers up-section may reflect progressive exhumation of the provenance region(s) and accessing of increasingly ancient materials. Based on detrital-zircon signature the Kanmantoo Group must be sourced from an area containing abundant 0.7-0.5Ga magmatism, with other components supplying 'Grenvillian' (1.2-0.9Ga) and older zircons back to about 3.5Ga. Large latest Neoproterozoic to Early Paleozoic orogenic and magmatic belts include the Ross Orogen in Antarctica and the Prydz-Leeuwin Belt on the inferred former suture between East Antarctica, India and Western Australia. The former is closer, but lacks known magmatism older than 0.55Ga. The latter appears to be a more suitable provenance based on the zircon signature, and our Nd data show significant overlap with some existing datasets from along this belt. Recent suggestions that equivalent rocks may extend beneath the central East Antarctic ice sheet (including the Gamburtsev Subglacial Mountains) may provide a more geographically suitable location, particularly from the perspective of paleocurrent data, but are not testable with our present dataset.</t>
  </si>
  <si>
    <t>[Haines, P. W.; Jago, J. B.] Univ S Australia, Sch Nat &amp; Built Environm, Mawson Lakes, SA 5095, Australia; [Turner, S. P.] Macquarie Univ, Dept Earth &amp; Planetary Sci, GEMOC, N Ryde, NSW 2109, Australia; [Foden, J. D.] Univ Adelaide, Dept Geol &amp; Geophys, Adelaide, SA 5005, Australia</t>
  </si>
  <si>
    <t>University of South Australia; Macquarie University; University of Adelaide</t>
  </si>
  <si>
    <t>Haines, PW (corresponding author), Geol Survey Western Australia, 100 Plain St, Perth, WA 6004, Australia.</t>
  </si>
  <si>
    <t>peter.haines@dmp.wa.gov.au</t>
  </si>
  <si>
    <t>GAU, geochemist/H-1985-2016; Turner, Simon/0000-0002-6426-6495</t>
  </si>
  <si>
    <t>Haines, Peter/0000-0002-8575-3516; Foden, John/0000-0003-3564-7253; Turner, Simon/0000-0002-6426-6495</t>
  </si>
  <si>
    <t>Australian Research Council; Mines and Energy Resources (now Primary Industries and Resources), South Australia</t>
  </si>
  <si>
    <t>Australian Research Council(Australian Research Council); Mines and Energy Resources (now Primary Industries and Resources), South Australia</t>
  </si>
  <si>
    <t>David Bruce and John Stanley are thanked for assisting with various technical aspects of sample analysis. Fruitful discussions with and/or assistance from Karin Barovich, Kathy Stewart, Bruce Schaefer and Justin Gum are gratefully acknowledged. Comments and corrections by reviewers John Veevers and Wolfgang Preiss significantly improved the manuscript. This project was funded by a SPIRT collaborative grant funded by the Australian Research Council and Mines and Energy Resources (now Primary Industries and Resources), South Australia.</t>
  </si>
  <si>
    <t>1440-0952</t>
  </si>
  <si>
    <t>PII 916385656</t>
  </si>
  <si>
    <t>10.1080/08120090903246212</t>
  </si>
  <si>
    <t>515YS</t>
  </si>
  <si>
    <t>WOS:000271509400005</t>
  </si>
  <si>
    <t>Jabour, J; Iliff, M</t>
  </si>
  <si>
    <t>Jabour, Julia; Iliff, Mike</t>
  </si>
  <si>
    <t>Theatre sports in the Southern Ocean: engagement options for Australia in whale research protest action</t>
  </si>
  <si>
    <t>AUSTRALIAN JOURNAL OF INTERNATIONAL AFFAIRS</t>
  </si>
  <si>
    <t>In the great whaling debate, fuelled twice yearly by the annual International Whaling Commission meeting and the departure of the Japanese research fleet for the Southern Ocean, silliness knows no bounds. 2008 was no exception, as the Southern Ocean again became the location of protest action (sometimes provocative and potentially life-threatening) against Japanese scientific research vessels. The Japanese are accused of 'whaling' in a whale sanctuary off the Australian Antarctic Territory, yet this claim to sovereignty is not legally proven and therefore not universally accepted. The Rudd Labor Government bowed to significant pressure and sent its Customs vessel, the Oceanic Viking, to spy on the Japanese fleet and gather evidence for a possible 'world court' action. This paper examines what options were available to Australia to intervene in the protest action, to monitor the Japanese research and to take legal action in an international forum within the constraints of internationally defined diplomatic and legal boundaries. It concludes that the risk of attracting the wrath of the Japanese government and other Antarctic Treaty countries is great indeed and the Australian government must be careful not to step too far outside these boundaries.</t>
  </si>
  <si>
    <t>ROUTLEDGE JOURNALS, TAYLOR &amp; FRANCIS LTD</t>
  </si>
  <si>
    <t>4 PARK SQUARE, MILTON PARK, ABINGDON OX14 4RN, OXFORDSHIRE, ENGLAND</t>
  </si>
  <si>
    <t>1035-7718</t>
  </si>
  <si>
    <t>AUST J INT AFF</t>
  </si>
  <si>
    <t>Aust. J. Int. Aff.</t>
  </si>
  <si>
    <t>PII 911488082</t>
  </si>
  <si>
    <t>10.1080/10357710802389488</t>
  </si>
  <si>
    <t>448FO</t>
  </si>
  <si>
    <t>WOS:000266248700007</t>
  </si>
  <si>
    <t>Dickinson, WR</t>
  </si>
  <si>
    <t>Kay, SM; Ramos, VA; Dickinson, WR</t>
  </si>
  <si>
    <t>Dickinson, William R.</t>
  </si>
  <si>
    <t>Anatomy and global context of the North American Cordillera</t>
  </si>
  <si>
    <t>BACKBONE OF THE AMERICAS: SHALLOW SUBDUCTION, PLATEAU UPLIFT, AND RIDGE AND TERRANE COLLISION</t>
  </si>
  <si>
    <t>Geological Society of America Memoir</t>
  </si>
  <si>
    <t>Conference on the Backbone of the Americas - Patagonia to Alaska</t>
  </si>
  <si>
    <t>APR 02-07, 2006</t>
  </si>
  <si>
    <t>Mendoza, ARGENTINA</t>
  </si>
  <si>
    <t>U-PB ZIRCON; WESTERN UNITED-STATES; TECTONIC EVOLUTION; BRITISH-COLUMBIA; CANADIAN CORDILLERA; CHORTIS BLOCK; ARCTIC-OCEAN; WINDERMERE SUPERGROUP; SIBERIAN CONNECTION; SOUTHERN LAURENTIA</t>
  </si>
  <si>
    <t>The Cordillera of western North America occupies the central 5000 km of the circum-Pacific orogenic belt, which extends for 25,000 km along a great-circle path from Taiwan to the Antarctic Peninsula. The North American Cordillera is anomalous because dextral transform faults along its western flank have supplanted subduction zones, the hallmark of circum-Pacific tectonism, along much of the Cordilleran continental margin since mid-Cenozoic time. The linear continuity of the Cordilleran orogen terminates on the north in the Arctic region and on the south in the Mesoamerican region at sinistral transform faults of Mesozoic and Cenozoic age, respectively. The Cordilleran margin of Laurentia was formed initially by rift breakup of the supercontinent Rodinia followed by development of the Neoproterozoic to early Paleozoic Cordilleran miogeocline along a passive continental margin, but it was modified in California and Mexico by Permian to Triassic transform truncation of Paleozoic tectonic trends. Late Paleozoic and Mesozoic accretion of oceanic island arcs and subduction complexes expanded the width of the Cordilleran orogen both before and after Triassic initiation of ancestral circum-Pacific subduction beneath the Cordilleran margin. Mesozoic to Cenozoic extensions and counterparts of Cordilleran accreted terranes extend southward into the Caribbean Antilles and northern South America. The development of successive forearc and retroforeland basins accompanied the progress of Cordilleran orogenesis over time, and coeval Mesozoic to Cenozoic batholith belts reflect continuing plate consumption at subduction zones along the continental margin. The assembly of subduction complexes along the Cordilleran continental margin continued into Cenozoic time, but dextral strike slip along the Pacific flank of the Cordilleran orogen displaced elongate coastal segments of the orogen northward during Cenozoic time. In the United States and Mexico, Laramide breakup of the Cordilleran foreland during shallow slab subduction and crustal extension within the Basin and Range taphrogen also expanded the width of the Cordilleran orogen during Cenozoic time.</t>
  </si>
  <si>
    <t>Univ Arizona, Dept Geosci, Tucson, AZ 85721 USA</t>
  </si>
  <si>
    <t>University of Arizona</t>
  </si>
  <si>
    <t>Dickinson, WR (corresponding author), Univ Arizona, Dept Geosci, Tucson, AZ 85721 USA.</t>
  </si>
  <si>
    <t>GEOLOGICAL SOC AMER INC</t>
  </si>
  <si>
    <t>3300 PENROSE PL, PO BOX 9140, BOULDER, CO 80301 USA</t>
  </si>
  <si>
    <t>0072-1069</t>
  </si>
  <si>
    <t>978-0-8137-1204-8</t>
  </si>
  <si>
    <t>GEOL SOC AM MEM</t>
  </si>
  <si>
    <t>Geol. Soc. Am. Mem.</t>
  </si>
  <si>
    <t>10.1130/2009.1204(01)</t>
  </si>
  <si>
    <t>Geochemistry &amp; Geophysics; Geology</t>
  </si>
  <si>
    <t>BMM60</t>
  </si>
  <si>
    <t>WOS:000272826200002</t>
  </si>
  <si>
    <t>González-Toril, E; Amils, R; Delmas, RJ; Petit, JR; Komárek, J; Elster, J</t>
  </si>
  <si>
    <t>Gonzalez-Toril, E.; Amils, R.; Delmas, R. J.; Petit, J-R.; Komarek, J.; Elster, J.</t>
  </si>
  <si>
    <t>Bacterial diversity of autotrophic enriched cultures from remote, glacial Antarctic, Alpine and Andean aerosol, snow and soil samples</t>
  </si>
  <si>
    <t>BIOGEOSCIENCES</t>
  </si>
  <si>
    <t>LAKE VOSTOK; SP-NOV.; SEQUENCE; ICE; PARTICLES; WATER</t>
  </si>
  <si>
    <t>Four different communities and one culture of autotrophic microbial assemblages were obtained by incubation of samples collected from high elevation snow in the Alps (Mt. Blanc area) and the Andes (Nevado Illimani summit, Bolivia), from Antarctic aerosol (French station Dumont d'Urville) and a maritime Antarctic soil (King George Island, South Shetlands, Uruguay Station Artigas), in a minimal mineral (oligotrophic) media. Molecular analysis of more than 200 16S rRNA gene sequences showed that all cultured cells belong to the Bacteria domain. Phylogenetic comparison with the currently available rDNA database allowed sequences belonging to Proteobacteria (Alpha-, Beta- and Gamma-proteobacteria), Actinobacteria and Bacteroidetes phyla to be identified. The Andes snow culture was the richest in bacterial diversity (eight microorganisms identified) and the marine Antarctic soil the poorest (only one). Snow samples from Col du Midi (Alps) and the Andes shared the highest number of identified microorganisms (Agrobacterium, Limnobacter, Aquiflexus and two uncultured Alphaproteobacteria clones). These two sampling sites also shared four sequences with the Antarctic aerosol sample (Limnobacter, Pseudonocardia and an uncultured Alphaproteobacteria clone). The only microorganism identified in the Antarctica soil (Brevundimonas sp.) was also detected in the Antarctic aerosol. Most of the identified microorganisms had been detected previously in cold environments, marine sediments soils and rocks. Air current dispersal is the best model to explain the presence of very specific microorganisms, like those identified in this work, in environments very distant and very different from each other.</t>
  </si>
  <si>
    <t>[Gonzalez-Toril, E.; Amils, R.] INTA CSIC, Ctr Astrobiol, Torrejon De Ardoz 28850, Spain; [Komarek, J.] Acad Sci Czech Republ, Inst Bot, Tebo, Czech Republic; [Komarek, J.] Univ S Bohemia, Fac Sci, Eeske Budijovice, Czech Republic; [Delmas, R. J.; Petit, J-R.] CNRS, Lab Glaciol &amp; Geophys Environm, St Martin Dheres, France; [Amils, R.] UAM CSIC Cantoblanco, Ctr Biol Mol, Madrid 28049, Spain</t>
  </si>
  <si>
    <t>Consejo Superior de Investigaciones Cientificas (CSIC); CSIC - Centro de Astrobiologia (INTA); Czech Academy of Sciences; Institute of Botany of the Czech Academy of Sciences; University of South Bohemia Ceske Budejovice; Centre National de la Recherche Scientifique (CNRS); Consejo Superior de Investigaciones Cientificas (CSIC)</t>
  </si>
  <si>
    <t>González-Toril, E (corresponding author), INTA CSIC, Ctr Astrobiol, Ctra Ajalvir Km 5, Torrejon De Ardoz 28850, Spain.</t>
  </si>
  <si>
    <t>glezte@inta.es</t>
  </si>
  <si>
    <t>Gonzalez-Toril, Elena/L-4823-2014; Amils, Ricardo/X-2706-2019; Komarek, Jiri/H-1597-2014; Elster, Josef/B-1031-2008</t>
  </si>
  <si>
    <t>Gonzalez-Toril, Elena/0000-0002-5750-0765; Elster, Josef/0000-0002-4535-5636</t>
  </si>
  <si>
    <t>Spanish Ministerio de Educacion y Ciencia [CGL2006/02534/BOS]; Ministry of Education of the Czech Republic [ME 934, ME 945, 206/05/0253]; French-Czech cooperative research programme Barrande [99054]</t>
  </si>
  <si>
    <t>Spanish Ministerio de Educacion y Ciencia(Spanish Government); Ministry of Education of the Czech Republic(Ministry of Education, Youth &amp; Sports - Czech Republic); French-Czech cooperative research programme Barrande</t>
  </si>
  <si>
    <t>The work was supported by grants from the Spanish Ministerio de Educacion y Ciencia (grant CGL2006/02534/BOS), the Ministry of Education of the Czech Republic (Kontakt - ME 934, ME 945 and project GA CR 206/05/0253) and the French-Czech cooperative research programme Barrande No. 99054. We are very grateful to Mrs. Jana. Snokhousova for her technical assistance.</t>
  </si>
  <si>
    <t>1726-4170</t>
  </si>
  <si>
    <t>1726-4189</t>
  </si>
  <si>
    <t>Biogeosciences</t>
  </si>
  <si>
    <t>10.5194/bg-6-33-2009</t>
  </si>
  <si>
    <t>400XM</t>
  </si>
  <si>
    <t>WOS:000262902700004</t>
  </si>
  <si>
    <t>Vázquez-Rodríguez, M; Touratier, F; Lo Monaco, C; Waugh, DW; Padin, XA; Bellerby, RGJ; Goyet, C; Metzl, N; Ríos, AF; Pérez, FF</t>
  </si>
  <si>
    <t>Vazquez-Rodriguez, M.; Touratier, F.; Lo Monaco, C.; Waugh, D. W.; Padin, X. A.; Bellerby, R. G. J.; Goyet, C.; Metzl, N.; Rios, A. F.; Perez, F. F.</t>
  </si>
  <si>
    <t>Anthropogenic carbon distributions in the Atlantic Ocean: data-based estimates from the Arctic to the Antarctic</t>
  </si>
  <si>
    <t>NORTH-ATLANTIC; CO2; TRANSPORT; DIOXIDE; TRACERS; IMPACT</t>
  </si>
  <si>
    <t>Five of the most recent observational methods to estimate anthropogenic CO2 (C-ant) are applied to a high-quality dataset from five representative sections of the Atlantic Ocean extending from the Arctic to the Antarctic. Between latitudes 60 degrees N-40 degrees S all methods give similar spatial distributions and magnitude of C-ant. However, discrepancies are found in some regions, in particular in the Southern Ocean and Nordic Seas. The differences in the Southern Ocean have a significant impact on the anthropogenic carbon inventories. The calculated total inventories of C-ant for the Atlantic referred to 1994 vary from 48 to 67 Pg (10(15) g) of carbon, with an average of 54 +/- 8 Pg C, which is higher than previous estimates. These results, both the detailed C-ant distributions and extrapolated inventories, will help to evaluate biogeochemical ocean models and coupled climate-carbon models.</t>
  </si>
  <si>
    <t>[Vazquez-Rodriguez, M.; Padin, X. A.; Rios, A. F.; Perez, F. F.] CSIC, Inst Invest Marinas, Vigo 36208, Spain; [Touratier, F.; Goyet, C.] Univ Perpignan, IMAGES, F-66860 Perpignan, France; [Lo Monaco, C.; Metzl, N.] Univ Paris 06, LOCEAN IPSL, F-75252 Paris 05, France; [Waugh, D. W.] Johns Hopkins Univ, Dept Earth &amp; Planetary Sci, Baltimore, MD 21218 USA; [Bellerby, R. G. J.] Univ Bergen, Bjerknes Ctr Climate Res, N-5007 Bergen, Norway; [Bellerby, R. G. J.] Univ Bergen, Inst Geophys, N-5007 Bergen, Norway</t>
  </si>
  <si>
    <t>Consejo Superior de Investigaciones Cientificas (CSIC); CSIC - Instituto de Investigaciones Marinas (IIM); Universite Perpignan Via Domitia; Sorbonne Universite; Museum National d'Histoire Naturelle (MNHN); Johns Hopkins University; University of Bergen; Bjerknes Centre for Climate Research; University of Bergen</t>
  </si>
  <si>
    <t>Vázquez-Rodríguez, M (corresponding author), CSIC, Inst Invest Marinas, Eduardo Cabello 6, Vigo 36208, Spain.</t>
  </si>
  <si>
    <t>mvazquez@iim.csic.es</t>
  </si>
  <si>
    <t>Fernandez Perez, Fiz/B-9001-2011; Padin, X.A./AAA-1305-2019; Bellerby, Richard/ABD-6590-2021; Monaco, Claire Lo/E-1696-2012; Bellerby, Richard/B-5277-2012; Waugh, Darryn/K-3688-2016</t>
  </si>
  <si>
    <t>Fernandez Perez, Fiz/0000-0003-4836-8974; Bellerby, Richard/0000-0003-3598-4006; metzl, nicolas/0000-0002-1165-1074; Waugh, Darryn/0000-0001-7692-2798; PADIN, XOSE ANTONIO/0000-0002-4277-3410</t>
  </si>
  <si>
    <t>European Commission within the 6th Framework Programme [511176]; Consejo Superior de Investigaciones Cientificas (CSIC) [REF.I3P-BPD2005]</t>
  </si>
  <si>
    <t>European Commission within the 6th Framework Programme(European Union (EU)European Commission Joint Research Centre); Consejo Superior de Investigaciones Cientificas (CSIC)</t>
  </si>
  <si>
    <t>We would like to extend our gratitude to the Chief Scientists, scientists and crew who participated and put their effort in the oceanographic cruises utilized in this study, particularly to those responsible for the carbon, CFC, and nutrients measurements. The comments from two anonymous reviewers have been very valuable and constructive, and have greatly helped improving this work. This work was developed and funded by the European Commission within the 6th Framework Programme (EU FP6 CARBOOCEAN Integrated Project, Contract no. 511176). Marcos Vazquez-Rodriguez is funded by Consejo Superior de Investigaciones Cientificas (CSIC) I3P predoctoral grant program REF.I3P-BPD2005.</t>
  </si>
  <si>
    <t>10.5194/bg-6-439-2009</t>
  </si>
  <si>
    <t>426XN</t>
  </si>
  <si>
    <t>WOS:000264741800010</t>
  </si>
  <si>
    <t>Price, PB; Rohde, RA; Bay, RC</t>
  </si>
  <si>
    <t>Price, P. B.; Rohde, R. A.; Bay, R. C.</t>
  </si>
  <si>
    <t>Fluxes of microbes, organic aerosols, dust, sea-salt Na ions, non-sea-salt Ca ions, and methanesulfonate onto Greenland and Antarctic ice</t>
  </si>
  <si>
    <t>Joint Meeting on Global Carbon Budget and Trends</t>
  </si>
  <si>
    <t>Kruger Natl Pk, SOUTH AFRICA</t>
  </si>
  <si>
    <t>GLACIAL ICE; CORE; MICROORGANISMS; CLIMATE; RECORDS; DIMETHYLSULFIDE; PROJECT; METABOLISM; METHANE; ORIGIN</t>
  </si>
  <si>
    <t>Using a spectrofluorimeter with 224-nm laser excitation and six emission bands from 300 to 420 nm to measure fluorescence intensities at 0.3-mm depth intervals in ice cores, we report results of the first comparative study of concentrations of microbial cells (using the spectrum of protein-bound tryptophan (Trp) as a proxy) and of aerosols with autofluorescence spectra different from Trp (denoted non-Trp) as a function of depth in ice cores from West Antarctica (WAIS Divide and Siple Dome) and Greenland (GISP2). The ratio of fluxes of microbial cells onto West Antarctic (WAIS Divide) versus Greenland sites is 0.13 +/- 0.06; the ratio of non-Trp aerosols onto WAIS Divide versus Greenland sites is 0.16 +/- 0.08; and the ratio of non-sea-salt Ca2+ ions (a proxy for dust grains) onto WAIS Divide versus Greenland sites is 0.06 +/- 0.03. All of these are roughly comparable to the ratio of fluxes of dust onto Antarctic versus Greenland sites (0.08 +/- 0.05). By contrast to those values, which are considerably lower than unity, the ratio of fluxes of methanesulfonate (MSA) onto Antarctic versus Greenland sites is 1.9 +/- 0.4 and the ratio of sea-salt Na2+ ions onto WAIS Divide versus Greenland sites is 3.0 +/- 2. These ratios are more than an order of magnitude higher than those in the first grouping. We infer that the correlation of microbes and non-Trp aerosols with non-sea-salt Ca and dust suggests a largely terrestrial rather than marine origin. The lower fluxes of microbes, non-Trp aerosols, non-sea-salt Ca and dust onto WAIS Divide ice than onto Greenland ice may be due to the smaller areas of their source regions and less favorable wind patterns for transport onto Antarctic ice than onto Greenland ice. The correlated higher relative fluxes of MSA and marine Na onto Antarctic versus Greenland ice is consistent with the view that both originate largely on or around sea ice, with the Antarctic sea ice being far more extensive than that around Greenland.</t>
  </si>
  <si>
    <t>[Price, P. B.; Rohde, R. A.; Bay, R. C.] Univ Calif Berkeley, Dept Phys, Berkeley, CA 94720 USA</t>
  </si>
  <si>
    <t>University of California System; University of California Berkeley</t>
  </si>
  <si>
    <t>Price, PB (corresponding author), Univ Calif Berkeley, Dept Phys, Berkeley, CA 94720 USA.</t>
  </si>
  <si>
    <t>bprice@berkeley.edu</t>
  </si>
  <si>
    <t>Directorate For Geosciences [0738658] Funding Source: National Science Foundation; Office of Polar Programs (OPP) [0738658] Funding Source: National Science Foundation</t>
  </si>
  <si>
    <t>Directorate For Geosciences(National Science Foundation (NSF)NSF - Directorate for Geosciences (GEO)); Office of Polar Programs (OPP)(National Science Foundation (NSF)NSF - Directorate for Geosciences (GEO))</t>
  </si>
  <si>
    <t>10.5194/bg-6-479-2009</t>
  </si>
  <si>
    <t>WOS:000264741800014</t>
  </si>
  <si>
    <t>Alvarez, M; Lo Monaco, C; Tanhua, T; Yool, A; Oschlies, A; Bullister, JL; Goyet, C; Metzl, N; Touratier, F; McDonagh, E; Bryden, HL</t>
  </si>
  <si>
    <t>Alvarez, M.; Lo Monaco, C.; Tanhua, T.; Yool, A.; Oschlies, A.; Bullister, J. L.; Goyet, C.; Metzl, N.; Touratier, F.; McDonagh, E.; Bryden, H. L.</t>
  </si>
  <si>
    <t>Estimating the storage of anthropogenic carbon in the subtropical Indian Ocean: a comparison of five different approaches</t>
  </si>
  <si>
    <t>DISSOLVED INORGANIC CARBON; NORTH-ATLANTIC; TOTAL ALKALINITY; REDFIELD RATIOS; ANTARCTIC MODE; SOUTHERN-OCEAN; RED-SEA; CO2; WATER; MARINE</t>
  </si>
  <si>
    <t>The subtropical Indian Ocean along 32 degrees S was for the first time simultaneously sampled in 2002 for inorganic carbon and transient tracers. The vertical distribution and inventory of anthropogenic carbon (CANT) from five different methods: four data-base methods (Delta C*, TrOCA, TTD and IPSL) and a simulation from the OCCAM model are compared and discussed along with the observed CFC-12 and CCl4 distributions. In the surface layer, where carbon-based methods are uncertain, TTD and OCCAM yield the same result (7 +/- 0.2 molC m(-2)), helping to specify the surface CANT inventory. Below the mixed-layer, the comparison suggests that CANT penetrates deeper and more uniformly into the Antarctic Intermediate Water layer limit than estimated from the much utilized Delta C* method. Significant CFC-12 and CCl4 values are detected in bottom waters, associated with Antarctic Bottom Water. In this layer, except for Delta C* and OCCAM, the other methods detect significant CANT values. Consequently, the lowest inventory is calculated using the Delta C* method (24 +/- 2 molC m(-2)) or OCCAM (24.4 +/- 2.8 molC m(-2)) while TrOCA, TTD, and IPSL lead to higher inventories (28.1 +/- 2.2, 28.9 +/- 2.3 and 30.8 +/- 2.5 molC m(-2) respectively). Overall and despite the uncertainties each method is evaluated using its relationship with tracers and the knowledge about water masses in the subtropical Indian Ocean. Along 32 degrees S our best estimate for the mean CANT specific inventory is 28 +/- 2 molC m(-2). Comparison exercises for data-based CANT methods along with time-series or repeat sections analysis should help to identify strengths and caveats in the CANT methods and to better constrain model simulations.</t>
  </si>
  <si>
    <t>[Alvarez, M.] CSIC UIB, IMEDEA, Esporles 07190, Spain; [Lo Monaco, C.; Metzl, N.] Univ Paris 06, LOCEA IPSL, F-75252 Paris, France; [Tanhua, T.; Oschlies, A.] IFM GEOMAR, D-24105 Kiel, Germany; [Yool, A.; McDonagh, E.; Bryden, H. L.] NOCS, Southampton SO14 3ZH, Hants, England; [Bullister, J. L.] NOAA, Pacific Marine Environm Lab, Seattle, WA 98115 USA; [Goyet, C.; Touratier, F.] Univ Perpignan, IMAGES, F-66860 Perpignan, France</t>
  </si>
  <si>
    <t>Consejo Superior de Investigaciones Cientificas (CSIC); ATTITUS Educacao; University of Barcelona; Universitat de les Illes Balears; Sorbonne Universite; Helmholtz Association; GEOMAR Helmholtz Center for Ocean Research Kiel; NERC National Oceanography Centre; National Oceanic Atmospheric Admin (NOAA) - USA; Universite Perpignan Via Domitia</t>
  </si>
  <si>
    <t>Alvarez, M (corresponding author), CSIC UIB, IMEDEA, Miquel Marques 21, Esporles 07190, Spain.</t>
  </si>
  <si>
    <t>marta.alvarez@uib.es</t>
  </si>
  <si>
    <t>Yool, Andrew/B-4799-2012; Álvarez, Marta/D-4367-2009; Monaco, Claire Lo/E-1696-2012; Tanhua, Toste/HLX-5402-2023; Oschlies, Andreas/F-9749-2012</t>
  </si>
  <si>
    <t>Yool, Andrew/0000-0002-9879-2776; Álvarez, Marta/0000-0002-5075-9344; Bryden, Harry/0000-0002-8216-6359; metzl, nicolas/0000-0002-1165-1074; Oschlies, Andreas/0000-0002-8295-4013; McDonagh, Elaine/0000-0002-8813-4585; Lo Monaco, Claire/0000-0002-5653-5018</t>
  </si>
  <si>
    <t>Natural Environment Research Council [soc010008] Funding Source: researchfish; NERC [soc010008] Funding Source: UKRI</t>
  </si>
  <si>
    <t>10.5194/bg-6-681-2009</t>
  </si>
  <si>
    <t>441BB</t>
  </si>
  <si>
    <t>WOS:000265743200013</t>
  </si>
  <si>
    <t>Niemann, H; Fischer, D; Graffe, D; Knittel, K; Montiel, A; Heilmayer, O; Nöthen, K; Pape, T; Kasten, S; Bohrmann, G; Boetius, A; Gutt, J</t>
  </si>
  <si>
    <t>Niemann, H.; Fischer, D.; Graffe, D.; Knittel, K.; Montiel, A.; Heilmayer, O.; Noethen, K.; Pape, T.; Kasten, S.; Bohrmann, G.; Boetius, A.; Gutt, J.</t>
  </si>
  <si>
    <t>Biogeochemistry of a low-activity cold seep in the Larsen B area, western Weddell Sea, Antarctica</t>
  </si>
  <si>
    <t>SULFATE-REDUCING BACTERIA; MOSBY MUD VOLCANO; METHANE-OXIDIZING ARCHAEA; HYDROTHERMAL VENT FLUIDS; ANAEROBIC OXIDATION; MARINE-SEDIMENTS; ICE SHELF; MICROBIAL DIVERSITY; GAS ACCUMULATIONS; HYDRATE DEPOSITS</t>
  </si>
  <si>
    <t>First videographic indication of an Antarctic cold seep ecosystem was recently obtained from the collapsed Larsen B ice shelf, western Weddell Sea (Domack et al., 2005). Within the framework of the R/V Polarstern expedition ANTXXIII-8, we revisited this area for geochemical, microbiological and further videographical examinations. During two dives with ROV Cherokee (MARUM, Bremen), several bivalve shell agglomerations of the seep-associated, chemosynthetic clam Calyptogena sp. were found in the trough of the Crane and Evans glacier. The absence of living clam specimens indicates that the flux of sulphide and hence the seepage activity is diminished at present. This impression was further substantiated by our geochemical observations. Concentrations of thermogenic methane were moderately elevated with 2 mu M in surface sediments of a clam patch, increasing up to 9 mu M at a sediment depth of about 1m in the bottom sections of the sediment cores. This correlated with a moderate decrease in sulphate from about 28mM at the surface down to 23.4 mM, an increase in sulphide to up to 1.43 mM and elevated rates of the anaerobic oxidation of methane (AOM) of up to 600 pmol cm(-3) d(-1) at about 1m below the seafloor. Molecular analyses indicate that methanotrophic archaea related to ANME-3 are the most likely candidates mediating AOM in sediments of the Larsen B seep.</t>
  </si>
  <si>
    <t>[Niemann, H.; Knittel, K.; Boetius, A.] Max Planck Inst Marine Microbiol, Bremen, Germany; [Niemann, H.] Univ Basel, Inst Environm Geosci, Basel, Switzerland; [Fischer, D.; Pape, T.; Bohrmann, G.] Univ Bremen, MARUM Ctr Marine Environm Sci, Bremen, Germany; [Fischer, D.; Pape, T.; Bohrmann, G.] Univ Bremen, Dept Geosci, Bremen, Germany; [Graffe, D.; Heilmayer, O.; Noethen, K.; Kasten, S.; Boetius, A.; Gutt, J.] Alfred Wegener Inst Polar &amp; Marine Res, D-2850 Bremerhaven, Germany; [Montiel, A.] Univ Magallanes, Punta Arenas, Chile; [Heilmayer, O.] German Aerosp Ctr, Bonn, Germany</t>
  </si>
  <si>
    <t>Max Planck Society; University of Basel; University of Bremen; University of Bremen; Helmholtz Association; Alfred Wegener Institute, Helmholtz Centre for Polar &amp; Marine Research; Universidad de Magallanes; Helmholtz Association; German Aerospace Centre (DLR)</t>
  </si>
  <si>
    <t>Niemann, H (corresponding author), Max Planck Inst Marine Microbiol, Bremen, Germany.</t>
  </si>
  <si>
    <t>helge.niemann@unibas.ch</t>
  </si>
  <si>
    <t>Niemann, Helge/C-6630-2014; Boetius, Antje/D-5459-2013; Bohrmann, Gerhard/D-4474-2017; Pape, Thomas/A-8138-2018</t>
  </si>
  <si>
    <t>Niemann, Helge/0000-0002-3468-8304; Boetius, Antje/0000-0003-2117-4176; Montiel, Americo/0000-0002-2644-4879; Gutt, Julian/0000-0003-3773-9370; Kasten, Sabine/0000-0001-7453-5137; Heilmayer, Olaf/0000-0003-1849-1381; Bohrmann, Gerhard/0000-0001-9976-4948; Pape, Thomas/0000-0002-6872-2144</t>
  </si>
  <si>
    <t>10.5194/bg-6-2383-2009</t>
  </si>
  <si>
    <t>525QU</t>
  </si>
  <si>
    <t>WOS:000272232200004</t>
  </si>
  <si>
    <t>Rose, JM; Feng, Y; DiTullio, GR; Dunbar, RB; Hare, CE; Lee, PA; Lohan, M; Long, M; Smith, WO; Sohst, B; Tozzi, S; Zhang, Y; Hutchins, DA</t>
  </si>
  <si>
    <t>Rose, J. M.; Feng, Y.; DiTullio, G. R.; Dunbar, R. B.; Hare, C. E.; Lee, P. A.; Lohan, M.; Long, M.; Smith, W. O., Jr.; Sohst, B.; Tozzi, S.; Zhang, Y.; Hutchins, D. A.</t>
  </si>
  <si>
    <t>Synergistic effects of iron and temperature on Antarctic phytoplankton and microzooplankton assemblages</t>
  </si>
  <si>
    <t>EUPHAUSIA-SUPERBA DANA; SOUTHERN-OCEAN; ROSS SEA; COMMUNITY STRUCTURE; PHAEOCYSTIS-ANTARCTICA; HETEROTROPHIC PROTISTS; NUTRIENT UTILIZATION; PRIMARY PRODUCTIVITY; CHEMICAL DEFENSE; INCREASED PCO(2)</t>
  </si>
  <si>
    <t>Iron availability and temperature are important limiting factors for the biota in many areas of the world ocean, and both have been predicted to change in future climate scenarios. However, the impacts of combined changes in these two key factors on microbial trophic dynamics and nutrient cycling are unknown. We examined the relative effects of iron addition (+1 nM) and increased temperature (+4 degrees C) on plankton assemblages of the Ross Sea, Antarctica, a region characterized by annual algal blooms and an active microbial community. Increased iron and temperature individually had consistently significant but relatively minor positive effects on total phytoplankton abundance, phytoplankton and microzooplankton community composition, as well as photosynthetic parameters and nutrient drawdown. Unexpectedly, increased iron had a consistently negative impact on microzooplankton abundance, most likely a secondary response to changes in phytoplankton community composition. When iron and temperature were increased in concert, the resulting interactive effects were greatly magnified. This synergy between iron and temperature increases would not have been predictable by examining the effects of each variable individually. Our results suggest the possibility that if iron availability increases under future climate regimes, the impacts of predicted temperature increases on plankton assemblages in polar regions could be significantly enhanced. Such synergistic and antagonistic interactions between individual climate change variables highlight the importance of multivariate studies for marine global change experiments.</t>
  </si>
  <si>
    <t>[Feng, Y.; Hutchins, D. A.] Univ So Calif, Dept Biol, Los Angeles, CA 90089 USA; [Rose, J. M.] Woods Hole Oceanog Inst, Dept Biol, Woods Hole, MA 02543 USA; [DiTullio, G. R.; Lee, P. A.] Coll Charleston, Hollings Marine Lab, Charleston, SC 29412 USA; [Dunbar, R. B.; Long, M.] Stanford Univ, Dept Environm Earth Syst Sci, Stanford, CA 94305 USA; [Hare, C. E.; Zhang, Y.] Univ Delaware, Coll Marine Studies, Lewes, DE 19958 USA; [Lohan, M.] Univ Plymouth, Sch Earth Ocean &amp; Environm Sci, Plymouth PL4 8AA, Devon, England; [Smith, W. O., Jr.; Tozzi, S.] Coll William &amp; Mary, Virginia Inst Marine Sci, Gloucester Pt, VA 23602 USA; [Sohst, B.] Old Dominion Univ, Dept Ocean Earth &amp; Atmospher Sci, Norfolk, VA 23529 USA</t>
  </si>
  <si>
    <t>University of Southern California; Woods Hole Oceanographic Institution; College of Charleston; Stanford University; University of Delaware; University of Plymouth; William &amp; Mary; Virginia Institute of Marine Science; Old Dominion University</t>
  </si>
  <si>
    <t>Hutchins, DA (corresponding author), Univ So Calif, Dept Biol, Los Angeles, CA 90089 USA.</t>
  </si>
  <si>
    <t>dahutch@usc.edu</t>
  </si>
  <si>
    <t>Feng, Yuanyuan/K-5983-2012; Long, Matthew C/H-4632-2016; Hutchins, David A/D-3301-2013</t>
  </si>
  <si>
    <t>Feng, Yuanyuan/0000-0002-4565-8717; Hutchins, David A/0000-0002-6637-756X; Lohan, Maeve/0000-0002-5340-3108; Long, Matthew/0000-0003-1273-2957; Rose, Julie/0000-0001-9796-9974; Dunbar, Robert/0000-0002-9728-5609</t>
  </si>
  <si>
    <t>US NSF [ANT 0528715, ANT 0741411, ANT 0741428, OCE 0825319, ANT 0338157, ANT 0338097, ANT 0338350]</t>
  </si>
  <si>
    <t>US NSF(National Science Foundation (NSF))</t>
  </si>
  <si>
    <t>This project was supported by US NSF grants ANT 0528715 to JMR, ANT 0741411, ANT 0741428 and OCE 0825319 to DAH, ANT 0338157 to WOS, ANT 0338097 to GRD, and ANT 0338350 to RBD. The authors would like to thank Zbigniew Kolber for providing the bench-top MBARI Fast Repetition Rate Fluorometer.</t>
  </si>
  <si>
    <t>10.5194/bg-6-3131-2009</t>
  </si>
  <si>
    <t>536QY</t>
  </si>
  <si>
    <t>WOS:000273060100026</t>
  </si>
  <si>
    <t>Hilmer, S; Algar, D; Tonkin, DJ</t>
  </si>
  <si>
    <t>Pysek, P; Pergl, J</t>
  </si>
  <si>
    <t>Hilmer, Stefanie; Algar, David; Tonkin, David J.</t>
  </si>
  <si>
    <t>Ferals in paradise: feral cat control on the Cocos (Keeling) Islands</t>
  </si>
  <si>
    <t>BIOLOGICAL INVASIONS: TOWARDS A SYNTHESIS, PROCEEDINGS</t>
  </si>
  <si>
    <t>Neobiota-Series</t>
  </si>
  <si>
    <t>5th European Conference on Biological Invasion - Neobiota</t>
  </si>
  <si>
    <t>SEP 23-26, 2008</t>
  </si>
  <si>
    <t>Prague, CZECH REPUBLIC</t>
  </si>
  <si>
    <t>baiting; alien species; biological invasion; Cocos buff-banded rail; introduced species</t>
  </si>
  <si>
    <t>ANTARCTIC MARION-ISLAND; FELIS-CATUS; INDIAN-OCEAN; ERADICATION; DIET</t>
  </si>
  <si>
    <t>Colonization of new habitats by feral cats is a worldwide problem, particularly on oceanic islands where it has led to declines and extinctions of endemic island fauna. The Cocos (Keeling) Islands, a remote Australian External Territory located in the Indian Ocean, has been the location of a seven year periodic cat control program. Several trapping programs, using a variety of trapping techniques, and a baiting exercise were conducted to minimize the feral cat population. The control program has resulted in the removal of more than 600 feral cats and sterilization of 71 domestic cats. Feral cat control is of major importance, especially on offshore islands, to create sanctuaries for vulnerable, endangered fauna.</t>
  </si>
  <si>
    <t>[Hilmer, Stefanie; Algar, David] Dept Environm &amp; Conservat, Div Sci, POB 51, Wanneroo, WA 6946, Australia; [Tonkin, David J.] Shire Cocos Keeling Isl, City Subiaco Council, Subiaco, WA 6904, Australia</t>
  </si>
  <si>
    <t>Hilmer, S (corresponding author), Dept Environm &amp; Conservat, Div Sci, POB 51, Wanneroo, WA 6946, Australia.</t>
  </si>
  <si>
    <t>Stefanie.Hilmer@dec.wa.gov.au</t>
  </si>
  <si>
    <t>Cocos (Keeling) Island Shire; Federal Police stationed on Cocos</t>
  </si>
  <si>
    <t>The authors would like to thank Michael Simms, Cocos (Keeling) Island Shire for organising and supporting this project and for providing the sponsorship to conduct this program; John Angus, Rob Brazell and Christina Gilbert from the Department of Environment and Conservation for their great effort and support in the project. Jamil Ibraim and Adim Hajat of the Shire of Cocos (Keeling) Islands for their invaluable effort in assisting with the trapping program; and the Federal Police stationed on Cocos for their support and assistance. We extend our thanks to the Veterinarians for their support and voluntary service to terilize domestic cats. Finally, we wish to thank all the community for their support, encouragement and generous hospitality while on the island, which made the project such a success. The techniques used in this program have been approved by the Departments Animal Ethics Committee, which includes independent members from animal welfare organizations.</t>
  </si>
  <si>
    <t>INSTITUT ECOLOGY TU BERLIN</t>
  </si>
  <si>
    <t>ROTHENBURGSTR 12, BERLIN, D 12165, GERMANY</t>
  </si>
  <si>
    <t>1619-0033</t>
  </si>
  <si>
    <t>NEOBIOTA-SER</t>
  </si>
  <si>
    <t>Neobiota-Ser</t>
  </si>
  <si>
    <t>BMI59</t>
  </si>
  <si>
    <t>WOS:000272449900018</t>
  </si>
  <si>
    <t>Nedeva, D; Pouneva, I</t>
  </si>
  <si>
    <t>Nedeva, D.; Pouneva, I.</t>
  </si>
  <si>
    <t>CHANGES IN ELECTROPHORETIC PROFILES OF PROTEINS AND SOME ANTIOXIDANT ENZYMES IN ANTARCTIC ALGA CHORICYSTIS MINOR AND CHLORELLA SP. AS AFFECTED BY TEMPERATURE AND OXIDATIVE STRESS.</t>
  </si>
  <si>
    <t>BIOTECHNOLOGY &amp; BIOTECHNOLOGICAL EQUIPMENT</t>
  </si>
  <si>
    <t>green algae; catalase; superoxide dismutase; oxidative stress; temperature stress</t>
  </si>
  <si>
    <t>The change in electrophoretic profiles of polypeptides and isoenzymes of superoxide dismutase (SOD) and (CA) as affected by extreme temperature and the strong oxidant Sanosil were studied. The temperature (To) stress in Antarctic alga Choricystis minor and Chlorella sp. was caused by treatment with high To. The oxidative stress was caused by adding the algicide Sanosil which generates H2O2 in the nutrient medium. The influence of both types of stress was investigated by treatment with high To as well as in combination with Sanosil. The stress factors applied caused slight quantitative alterations in profiles of polypeptides in Chlorella cells. The presence of Sanosil in the medium decreased the polypeptide amounts in Choricystis cells as well as in high To-treated cells. The high To alone increased the amount of available polypeptide bands and the appearance of new bands occurred. In Choricystis cells two new CA isoenzymes appeared under the treatment of high To and Sanosil. High To alone caused slight decrease in CA activity. In high To treated Choricystis cells slight increase in SOD activity was observed. In Chlorella cells a new CA isoenzyme appeared under the influence of high To. At the low To Sanosil decreased the intensity of this band. New isoenzymes of SOD appeared in high To and Sanosil treated variants. In Chlorella high To increased the SOD activity. At the low To Sanosil caused the same effect as after treatment with high To.</t>
  </si>
  <si>
    <t>[Nedeva, D.; Pouneva, I.] Bulgarian Acad Sci, Acad M Popov Inst Plant Physiol, Acad G Bonchev Str,Bl 21, BU-1113 Sofia, Bulgaria</t>
  </si>
  <si>
    <t>Pouneva, I (corresponding author), Bulgarian Acad Sci, Acad M Popov Inst Plant Physiol, Acad G Bonchev Str,Bl 21, BU-1113 Sofia, Bulgaria.</t>
  </si>
  <si>
    <t>ipuneva@bio.bas.bg</t>
  </si>
  <si>
    <t>National Science Fund - MES Project [D002-317]</t>
  </si>
  <si>
    <t>National Science Fund - MES Project</t>
  </si>
  <si>
    <t>This study was supported by National Science Fund - MES Project (D002-317).</t>
  </si>
  <si>
    <t>1310-2818</t>
  </si>
  <si>
    <t>1314-3530</t>
  </si>
  <si>
    <t>BIOTECHNOL BIOTEC EQ</t>
  </si>
  <si>
    <t>Biotechnol. Biotechnol. Equip.</t>
  </si>
  <si>
    <t>10.1080/13102818.2009.10818408</t>
  </si>
  <si>
    <t>VH2OZ</t>
  </si>
  <si>
    <t>WOS:000451691400058</t>
  </si>
  <si>
    <t>Dimitrov, K; Metcheva, R; Kenarova, A</t>
  </si>
  <si>
    <t>Dimitrov, K.; Metcheva, R.; Kenarova, A.</t>
  </si>
  <si>
    <t>SALMONELLA PRESENCE - AN INDICATOR OF DIRECT AND INDIRECT HUMAN IMPACT ON GENTOO IN ANTARCTICA</t>
  </si>
  <si>
    <t>Antarctica; human impact; Salmonella; SS and TSI agar</t>
  </si>
  <si>
    <t>Antarctica remains one of the last areas, where direct human impact is limited. Compared to the rest of the world Antarctic environment could be considered as unpolluted. This explains the significant scientific interest to the effects of touristic activities, and especially during the last decade due to the increased number of tourists visiting diverse parts of the continent. The role of human activity for Salmonella presence in penguins remains unclear. The aim of the present study was to contribute to the knowledge to what extend Salmonella presence in penguins interstitial fauna might be used as an indicator of direct or indirect human impact on the Antarctic ecosystem, by investigating three Gentoo colonies, subjected to different levels of human impact. 16 individual fecal samples were taken per each Gentoo colony. The potentially pathogenic Salmonella typhimurium/enteridis occurred in both studied populations at King George Island at the rates 37,5% and 18,8% respectively, or at rates 85,7% and 60,0% of the positive for Salmonella sp. samples respectively. Unlike both populations at Admiralty bay, King George Island, all samples taken from the Caleta Argentina population at Livingston Island were positive neither for both pathogenic species nor for Salmonell sp.</t>
  </si>
  <si>
    <t>[Dimitrov, K.] BAS, Inst Zool, Dept Expt Zool, 1 Tzar Osvoboditel, Sofia 1000, Bulgaria; [Metcheva, R.] BAS, Inst Zool, Dept Ecol Terr Anim, Sofia 1000, Bulgaria; [Kenarova, A.] Sofia Univ St Kl Ochridski, Fac Biol, Dept Ecol &amp; EP, Sofia 1164, Bulgaria</t>
  </si>
  <si>
    <t>Bulgarian Academy of Sciences; Bulgarian Academy of Sciences; University of Sofia</t>
  </si>
  <si>
    <t>Dimitrov, K (corresponding author), BAS, Inst Zool, Dept Expt Zool, 1 Tzar Osvoboditel, Sofia 1000, Bulgaria.</t>
  </si>
  <si>
    <t>krastiodimitrov@gmail.com</t>
  </si>
  <si>
    <t>Kenarova, Anelia/AAK-5420-2021</t>
  </si>
  <si>
    <t>Kenarova, Anelia/0000-0002-9891-8674</t>
  </si>
  <si>
    <t>Ministry of Education and Science of Bulgaria [NSF B1615]</t>
  </si>
  <si>
    <t>Ministry of Education and Science of Bulgaria</t>
  </si>
  <si>
    <t>This article was supported by Ministry of Education and Science of Bulgaria by grant number NSF B1615 to Dr. Roumiana Mecheva. The authors would like to express their gratitude to the Bulgarian Antarctic Institute and to the Polish Antarctic Institute, which provided excellent work conditions for field works and preliminary processing of samples at their Antarctic stations on Livingston and King George Islands respectively. The authors are thankful also to eng. Iordan Jankov, MSc, for his help in the field works at Livingston Island.</t>
  </si>
  <si>
    <t>10.1080/13102818.2009.10818411</t>
  </si>
  <si>
    <t>WOS:000451691400061</t>
  </si>
  <si>
    <t>Kostadinova, N; Krumova, E; Tosi, S; Pashova; Angelova, M</t>
  </si>
  <si>
    <t>Kostadinova, N.; Krumova, E.; Tosi, S.; Pashova; Angelova, M.</t>
  </si>
  <si>
    <t>ISOLATION AND IDENTIFICATION OF FILAMENTOUS FUNGI FROM ISLAND LIVINGSTON, ANTARCTICA</t>
  </si>
  <si>
    <t>Antarctica; cold-tolerance; filamentous fungi; identification; isolation</t>
  </si>
  <si>
    <t>Over the last decades, the Antarctic regions have been investigated mainly for the presence and exploitation of psychrophilic bacteria and archea, occasionally for algae and more rarely for fungi. The present study reports results concerning the isolation and identification of filamentous fungi from samples of soil taken from Livingston Island, South Shetland Archipelago, West Antarctica. Using conventional media and techniques, all collection sites yielded populations of filamentous fungi, belonging to the phylum Ascomycota (7 genera), Deuteromycota (2), Zygomycota (2) and Basidiomycota (1). Mucor, Cladosporium, Alternaria, Aspergillus and Penicillium were predominant genera. Lecanicillium, Botrytis, Geomyces, Monodictys and Rhizopus were the most frequently isolated genera. Most of the fungal isolates proved to be cold-tolerant</t>
  </si>
  <si>
    <t>[Kostadinova, N.; Krumova, E.; Pashova; Angelova, M.] Bulgarian Acad Sci, Stephan Angeloff Inst Microbiol, Academician G Bonchev 26, BU-1113 Sofia, Bulgaria; [Tosi, S.] Univ Pavia, Dipartimento Ecol Territorio, I-27100 Pavia, Italy</t>
  </si>
  <si>
    <t>Kostadinova, N (corresponding author), Bulgarian Acad Sci, Stephan Angeloff Inst Microbiol, Academician G Bonchev 26, BU-1113 Sofia, Bulgaria.</t>
  </si>
  <si>
    <t>Tosi, Solveig/AAC-9482-2019; Kostadinova, Nedelina/AAW-4852-2021</t>
  </si>
  <si>
    <t>Tosi, Solveig/0000-0002-6769-6984;</t>
  </si>
  <si>
    <t>National Scientist Fund of the Ministry of Education and Science, Bulgaria [VU-B-205/06, D002-172/08]</t>
  </si>
  <si>
    <t>National Scientist Fund of the Ministry of Education and Science, Bulgaria</t>
  </si>
  <si>
    <t>This work was supported by the National Scientist Fund of the Ministry of Education and Science, Bulgaria (grants VU-B-205/06 and D002-172/08), to which sincere thanks are owed.</t>
  </si>
  <si>
    <t>10.1080/13102818.2009.10818416</t>
  </si>
  <si>
    <t>WOS:000451691400066</t>
  </si>
  <si>
    <t>Rusinova-Videva, S; Pavlova, K; Metcheva, R</t>
  </si>
  <si>
    <t>Rusinova-Videva, S.; Pavlova, K.; Metcheva, R.</t>
  </si>
  <si>
    <t>STUDIES OF ANTARCTIC YEAST ISOLATES FOR EXOPOLYSACCHARIDE SYNTHESIS</t>
  </si>
  <si>
    <t>Antarctica; polysaccharides; psychrophylic yeast</t>
  </si>
  <si>
    <t>From Antarctic samples were obtained yeast isolates that were investigated for exopolysaccharide synthesis. The screening process revelated that significant number of psychrophilic yeasts had the ability to produce biopolymers. Perspective strains were selected. A physico-chemical analysis of Antarctic samples was made.</t>
  </si>
  <si>
    <t>[Rusinova-Videva, S.; Pavlova, K.] Bulgarian Acad Sci, Inst Microbiol, Dept Microbial Biosynth &amp; Biotechnol, Plovdiv, Bulgaria; [Metcheva, R.] Bulgarian Acad Sci, Inst Zool, Sofia, Bulgaria</t>
  </si>
  <si>
    <t>Medical University Plovdiv; Bulgarian Academy of Sciences; Bulgarian Academy of Sciences</t>
  </si>
  <si>
    <t>Rusinova-Videva, S (corresponding author), Bulgarian Acad Sci, Inst Microbiol, Dept Microbial Biosynth &amp; Biotechnol, Plovdiv, Bulgaria.</t>
  </si>
  <si>
    <t>jrusinova@abv.bg</t>
  </si>
  <si>
    <t>National Fund Scientific Investigation [B-1615]</t>
  </si>
  <si>
    <t>National Fund Scientific Investigation</t>
  </si>
  <si>
    <t>This investigation was supported by the Grant B-1615 from the National Fund Scientific Investigation.</t>
  </si>
  <si>
    <t>10.1080/13102818.2009.10818565</t>
  </si>
  <si>
    <t>WOS:000451691400215</t>
  </si>
  <si>
    <t>Shaw, J; Todd, BJ; Brushett, D; Parrott, DR; Bell, T</t>
  </si>
  <si>
    <t>Shaw, John; Todd, Brian J.; Brushett, Denise; Parrott, D. Russell; Bell, Trevor</t>
  </si>
  <si>
    <t>Late Wisconsinan glacial landsystems on Atlantic Canadian shelves: New evidence from multibeam and single-beam sonar data</t>
  </si>
  <si>
    <t>BOREAS</t>
  </si>
  <si>
    <t>ANTARCTIC ICE-SHEET; SCOTIAN SHELF; EMERALD BASIN; ROGEN MORAINE; STREAMS; NEWFOUNDLAND; STRATIGRAPHY; DEGLACIATION; SUBMARINE; FLOW</t>
  </si>
  <si>
    <t>Shaw, J., Todd, B. J., Brushett, D., Parrott, D. R. &amp; Bell, T.: Late Wisconsinan glacial landsystems on Atlantic Canadian shelves: New evidence from multibeam and single-beam sonar data. Boreas, 10.1111/j.1502-3885.2008.00043.x. ISSN 0300-9483. Multibeam sonar surveys in the past decade, augmented by single-beam data from the OLEX charting system, reveal landsystems on Atlantic Canadian shelves that are diagnostic of Late Wisconsinan ice-sheet dynamics. Four landsystems are described. (1) The Bay of Fundy landsystem comprises two contrasting sets of bedforms, and is interpreted as evidence of topographically controlled fast-flowing ice adjacent to slower-moving ice. (2) The German Bank landsystem off southwest Nova Scotia is comprised of glacially fluted terrain overprinted by De Geer moraines and arcuate recessional moraines. We infer that a flow of grounded glacial ice out of the Bay of Fundy was followed by steady retreat, punctuated by at least one major re-advance. (3) The Placentia Bay landsystem consists of a convergent field of streamlined landforms with superimposed De Geer moraines, overprinted in one area by flutings. We infer that this landsystem was formed in the onset zone of fast-flowing ice, and that overprinting was due to a re-advance of ice from offshore. (4) The south coast of Newfoundland landsystem, which includes arcuate, fjord-mouth moraines and a coast-parallel, fluted moraine, indicates strong topographic control on a retreating marine ice margin as it reached a fjord coastline. These submarine glacial landsystems are not inconsistent with a conceptual model showing Late Wisconsinan ice advance to shelf edges, rapid calving retreat along deepwater channels and slower retreat of ice margins grounded in shallow water. The re-advances documented two of the study areas have parallels in the Last British Ice Sheet, confirming that the reorganization of marine-based ice sheets, caused by calving in embayments, led to internally forced re-advances.</t>
  </si>
  <si>
    <t>[Shaw, John; Todd, Brian J.; Parrott, D. Russell] Geol Survey Canada, Bedford Inst Oceanog, Dartmouth, NS B2Y 4A2, Canada; [Brushett, Denise; Bell, Trevor] Mem Univ Newfoundland, Dept Geog, St John, NF A1B 3X9, Canada</t>
  </si>
  <si>
    <t>Bedford Institute of Oceanography; Natural Resources Canada; Lands &amp; Minerals Sector - Natural Resources Canada; Geological Survey of Canada; Memorial University Newfoundland</t>
  </si>
  <si>
    <t>Shaw, J (corresponding author), Geol Survey Canada, Bedford Inst Oceanog, POB 1006, Dartmouth, NS B2Y 4A2, Canada.</t>
  </si>
  <si>
    <t>johnshaw@nrcan.gc.ca</t>
  </si>
  <si>
    <t>[20080068]</t>
  </si>
  <si>
    <t>We acknowledge the hydrographers of the Canadian Hydrographic Service who collected and processed much of the multibeam data, and the masters and crews of Canadian Coastguard vessels CCGS Creed and CCGS Matthew. We thank Ole Benjamin Hestvik (Olex AS) for providing us with the Olex bathymetric data. GIS support was provided by Patrick Potter, Scott Hayward and Eric Patton. The article was internally reviewed by Robert B. Taylor and Vladimir Kostylev, and externally by Tom Bradwell and an unknown reviewer. This is Earth Sciences Sector Contribution Number 20080068.</t>
  </si>
  <si>
    <t>0300-9483</t>
  </si>
  <si>
    <t>Boreas</t>
  </si>
  <si>
    <t>10.1111/j.1502-3885.2008.00043.x</t>
  </si>
  <si>
    <t>397BD</t>
  </si>
  <si>
    <t>WOS:000262635900010</t>
  </si>
  <si>
    <t>Komitov, B</t>
  </si>
  <si>
    <t>Komitov, Boris</t>
  </si>
  <si>
    <t>The Sun - climate relationship. II. The cosmogenic beryllium and the middle latitude aurora</t>
  </si>
  <si>
    <t>BULGARIAN ASTRONOMICAL JOURNAL</t>
  </si>
  <si>
    <t>Sun; solar-climatic relationship; aurora</t>
  </si>
  <si>
    <t>RADIOCARBON AGE CALIBRATION; SOLAR; TEMPERATURES; CYCLE</t>
  </si>
  <si>
    <t>In Paper I we pointed out that the subcenturial climate cycle with duration of 50-70 years could have solar reason. The argument was the existence of statistically significant respective cycle in the group sunspot numbers. In this Paper II we suggest additional evidences for the solar origin of the subcenturial climate variations. Two other indirect and mutually independent solar proxies are under studying: Greenland and Antarctic cosmogenic 10 Be concentration, as well as the number of the middle latitude auroras (MLA) in 18th and 19th centuries. The results could be summarized as follows: (1) Well pronounced 50-55, about 65 and about 120 yr oscillations exist in the Greenland data. (2) Relatively weak, but statistically significant 60-65 yr cycle and essentially more powerful 130 yr cycle is also discovered in the Antarctic data. (3) Strong 62-63 yr oscillations are found in the MLA, that is clear evidence for existing of 62-63 yr cycle in the most powerful solar phenomena - chromospheric flares and coronal mass ejections. (4) Relative good coincidence between the extremums of 62-63 yr cycle in the 10 Be concentration and the MLA events is elucidated. The last fact indicates that in the epoch of MLA maximum a significant part of 10 Be is most probably generated in the stratosphere by high energetic solar particles, as addition to the 10 Be generated usually by the galactic cosmic rays.</t>
  </si>
  <si>
    <t>[Komitov, Boris] Bulgarian Acad Sci, Inst Astron, 72 Tsarigradsko Shousse Blvd, BU-1784 Sofia, Bulgaria</t>
  </si>
  <si>
    <t>Komitov, B (corresponding author), Bulgarian Acad Sci, Inst Astron, 72 Tsarigradsko Shousse Blvd, BU-1784 Sofia, Bulgaria.</t>
  </si>
  <si>
    <t>bkomitov@sz.inetg.bg</t>
  </si>
  <si>
    <t>BULGARIAN ACAD SCIENCES, INST ASTRONOMY</t>
  </si>
  <si>
    <t>TSARIGRADSKO SHOSSE 72, SOFIA, 1784, BULGARIA</t>
  </si>
  <si>
    <t>1313-2709</t>
  </si>
  <si>
    <t>1314-5592</t>
  </si>
  <si>
    <t>BULG ASTRON J</t>
  </si>
  <si>
    <t>Bulg. Astron. J.</t>
  </si>
  <si>
    <t>VC5OA</t>
  </si>
  <si>
    <t>WOS:000433836800007</t>
  </si>
  <si>
    <t>Aislabie, J; Ryburn, J; Sarmah, A</t>
  </si>
  <si>
    <t>Aislabie, J.; Ryburn, J.; Sarmah, A.</t>
  </si>
  <si>
    <t>Culturable microbes in shallow groundwater underlying ornithogenic soil of Cape Hallett, Antarctica</t>
  </si>
  <si>
    <t>CANADIAN JOURNAL OF MICROBIOLOGY</t>
  </si>
  <si>
    <t>3rd International Conference on Polar and Alpine Microbiology</t>
  </si>
  <si>
    <t>MAY 11-15, 2008</t>
  </si>
  <si>
    <t>Banff, CANADA</t>
  </si>
  <si>
    <t>Antarctic groundwater; microbial communities; culturable bacteria; ornithogenic soil</t>
  </si>
  <si>
    <t>SEABEE HOOK; BOREAL GROUNDWATER; ADELIE PENGUIN; VICTORIA LAND; SP-NOV.; BACTERIA; DIVERSITY; SULFATE</t>
  </si>
  <si>
    <t>The objective of this study was to investigate the culturable psychrotolerant microbial community in groundwater from Seabee Hook, Antarctica. Shallow groundwater can be present in coastal regions at higher latitudes during the Antarctic summer. Perched groundwater atop ice-cemented permafrost occurs on Seabee Hook, Cape Hallett, at depths from 5 to 80 cm below the soil surface. Compared with terrestrial water from other sites in Antarctica, the groundwater was high in salt and nutrients, reflecting proximity to the sea and ornithogenic soil. Microbial communities in groundwater samples from Seabee Hook exhibited aerobic metabolism of (14)C-acetate at 5 degrees C. Numbers of culturable aerobic heterotrophs in the samples ranged from &lt; 10 to ca. 1 x 10(6) colony-forming units.mL(-1), and similar numbers of microaerophiles and nitrate reducers were detected. In contrast, numbers of nitrifiers, sulfate reducers, and iron reducers were up to 1000-fold lower. All cultures were incubated at 5 degrees C. Aerobic heterotrophic bacteria isolated from the groundwater were assigned to Actinobacteria, Proteobacteria, or Bacteroidetes. The isolates were most similar to cultured bacteria from Antarctic soil or sediment and were cold, salt, and alkaline pH tolerant, indicating they are adapted to in situ conditions.</t>
  </si>
  <si>
    <t>[Aislabie, J.; Ryburn, J.; Sarmah, A.] Landcare Res, Hamilton, New Zealand</t>
  </si>
  <si>
    <t>Landcare Research - New Zealand</t>
  </si>
  <si>
    <t>Aislabie, J (corresponding author), Landcare Res, Private Bag 3127, Hamilton, New Zealand.</t>
  </si>
  <si>
    <t>aislabiej@landcareresearch.co.nz</t>
  </si>
  <si>
    <t>Sarmah, Ajit K/E-7773-2010</t>
  </si>
  <si>
    <t>Sarmah, Ajit/0000-0003-0664-2605</t>
  </si>
  <si>
    <t>NATL RESEARCH COUNCIL CANADA-N R C RESEARCH PRESS</t>
  </si>
  <si>
    <t>BUILDING M 55, OTTAWA, ON K1A 0R6, CANADA</t>
  </si>
  <si>
    <t>0008-4166</t>
  </si>
  <si>
    <t>CAN J MICROBIOL</t>
  </si>
  <si>
    <t>Can. J. Microbiol.</t>
  </si>
  <si>
    <t>10.1139/W08-118</t>
  </si>
  <si>
    <t>Biochemistry &amp; Molecular Biology; Biotechnology &amp; Applied Microbiology; Immunology; Microbiology</t>
  </si>
  <si>
    <t>408XG</t>
  </si>
  <si>
    <t>WOS:000263468500003</t>
  </si>
  <si>
    <t>Miller, RV; Gammon, K; Day, MJ</t>
  </si>
  <si>
    <t>Miller, Robert V.; Gammon, Katharine; Day, Martin J.</t>
  </si>
  <si>
    <t>Antibiotic resistance among bacteria isolated from seawater and penguin fecal samples collected near Palmer Station, Antarctica</t>
  </si>
  <si>
    <t>natural resistance to antiobiotics; Antarctic; plasmids; Palmer Station; penguins</t>
  </si>
  <si>
    <t>ANTIMICROBIAL RESISTANCE; PSEUDOMONAS-AERUGINOSA; METAL RESISTANCE; MARINE; PLASMIDS; STRAINS; EXPRESSION; DNA</t>
  </si>
  <si>
    <t>Antibiotic resistance in aquatic bacteria has increased steadily as a consequence of the widespread use of antibiotics, but practice and international treaty should have limited antibiotic contamination in Antarctica. We estimated antibiotic resistance in microorganisms isolated from the Antarctic marine waters and a penguin rookery, for 2 reasons: (i) as a measure of human impact and (ii) as a potential snapshot'' of the preantibiotic world. Samples were taken at 4 established sampling sites near Palmer Station, which is situated at the southern end of the Palmer Archipelago (64 degrees 10'S, 61 degrees 50'W). Sites were chosen to provide different potentials for human contamination. Forty 50 mL samples of seawater were collected and colony-forming units (CFU)/mL were determined at 6 and 20 degrees C. For this study, presumed psychrophiles (growth at 6 degrees C) were assumed to be native to Antarctic waters, whereas presumed mesophiles (growth at 20 degrees C but not at 6 degrees C) were taken to represent introduced organisms. The 20-6 degrees C CFU/mL ratio was used as a measure of the relative impact to the ecosystem of presumably introduced organisms. This ratio was highest at the site nearest to Palmer Station and decreased with distance from it, suggesting that human presence has impacted the natural microbial flora of the site. The frequency of resistance to 5 common antibiotics was determined in each group of isolates. Overall drug resistance was higher among the presumed mesophiles than the presumed psychrophiles and increased with proximity to Palmer Station, with the presumed mesophiles showing higher frequencies of single and multiple drug resistance than the psychrophile population. The frequency of multidrug resistance followed the same pattern. It appears that multidrug resistance is low among native Antarctic bacteria but is increased by human habitation.</t>
  </si>
  <si>
    <t>[Miller, Robert V.] Oklahoma State Univ, Dept Microbiol &amp; Mol Genet, Stillwater, OK 74078 USA; [Gammon, Katharine; Day, Martin J.] Cardiff Univ, Sch Biosci, Cardiff CF10 3TL, S Glam, Wales</t>
  </si>
  <si>
    <t>Oklahoma State University System; Oklahoma State University - Stillwater; Cardiff University</t>
  </si>
  <si>
    <t>Miller, RV (corresponding author), Oklahoma State Univ, Dept Microbiol &amp; Mol Genet, Stillwater, OK 74078 USA.</t>
  </si>
  <si>
    <t>Day, Martin J/F-1907-2010</t>
  </si>
  <si>
    <t>, Katharine/0000-0002-7048-2178</t>
  </si>
  <si>
    <t>10.1139/W08-119</t>
  </si>
  <si>
    <t>WOS:000263468500005</t>
  </si>
  <si>
    <t>Arenz, BE; Blanchette, RA</t>
  </si>
  <si>
    <t>Arenz, Brett E.; Blanchette, Robert A.</t>
  </si>
  <si>
    <t>Investigations of fungal diversity in wooden structures and soils at historic sites on the Antarctic Peninsula</t>
  </si>
  <si>
    <t>Antarctica; fungi; wood decay; biodeterioration; historic conservation</t>
  </si>
  <si>
    <t>EXPEDITION HUTS; IDENTIFICATION; PENICILLIUM; ECOSYSTEMS; YEASTS</t>
  </si>
  <si>
    <t>Investigations of microbial diversity in Antarctic are important to begin to understand ecosystem functioning and decomposition processes. This study documents fungi at 9 historic sites on the Antarctic Peninsula collected from wooden structures, other organic materials, and soils during a joint National Science Foundation and British Antarctic Survey expedition in 2007. Many of these sites had wooden structures built by the British during the World War II Operation Tabarin, but others visited included the American East Base'' on Stonington Island and the Swedish hut on Snow Hill Island. Fungi were cultured on several different media and pure cultures were obtained and identified by DNA sequencing of the internal transcribed spacer region. Cadophora species previously found to attack historic wooden structures on Ross Island, Antarctica, were found at all but 1 location sampled in the Peninsula region. Fungi causing decay in the historic wooden structures and artifacts and those causing mold problems inside the structures are of great concern, and conservation efforts are urgently needed to help preserve these important polar heritage structures. The results presented also expand our knowledge on the identity of fungi present throughout the Antarctic Peninsula region and provide insights into the organisms responsible for decomposition and nutrient recycling.</t>
  </si>
  <si>
    <t>[Arenz, Brett E.; Blanchette, Robert A.] Univ Minnesota, Dept Plant Pathol, St Paul, MN 55108 USA</t>
  </si>
  <si>
    <t>University of Minnesota System; University of Minnesota Twin Cities</t>
  </si>
  <si>
    <t>Arenz, BE (corresponding author), Univ Minnesota, Dept Plant Pathol, 495 Borlaug Hall,1991 Upper Buford Circle, St Paul, MN 55108 USA.</t>
  </si>
  <si>
    <t>aren0058@umn.edu; robertb@umn.edu</t>
  </si>
  <si>
    <t>Blanchette, Robert A./0000-0003-2819-6511</t>
  </si>
  <si>
    <t>10.1139/W08-120</t>
  </si>
  <si>
    <t>WOS:000263468500006</t>
  </si>
  <si>
    <t>La Terza, A; Dobri, N; Alimenti, C; Vallesi, A; Luporini, P</t>
  </si>
  <si>
    <t>La Terza, Antonietta; Dobri, Nicoleta; Alimenti, Claudio; Vallesi, Adriana; Luporini, Pierangelo</t>
  </si>
  <si>
    <t>The water-borne protein signals (pheromones) of the Antarctic ciliated protozoan Euplotes nobilii: structure of the gene coding for the En-6 pheromone</t>
  </si>
  <si>
    <t>Antarctic ciliates; pheromone genes; cold adaptation; Antarctic biology</t>
  </si>
  <si>
    <t>MACRONUCLEAR DNA-MOLECULES; ADDITION SITES; RAIKOVI; IDENTIFICATION; OCTOCARINATUS; TRANSLATION; CODE</t>
  </si>
  <si>
    <t>The marine Antarctic ciliate, Euplotes nobilii, secretes a family of water-borne signal proteins, denoted as pheromones, which control vegetative proliferation and mating in the cell. Based on the knowledge of the amino acid sequences of a set of these pheromones isolated from the culture supernatant of wild-type strains, we designed probes to identify their encoding genes in the cell somatic nucleus (macronucleus). The full-length gene of the pheromone En-6 was determined and found to contain an open-reading frame specific for the synthesis of the En-6 cytoplasmic precursor (pre-pro-En-6), which requires 2 proteolytic cleavages to remove the signal peptide (pre) and the prosegment before secretion of the mature protein. In contrast to the sequence variability that distinguishes the secreted pheromones, the pre- and pro-sequences appear to be tightly conserved and useful for the construction of probes to clone every other E. nobilii pheromone gene. Potential intron sequences in the coding region of the En-6 gene imply the synthesis of more En-6 isoforms.</t>
  </si>
  <si>
    <t>[La Terza, Antonietta; Dobri, Nicoleta; Alimenti, Claudio; Vallesi, Adriana; Luporini, Pierangelo] Univ Camerino, Dipartimento Biol Mol Cellulare Anim, I-62032 Camerino, MC, Italy</t>
  </si>
  <si>
    <t>University of Camerino</t>
  </si>
  <si>
    <t>Luporini, P (corresponding author), Univ Camerino, Dipartimento Biol Mol Cellulare Anim, I-62032 Camerino, MC, Italy.</t>
  </si>
  <si>
    <t>piero.luporini@unicam.it</t>
  </si>
  <si>
    <t>Vallesi, Adriana/0000-0002-4127-090X; La Terza, Antonietta/0000-0002-1244-1503; Alimenti, Claudio/0000-0003-2231-2948</t>
  </si>
  <si>
    <t>CANADIAN SCIENCE PUBLISHING, NRC RESEARCH PRESS</t>
  </si>
  <si>
    <t>1480-3275</t>
  </si>
  <si>
    <t>10.1139/W08-122</t>
  </si>
  <si>
    <t>WOS:000263468500007</t>
  </si>
  <si>
    <t>Pelster, B</t>
  </si>
  <si>
    <t>Glass, ML; Wood, SC</t>
  </si>
  <si>
    <t>Pelster, B.</t>
  </si>
  <si>
    <t>Buoyancy Control in Aquatic Vertebrates</t>
  </si>
  <si>
    <t>CARDIO-RESPIRATORY CONTROL IN VERTEBRATES: COMPARATIVE AND EVOLUTIONARY ASPECTS</t>
  </si>
  <si>
    <t>EEL ANGUILLA-ANGUILLA; HOPLOSTETHUS-ATLANTICUS BERYCIFORMES; DIEL VERTICAL MIGRATIONS; SWIM-BLADDER VOLUME; COD GADUS-MORHUA; DEEP-SEA FISHES; GAS GLAND; BONE LIPIDS; ANTARCTIC FISH; SPERM WHALE</t>
  </si>
  <si>
    <t>Water-living animals typically face a buoyancy problem because the density of body tissues often exceeds the density of the water replaced by the body. Depending on the particular ecological niche, aquatic vertebrates and especially fish have adopted various behavioral strategies and/or special buoyancy devices to compensate for these density differences, in order to reduce overall energy expenditure. Lipid accumulation or gas cavities such as the swimbladder or the lung, for example, may significantly contribute to a reduction in overall body density. For some species swimming activity may be more efficient than special low-density tissues in order to stay at a certain water depth.</t>
  </si>
  <si>
    <t>Univ Innsbruck, Inst Zool, A-6020 Innsbruck, Austria</t>
  </si>
  <si>
    <t>University of Innsbruck</t>
  </si>
  <si>
    <t>Pelster, B (corresponding author), Univ Innsbruck, Inst Zool, Technikerstr 25, A-6020 Innsbruck, Austria.</t>
  </si>
  <si>
    <t>Bernd.Pelster@uibk.ac</t>
  </si>
  <si>
    <t>SPRINGER-VERLAG BERLIN</t>
  </si>
  <si>
    <t>HEIDELBERGER PLATZ 3, D-14197 BERLIN, GERMANY</t>
  </si>
  <si>
    <t>978-3-540-93984-9</t>
  </si>
  <si>
    <t>10.1007/978-3-540-93985-6_4</t>
  </si>
  <si>
    <t>10.1007/978-3-540-93985-6</t>
  </si>
  <si>
    <t>Evolutionary Biology; Zoology</t>
  </si>
  <si>
    <t>BLS82</t>
  </si>
  <si>
    <t>WOS:000270956000004</t>
  </si>
  <si>
    <t>Brandao, A; Butterworth, DS</t>
  </si>
  <si>
    <t>Brandao, A.; Butterworth, D. S.</t>
  </si>
  <si>
    <t>A PROPOSED MANAGEMENT PROCEDURE FOR THE TOOTHFISH (DISSOSTICHUS ELEGINOIDES) RESOURCE IN THE PRINCE EDWARD ISLANDS VICINITY</t>
  </si>
  <si>
    <t>CCAMLR SCIENCE</t>
  </si>
  <si>
    <t>Patagonian toothfish; Dissostichus eleginoides; management; management procedure; MP; Prince Edward Islands; CCAMLR</t>
  </si>
  <si>
    <t>FISHERY</t>
  </si>
  <si>
    <t>The status of the toothfish resource in the Prince Edward Islands region is unclear because CPUE data suggest considerable depletion, whereas catch-at-length information indicates that past catches have had relatively little impact on abundance. A Management Procedure (MP) approach is proposed to provide a sound scientific basis to recommend future TACs in the face of this appreciable uncertainty. Four Operating Models (OMs) reflecting 'Optimistic', 'Intermediate', 'Less Pessimistic' and a 'Pessimistic' current status for the resource are developed which take account of the different selectivities of past longline and pot fisheries. These OMs are used for trials of a candidate generic MP which could provide future TAC recommendations for this resource. The MP uses two data sources: the recent trend in longline CPUE and the mean length of the catches made. An MP with control parameter values specified is proposed for implementation based on the results of the trials. Given the importance of an adequate catch rate for the economic viability of the fishery, the choice of control parameter values focused primarily on a reasonable probability of securing a catch rate increase, whatever the current resource status. MP performance is reasonably robust across a range of sensitivity tests, although it does deteriorate in conservation terms if the stock-recruitment curve steepness h is low. These tests also indicate that monitoring of future catch-at-length information would be necessary to guard against a change in selectivity towards greater catches of older fish.</t>
  </si>
  <si>
    <t>[Brandao, A.; Butterworth, D. S.] Univ Cape Town, MARAM Marine Resource Assessment &amp; Management Grp, Dept Math &amp; Appl Math, ZA-7701 Rondebosch, South Africa</t>
  </si>
  <si>
    <t>Brandao, A (corresponding author), Univ Cape Town, MARAM Marine Resource Assessment &amp; Management Grp, Dept Math &amp; Appl Math, ZA-7701 Rondebosch, South Africa.</t>
  </si>
  <si>
    <t>anabela.brandao@uct.ac.za</t>
  </si>
  <si>
    <t>Marine and Coastal Management; Department of Environment Affairs and Tourism</t>
  </si>
  <si>
    <t>Financial support for this work from Marine and Coastal Management and the South African National Antarctic Programme of the Department of Environment Affairs and Tourism is acknowledged. The estimation software used, AD Model Builder, is a trademark of Otter Research Ltd, PO Box 265, Station A, Nanaimo, B.C. V9R 5K9, Canada. Alistair Dunn and Andre Punt are thanked for their comments on an earlier version of this paper.</t>
  </si>
  <si>
    <t>C C A M L R TI</t>
  </si>
  <si>
    <t>NORTH HOBART</t>
  </si>
  <si>
    <t>PO BOX 213, NORTH HOBART, TAS 7002, AUSTRALIA</t>
  </si>
  <si>
    <t>1023-4063</t>
  </si>
  <si>
    <t>CCAMLR SCI</t>
  </si>
  <si>
    <t>CCAMLR Sci.</t>
  </si>
  <si>
    <t>527JU</t>
  </si>
  <si>
    <t>WOS:000272364100002</t>
  </si>
  <si>
    <t>Agnew, DJ; Edwards, C; Hillary, R; Mitchell, R; Abellán, LJL</t>
  </si>
  <si>
    <t>Agnew, D. J.; Edwards, C.; Hillary, R.; Mitchell, R.; Lopez Abellan, L. J.</t>
  </si>
  <si>
    <t>STATUS OF THE COASTAL STOCKS OF DISSOSTICHUS SPP. IN EAST ANTARCTICA (DIVISIONS 58.4.1 AND 58.4.2)</t>
  </si>
  <si>
    <t>Antarctic toothfish; sustainable yield; assessment; East Antarctica; CCAMLR</t>
  </si>
  <si>
    <t>PELAGIC FISH; TOOTHFISH</t>
  </si>
  <si>
    <t>Exploratory fisheries for Dissostichus spp. have been operating off the coast of East Antarctica (30 degrees E-150 degrees E; FAO/CCAMLR Divisions 58.4.1 and 58.4.2) since 2003. An experiment run from 2005 to 2008 required the tagging of toothfish as a prerequisite for participation in the fishery, with only some Small-scale Research Units (SSRUs, consisting of. 10 degrees longitude divisions of the larger areas) being open to fishing. This paper reviews the results of this experiment and explores several methods for arriving at estimates of sustainable yields. Biological data suggest that there are two stocks in the area, one in Division 58.4.1 and one in Division 58.4.2, with the division between them being at about 90 degrees E. The western stock may be centred around Prydz Bay, and appears to be of very low productivity. Estimates of average biomass were made by comparison of standardised catch rates with the Ross Sea, where an analytical assessment has been possible for several years, and through analysis of local depletion events. Results indicated SSRU vulnerable population sizes of about 100-1000 tonnes per SSRU in the west (Division 58.4.2) and 1000-1700 tonnes per SSRU in the east (Division 58.4.1). Although 3 434 tags were released over the period 2003-2007, very few tags have been recaptured (only five where time at liberty was a year or more). These recaptures were inconsistent with expectations given known landed catches. Potential yields were calculated for each SSRU assuming a similar productivity and exploitation state to the Ross Sea, where sustainable yield is 5% of virgin Vulnerable biomass. The estimated yield from all assessed SSRUs (260 tonnes) is much lower than the current total allowable catch (1380 tonnes).</t>
  </si>
  <si>
    <t>[Agnew, D. J.; Edwards, C.; Hillary, R.] Univ London Imperial Coll Sci Technol &amp; Med, Div Biol, Fisheries Grp, London SW7 2BP, England; [Mitchell, R.] MRAG Ltd, London W1J 5PN, England; [Lopez Abellan, L. J.] Inst Espanol Oceanog, Santa Cruz de Tenerife 38005, Spain</t>
  </si>
  <si>
    <t>Imperial College London; Spanish Institute of Oceanography</t>
  </si>
  <si>
    <t>Agnew, DJ (corresponding author), Univ London Imperial Coll Sci Technol &amp; Med, Div Biol, Fisheries Grp, Prince Consort Rd, London SW7 2BP, England.</t>
  </si>
  <si>
    <t>d.agnew@imperial.ac.uk</t>
  </si>
  <si>
    <t>Hillary, Richard M/L-3300-2013</t>
  </si>
  <si>
    <t>WOS:000272364100003</t>
  </si>
  <si>
    <t>La Mesa, M; De Felice, A; Jones, CD; Kock, KH</t>
  </si>
  <si>
    <t>La Mesa, M.; De Felice, A.; Jones, C. D.; Kock, K. -H.</t>
  </si>
  <si>
    <t>AGE AND GROWTH OF SPINY ICEFISH (CHAENODRACO WILSONI REGAN, 1914) OFF JOINVILLE-D'URVILLE ISLANDS (ANTARCTIC PENINSULA)</t>
  </si>
  <si>
    <t>CHAENOCEPHALUS-ACERATUS; JUVENILE NOTOTHENIOIDS; WEDDELL SEA; SCOTIA SEA; ROSS SEA; FISH; REPRODUCTION; CHANNICHTHYIDAE; VALIDATION; POSTLARVAL</t>
  </si>
  <si>
    <t>Age and growth of spiny icefish (Chaenodraco wilsoni) were investigated using counts of annual growth increments from sagittal otoliths. Samples were collected during research surveys by benthic trawl carried out off joinville-D'Urville Islands (Antarctic Peninsula) in February-March 2006 and January 2007. A total of 218 specimens were selected for the study, consisting of 120 females and 98 males. The age of fish was estimated by counting annuli on transverse sections obtained by grinding and polishing whole otoliths embedded in epoxy resin in moulds. The precision of age estimates between readings was tested applying both the average percent error (APE) and the coefficient of variation (CV). Conversely, the accuracy of age estimates was not tested, so that present ageing data have to be considered with caution. The estimated age range was 1-5 years for males and 1-4 years for females of C. wilsoni. Applying the von Bertalanffy (VB) growth function to the age-length data, a growth curve was obtained for each sex. The estimated values of VB growth parameters L-infinity (cm) and k were respectively 32.7 and 0.81 for females and 32.7 and 0.68 for males. Age-at-sexual maturity was estimated to be about 2 years for females and 2.5 years for males. Like other icefishes, C. wilsoni exhibited a high growth rate until it reached sexual maturity although it had a much shorter life span. The part of the population Of C. wilsoni caught in the study area consisted mainly of adult individuals between 1 and 3 years of age, with very few older fish.</t>
  </si>
  <si>
    <t>[La Mesa, M.; De Felice, A.] Sez Pesca Marittima Ancona, Ist Sci Marine, ISMAR CNR, I-60125 Ancona, Italy; [Jones, C. D.] Natl Marine Fisheries Serv, NOAA, SW Fisheries Sci Ctr, La Jolla, CA 92037 USA; [Kock, K. -H.] Johann Heinrich von Thunen Inst, Inst Seefischerei, D-22767 Hamburg, Germany</t>
  </si>
  <si>
    <t>Consiglio Nazionale delle Ricerche (CNR); Istituto di Scienze Marine (ISMAR-CNR); National Oceanic Atmospheric Admin (NOAA) - USA; Johann Heinrich von Thunen Institute</t>
  </si>
  <si>
    <t>La Mesa, M (corresponding author), Sez Pesca Marittima Ancona, Ist Sci Marine, ISMAR CNR, Largo Fiera Pesca, I-60125 Ancona, Italy.</t>
  </si>
  <si>
    <t>m.lamesa@an.ismar.cnr.it</t>
  </si>
  <si>
    <t>De+Felice, Andrea/AHA-1500-2022; CNR, Ismar/P-1247-2014</t>
  </si>
  <si>
    <t>De+Felice, Andrea/0000-0002-0051-2052; CNR, Ismar/0000-0001-5351-1486</t>
  </si>
  <si>
    <t>WOS:000272364100005</t>
  </si>
  <si>
    <t>Kawaguchi, S; Candy, SG</t>
  </si>
  <si>
    <t>Kawaguchi, S.; Candy, S. G.</t>
  </si>
  <si>
    <t>QUANTIFYING MOVEMENT BEHAVIOUR OF VESSELS IN THE ANTARCTIC KRILL FISHERY</t>
  </si>
  <si>
    <t>Antarctic krill; krill fishery; fishery model; CCAMLR; fishery dynamics; CPUE</t>
  </si>
  <si>
    <t>LINEAR MIXED MODELS; TRENDS</t>
  </si>
  <si>
    <t>Ten years of recent fine-scale haul-by-haul krill data were used to characterise the behaviour of the krill fishery. Analysis of distance between hauls in relation to their catch level revealed a distinct pattern. Mean between-haul distances were generally longer when catch levels fell below 10 tonnes/haul, and the travel distance decreased as the catch level increased; this pattern was most obvious for operations by Japanese fishing vessels. There were differences between statistical areas with longer distances moved between hauls in Subarea 48.1 compared to Subareas 48.2 and 48.3, reflecting the large number of fishing grounds within this area. The same patterns were observed for vessels from other nations, but were less clear. The study suggests the movement trends for Japanese vessels could form the basis for describing a generalised fishery model. Updates for some of the parameters for the krill fishery model suggested in the late 1980s are proposed based on the results from this study. These analyses demonstrate the need for high-quality year-round data on all vessels participating in the krill fishery to assist in interpreting the annual fishing patterns, which can best be collected by scientific observers.</t>
  </si>
  <si>
    <t>[Kawaguchi, S.; Candy, S. G.] Australian Antarctic Div, Dept Environm Water Heritage &amp; Arts, Kingston, Tas 7050, Australia</t>
  </si>
  <si>
    <t>Kawaguchi, S (corresponding author), Australian Antarctic Div, Dept Environm Water Heritage &amp; Arts, Channel Highway, Kingston, Tas 7050, Australia.</t>
  </si>
  <si>
    <t>so.kawaguchi@aad.gov.au</t>
  </si>
  <si>
    <t>Kawaguchi, So/0000-0002-2042-5095</t>
  </si>
  <si>
    <t>WOS:000272364100006</t>
  </si>
  <si>
    <t>Lynch, HJ; Fagan, WF; Naveen, R; Trivelpiece, SG; Trivelpiece, WZ</t>
  </si>
  <si>
    <t>Lynch, H. J.; Fagan, W. F.; Naveen, R.; Trivelpiece, S. G.; Trivelpiece, W. Z.</t>
  </si>
  <si>
    <t>TIMING OF CLUTCH INITIATION IN PYGOSCELIS PENGUINS ON THE ANTARCTIC PENINSULA: TOWARDS AN IMPROVED UNDERSTANDING OF OFF-PEAK CENSUS CORRECTION FACTORS</t>
  </si>
  <si>
    <t>breeding phenology; Antarctic Peninsula; clutch initiation; nest attrition; gentoo penguins; chinstrap penguins; Adelie penguins; census; CCAMLR</t>
  </si>
  <si>
    <t>ECOLOGICAL SEGREGATION; CHINSTRAP PENGUINS; ISLAND; ECOSYSTEM; ADELIAE; GENTOO; FOOD</t>
  </si>
  <si>
    <t>Penguin censuses on the Antarctic Peninsula are often subject to logistical challenges that preclude nest counts being conducted at the peak of egg laying. Additionally, the historical literature includes many census counts with non-standard timing. The challenge is, therefore, to correct 'off-peak' census counts to make them comparable with current standard methods. Census correction involves knowing (i) how the census is timed relative to the peak of egg laying, and (ii) how nest numbers change through the breeding cycle. In this paper the authors present an analysis relating to both these challenges. Clutch initiation dates for four penguin breeding sites are examined (Cape Shirreff, Admiralty Bay, Humble Island and Petermann Island) in relation to potential drivers of clutch initiation (e.g. temperature, precipitation, sea-ice etc.). It is found that mean October temperatures constitute the most consistent significant factor related to the timing of clutch initiation in all three of the penguin species examined (Adelie (Pygoscelis adeliae), gentoo (P. papua) and chinstrap (P. antarctica)). A statistical model for determining the peak of clutch initiation is presented and, along with a simple estimation of species-specific nest attrition rates, is used to illustrate the procedure for correcting off-peak census counts.</t>
  </si>
  <si>
    <t>[Lynch, H. J.; Fagan, W. F.] Univ Maryland, Dept Biol, College Pk, MD 20742 USA; [Lynch, H. J.; Naveen, R.] Oceanites Inc, Chevy Chase, MD 20825 USA; [Trivelpiece, S. G.; Trivelpiece, W. Z.] NOAA SWFSC, Antarctic Ecosyst Res Div, La Jolla, CA 92038 USA</t>
  </si>
  <si>
    <t>University System of Maryland; University of Maryland College Park; National Oceanic Atmospheric Admin (NOAA) - USA</t>
  </si>
  <si>
    <t>Lynch, HJ (corresponding author), Univ Maryland, Dept Biol, College Pk, MD 20742 USA.</t>
  </si>
  <si>
    <t>hlynch@umd.edu</t>
  </si>
  <si>
    <t>Lynch, Heather J/E-7371-2012</t>
  </si>
  <si>
    <t>Office of Polar Programs (OPP); Directorate For Geosciences [0739515] Funding Source: National Science Foundation</t>
  </si>
  <si>
    <t>WOS:000272364100007</t>
  </si>
  <si>
    <t>Belchier, M; Fretwell, P</t>
  </si>
  <si>
    <t>Belchier, M.; Fretwell, P.</t>
  </si>
  <si>
    <t>REVISED ESTIMATES OF THE AREA OF THE SOUTH GEORGIA AND SHAG ROCKS SHELF (CCAMLR SUBAREA 48.3)</t>
  </si>
  <si>
    <t>South Georgia; swath bathymetry; Champsocephalus gunnari; CCAMLR</t>
  </si>
  <si>
    <t>A new South Georgia Bathymetric Dataset (SGDB) was compiled from a variety of primary sources including multi-beam swath bathymetry. Sea floor area (km(2) &lt;500 m depth) within CCAMLR Subarea 48.3 was calculated using this new dataset. Total sea floor area within the region closely matched existing estimates derived from nautical charts (and single-point sounding data). However, the reliability of existing sea floor area estimates was found to vary spatially and between different depth strata. The new dataset is considered the most accurate and reliable currently available and should be used for future assessments and for assisting with the stratification of surveys.</t>
  </si>
  <si>
    <t>[Belchier, M.; Fretwell, P.] British Antarctic Survey, Cambridge CB3 0ET, England</t>
  </si>
  <si>
    <t>Belchier, M (corresponding author), British Antarctic Survey, High Cross,Madingley Rd, Cambridge CB3 0ET, England.</t>
  </si>
  <si>
    <t>markb@bas.ac.uk</t>
  </si>
  <si>
    <t>WOS:000272364100008</t>
  </si>
  <si>
    <t>Martin-Smith, K</t>
  </si>
  <si>
    <t>Martin-Smith, K.</t>
  </si>
  <si>
    <t>A RISK-MANAGEMENT FRAMEWORK FOR AVOIDING SIGNIFICANT ADVERSE IMPACTS OF BOTTOM FISHING GEAR ON VULNERABLE MARINE ECOSYSTEMS</t>
  </si>
  <si>
    <t>bottom fishing gear; mitigation; risk assessment; risk management; vulnerable marine ecosystems; CCAMLR</t>
  </si>
  <si>
    <t>PRACTICAL IMPLEMENTATION; WEDDELL SEA; FISHERIES; CORAL; SHELF; COMMUNITY; CONSERVE; ECOLOGY; SPONGES; WATER</t>
  </si>
  <si>
    <t>CCAMLR adopted a new conservation measure in 2007 to ensure that significant adverse impacts of bottom fishing gear on Vulnerable Marine Ecosystems (VMEs) are avoided. Due to the high levels of uncertainty surrounding both the evidence of VME presence and the consequences of interaction with different types of gear, a risk-management framework is proposed, similar to that which has been used successfully to minimise the effects of longline fishing mortality on seabirds. Risk is broadly defined as the conditional probability of adverse impacts given particular bottom fishing activities multiplied by the consequences of those impacts. The aim of the risk-management framework is to avoid significant adverse impacts on VMEs from bottom fishing activities. The framework consists of four steps: (i) Risk analysis of current and proposed fishing activities; evidence of potential VMEs; scale of interactions between fishing activities and VMEs; impact of interactions on VMEs; and recovery potential of VMEs. (ii) Risk evaluation. Information on likelihood and consequences of interactions of bottom fishing gear with VMEs and associated uncertainties from risk analysis is combined to produce risk metrics. (iii) Risk elimination or mitigation. The spatial scale at which this framework operates should be related to the scale of VMEs, presently unknown. However, management at the level of fine-scale rectangles (0.5 degrees latitude by 1.0 degrees longitude) or smaller can be used in the first instance. Temporal scales must be matched to the recovery scale of VMEs, which are probably in the order of many decades or even centuries. Unacceptable levels of risk from bottom fishing activities to VMEs must be eliminated or reduced to acceptable levels through the use of management measures including, inter alia, closed areas around identified VMEs, open and closed management areas, by-catch limits for VME-forming organisms, gear modification or spatial distribution of fishing effort. (iv) Review. All of the above steps should be reviewed annually to ensure that all relevant or new information has been included, appropriate scientific research and data collection plans are in place and that risk mitigation measures are successful in their implementation.</t>
  </si>
  <si>
    <t>Australian Antarctic Div, Dept Environm Water Heritage &amp; Arts, Kingston, Tas 7050, Australia</t>
  </si>
  <si>
    <t>Martin-Smith, K (corresponding author), Australian Antarctic Div, Dept Environm Water Heritage &amp; Arts, 203 Channel Highway, Kingston, Tas 7050, Australia.</t>
  </si>
  <si>
    <t>WOS:000272364100009</t>
  </si>
  <si>
    <t>Francis, MP; Gallagher, MJ</t>
  </si>
  <si>
    <t>Francis, M. P.; Gallagher, M. J.</t>
  </si>
  <si>
    <t>REVISED AGE AND GROWTH ESTIMATES FOR ANTARCTIC STARRY SKATE (AMBLYRAJA GEORGIANA) FROM THE ROSS SEA</t>
  </si>
  <si>
    <t>age; growth; longevity; natural mortality; maturity; CCAMLR</t>
  </si>
  <si>
    <t>CAUDAL THORNS; MORTALITY</t>
  </si>
  <si>
    <t>A previous study on the age and growth of Amblyraja georgiana in the Ross Sea suggested that these skates initially grow very rapidly for about five years, after which growth almost ceases (Francis and O Maolagain, 2005). An alternative interpretation of age and growth in A. georgiana that is radically different from the published interpretation is presented. By counting fine growth bands in the caudal thorns instead of broad diffuse bands, growth curves have been generated that suggest much slower growth, greater ages-at-maturity (about 20 years compared with 6-11 years) and greater maximum ages (28-37 years compared with 14 years). Several pieces of circumstantial evidence support the new interpretation, but a validation study is required to determine which growth scenario is correct.</t>
  </si>
  <si>
    <t>[Francis, M. P.] Natl Inst Water &amp; Atmospher Res NIWA Ltd, Wellington, New Zealand; [Gallagher, M. J.] Irish Sea Fisheries Board, Killybegs, Donegal, Ireland</t>
  </si>
  <si>
    <t>Francis, MP (corresponding author), Natl Inst Water &amp; Atmospher Res NIWA Ltd, Private Bag 14901, Wellington, New Zealand.</t>
  </si>
  <si>
    <t>m.francis@niwa.co.nz</t>
  </si>
  <si>
    <t>WOS:000272364100011</t>
  </si>
  <si>
    <t>Candy, SG</t>
  </si>
  <si>
    <t>Candy, S. G.</t>
  </si>
  <si>
    <t>MODELLING CATCH AND EFFORT DATA USING GENERALISED LINEAR MODELS, THE TWEEDIE DISTRIBUTION, RANDOM VESSEL EFFECTS AND RANDOM STRATUM-BY-YEAR EFFECTS (vol 11, pg 59, 2004)</t>
  </si>
  <si>
    <t>Candy, SG (corresponding author), Australian Antarctic Div, Dept Environm Water Heritage &amp; Arts, 203 Channel Highway, Kingston, Tas 7050, Australia.</t>
  </si>
  <si>
    <t>steve.candy@aad.gov.au</t>
  </si>
  <si>
    <t>WOS:000272364100012</t>
  </si>
  <si>
    <t>Stokesbury, MJW; Dadswell, MJ; Holland, KN; Jackson, GD; Bowen, WD; O'Dor, RK</t>
  </si>
  <si>
    <t>Haro, A; Smith, KL; Rulifson, RA; Moffitt, CM; Klauda, RJ; Dadswell, MJ; Cunjak, RA; Cooper, JE; Beal, KL; Avery, TS</t>
  </si>
  <si>
    <t>Stokesbury, Michael J. W.; Dadswell, Michael J.; Holland, Kim N.; Jackson, George D.; Bowen, W. Don; O'Dor, Ronald K.</t>
  </si>
  <si>
    <t>Tracking Diadromous Fishes at Sea: The Electronic Future Using Hybrid Acoustic and Archival Tags</t>
  </si>
  <si>
    <t>CHALLENGES FOR DIADROMOUS FISHES IN A DYNAMIC GLOBAL ENVIRONMENT</t>
  </si>
  <si>
    <t>American Fisheries Society Symposium</t>
  </si>
  <si>
    <t>International Symposium on Challenges for Diadromous Fishes in a Dynamic Global Environment</t>
  </si>
  <si>
    <t>JUN 18-21, 2007</t>
  </si>
  <si>
    <t>Halifax, CANADA</t>
  </si>
  <si>
    <t>ATLANTIC BLUEFIN TUNA; LARGE MARINE PREDATOR; SALMO-SALAR L.; THUNNUS-THYNNUS; HABITAT USE; POPULATION CHARACTERISTICS; ACIPENSER-OXYRINCHUS; ECOSYSTEM APPROACH; THERMAL BIOLOGY; NORTH-ATLANTIC</t>
  </si>
  <si>
    <t>Tagging fish with electronic tags can provide information on movement, migration, behavior, and stock structure while diadromous species are at sea. The state of the art technology for tracking fishes in the marine environment includes two families of tags. Archival tags store data and either relay them to satellites or require recapture for interrogation. Low return rates for diadromous species make these tags very expensive to use. A second type, acoustic tags, sends signals to passive receivers. Information is collected from the fish only when it is within range of a receiver. Technology is now being developed to mesh these tags into a fully integrated tag that will permit archived data to be transmitted acoustically over multiple frequencies to receivers allowing data retrieval without recapturing the animal. The new technology includes a business card tag that is a miniaturized receiver coupled with a coded pulse transmitter. These tags will exchange and record individual-specific codes when two animals carrying them come within acoustic range of each other, which will allow data from many animals to be moved ashore through few animals. These devices would be ideal for quantifying the degree of school fidelity (Or, conversely, mixing) or the degree of at sea interaction of fishes from different river systems and provide ecological information to enhance management in an ecosystem approach to fisheries.</t>
  </si>
  <si>
    <t>[Stokesbury, Michael J. W.] Dalhousie Univ, Fac Sci, Ocean Tracking Network, Halifax, NS B3H 4J1, Canada; [Dadswell, Michael J.] Acadia Univ, Dept Biol, Wolfville, NS B4P 2R6, Canada; [Holland, Kim N.] Univ Hawaii, Kaneohe, HI 96744 USA; [Jackson, George D.] Univ Tasmania, Inst Antarctic &amp; Southern Ocean Studies, Hobart, Tas 7001, Australia; [Bowen, W. Don] Fisheries &amp; Oceans Canada, Bedford Inst Oceanog, Marine Fish Div Darmouth, Dartmouth, NS B2Y 4A2, Canada; [O'Dor, Ronald K.] Consortium Ocean Leadership, Washington, DC 20005 USA</t>
  </si>
  <si>
    <t>Dalhousie University; Acadia University; University of Hawaii System; University of Tasmania; Bedford Institute of Oceanography; Fisheries &amp; Oceans Canada</t>
  </si>
  <si>
    <t>Stokesbury, MJW (corresponding author), Dalhousie Univ, Fac Sci, Ocean Tracking Network, Halifax, NS B3H 4J1, Canada.</t>
  </si>
  <si>
    <t>rnstokesb@dal.ca</t>
  </si>
  <si>
    <t>Holland, Kim/ABH-1490-2021; Bowen, William/AAE-7204-2022</t>
  </si>
  <si>
    <t>Bowen, William/0000-0001-8334-5677</t>
  </si>
  <si>
    <t>AMER FISHERIES SOC</t>
  </si>
  <si>
    <t>5410 GROSVENOR LANE, STE 110, BETHESDA, MD 20814-2199 USA</t>
  </si>
  <si>
    <t>0892-2284</t>
  </si>
  <si>
    <t>978-1-934874-08-0</t>
  </si>
  <si>
    <t>AM FISH S S</t>
  </si>
  <si>
    <t>Am. Fish. Soc. Symp.</t>
  </si>
  <si>
    <t>Fisheries; Neurosciences</t>
  </si>
  <si>
    <t>Fisheries; Neurosciences &amp; Neurology</t>
  </si>
  <si>
    <t>BLN75</t>
  </si>
  <si>
    <t>WOS:000270598800020</t>
  </si>
  <si>
    <t>Haggan, N; Jackson, GD; Lacroix, P</t>
  </si>
  <si>
    <t>Haggan, Nigel; Jackson, George D.; Lacroix, Paul</t>
  </si>
  <si>
    <t>Salmon and Eulachon in Ecosystem Space and Time: A Plea for Wider Collaboration and Data Integration</t>
  </si>
  <si>
    <t>ACOUSTIC TELEMETRY; DIADROMOUS FISH; MARINE LIFE; MODELS; SEA; POPULATION; MANAGEMENT; FISHERIES; RESPONSES; EXAMPLE</t>
  </si>
  <si>
    <t>Aboriginal People developed integrated ecosystem-based management long, before European contact in the 1750s. Ecosystem knowledge contributed the lions share of precontact wealth. Fisheries drove the early British Columbia economy, but now account for less than 0.5% of gross domestic product. Even thought West Coast research shows that precontact ecosystems could sustain many times Current catch value, this still would not weigh heavily against other economic sectors. Single species management has failed to avert the depletion of many fisheries; hence, we now hear calls for ecosystem-based management as opposed to integrated management (used in reference to managing multiple sectors Such as fisheries, farmed salmon, oil, and gas, as well as climate change). We suggest that reintegrating ecosystem-based and integrated management necessitates the cooperation of other ocean sectors in generating the information necessary to monitor and restore ecosystems while ensuring that their own operations are sustainable. Currently, there are a number of scientific initiatives, ocean and biological observing platforms, and high-powered models to help develop new management regimes. We consider how this new technology could help to understand the collapse of eulachon Thaleichthys pacificus. Eulachon are of great importance to Native peoples but could well be described as the forgotten anadromous fish of the research community. It is important that both industry and governments recognize the importance of maintaining the long-term viability of these important tools and invest appropriately to ensure sound ecosystem management practices into the future.</t>
  </si>
  <si>
    <t>[Haggan, Nigel] UBC Fisheries Ctr, 2202 Main Mall, Vancouver, BC V6T 1Z4, Canada; [Jackson, George D.] Univ Tasmania, Inst Antarctic &amp; So Ocean Studies, Hobart, Tas 7001, Australia; [Jackson, George D.] Vancouver Aquarium, Pacific Ocean Shelf Tracking Project, Vancouver, BC V68 3X8, Canada; [Lacroix, Paul] COIN Pacific, Victoria, BC V8W 3W2, Canada</t>
  </si>
  <si>
    <t>University of British Columbia; University of Tasmania</t>
  </si>
  <si>
    <t>Haggan, N (corresponding author), UBC Fisheries Ctr, 2202 Main Mall, Vancouver, BC V6T 1Z4, Canada.</t>
  </si>
  <si>
    <t>nhaggan@gmail.com</t>
  </si>
  <si>
    <t>WOS:000270598800039</t>
  </si>
  <si>
    <t>Moriarty, GM; Rumble, D; Friedrich, JM</t>
  </si>
  <si>
    <t>Moriarty, Gina M.; Rumble, Douglas, III; Friedrich, Jon M.</t>
  </si>
  <si>
    <t>Compositions of four unusual CM or CM-related Antarctic chondrites</t>
  </si>
  <si>
    <t>CHEMIE DER ERDE-GEOCHEMISTRY</t>
  </si>
  <si>
    <t>Chondrite; Carbonaceous chondrite; Trace elements; Oxygen isotopes; CM chondrites; Thermal metamorphism; Aqueous alteration</t>
  </si>
  <si>
    <t>CARBONACEOUS CHONDRITES; TRACE-ELEMENTS; OXYGEN-ISOTOPE</t>
  </si>
  <si>
    <t>To identify chemical group affinities and infer the occurrence of thermal metamorphism or aqueous alteration in their histories, we quantified 43 trace elements in the CM or CM-related Antarctic carbonaceous chondrites EET 96010, LAP 02277, MET 01070, and WIS 91600. We also analyzed LAP 02206, a CV chondrite, to add to our comparison database. We present whole-rock oxygen isotope data for LAP 02206, LAP 02277, and MET 01070 to complement our trace element results. With these data, we confirm the CV classification of LAP 02206 and CM or CM-like classification for the other four chondrites in this study. On the basis of moderately volatile element content, our results show that EET 96010 experienced open-system heating, while any heating LAP 02277 and MET 01070 may have experienced was in a chemically closed-system. WIS 91600, oil a trace element basis, appears to be CM-like material. Our analyses support the idea that CM material has experienced a wide variety of post-accretionary processing. (c) 2008 Elsevier GmbH. All rights reserved.</t>
  </si>
  <si>
    <t>[Friedrich, Jon M.] Fordham Univ, Dept Chem, Bronx, NY 10458 USA; [Friedrich, Jon M.] Amer Museum Nat Hist, Dept Earth &amp; Planetary Sci, New York, NY USA; [Rumble, Douglas, III] Carnegie Inst Sci, Geophys Lab, Washington, DC 20015 USA; [Moriarty, Gina M.] CUNY, Queens Coll, Flushing, NY 11367 USA</t>
  </si>
  <si>
    <t>Fordham University; American Museum of Natural History (AMNH); Carnegie Institution for Science; City University of New York (CUNY) System; Queens College NY (CUNY)</t>
  </si>
  <si>
    <t>Friedrich, JM (corresponding author), Fordham Univ, Dept Chem, Bronx, NY 10458 USA.</t>
  </si>
  <si>
    <t>friedrich@fordham.edu</t>
  </si>
  <si>
    <t>Rumble, Douglas/AAU-3930-2020</t>
  </si>
  <si>
    <t>Rumble, Douglas/0000-0002-7440-9189</t>
  </si>
  <si>
    <t>National Science Foundation [AST-0552582]; NASA [NAG5-12948]</t>
  </si>
  <si>
    <t>National Science Foundation(National Science Foundation (NSF)); NASA(National Aeronautics &amp; Space Administration (NASA))</t>
  </si>
  <si>
    <t>This work was supported by REU Grant #AST-0552582 from the National Science Foundation. Oxygen isotopic analyses were supported by NASA Cosmo-chemistry Grant NAG5-12948. We thank Dr. Rick Mortlock for assistance with ICPMS analyses and Dr. Steven Chillrud for the use of trace element chemistry facilities. The Meteorite Working Group (JSC, Houston, TX) generously provided meteorite samples.</t>
  </si>
  <si>
    <t>1611-5864</t>
  </si>
  <si>
    <t>CHEM ERDE-GEOCHEM</t>
  </si>
  <si>
    <t>Chem Erde-Geochem.</t>
  </si>
  <si>
    <t>10.1016/j.chemer.2008.12.002</t>
  </si>
  <si>
    <t>461HA</t>
  </si>
  <si>
    <t>WOS:000267254200004</t>
  </si>
  <si>
    <t>Mangelsdorf, K; Finsel, E; Liebner, S; Wagner, D</t>
  </si>
  <si>
    <t>Mangelsdorf, K.; Finsel, E.; Liebner, S.; Wagner, D.</t>
  </si>
  <si>
    <t>Temperature adaptation of microbial communities in different horizons of Siberian permafrost-affected soils from the Lena Delta</t>
  </si>
  <si>
    <t>Phospholipids; Microorganisms; Temperature adaptation; Permafrost environment; Lena Delta</t>
  </si>
  <si>
    <t>CRYSTALLINE PHASE-TRANSITIONS; EXTREMELY BAROPHILIC BACTERIA; MEMBRANE-LIPIDS; POLYGONAL TUNDRA; INTACT PHOSPHOLIPIDS; METHANE EMISSION; ADAPTIVE-CHANGES; ORGANIC-MATTER; FATTY-ACIDS; SP. NOV.</t>
  </si>
  <si>
    <t>The cell membrane phospholipid (PL) inventory of microbial populations in a Siberian permafrost soil of the Lena Delta was analysed to examine as to how the microbial populations within different horizons of the active layer were adapted to the extreme temperature gradient in this environment. One surface-near and one permafrost-near soil sample were taken from the active layer on Samoylov Island in the southern central Lena Delta (Siberia) and in each case incubated at 4 and 28 degrees C. Subsequently, the phospholipid cell membrane composition of the indigenous microbial populations was qualitatively and quantitatively determined and compared. In both horizons, the Incubation at 4 degrees C is characterized by a shift in the PL inventory to more short chain fatty acids. A significant trend in the proportions of saturated and unsaturated fatty acids, however, was not detected. A higher proportion of both short chain and unsaturated fatty acids counterbalances the effect of decreasing cell membrane fluidity with decreasing environmental temperature. Thus, the adaptation of the permafrost microbial populations within the different horizons to varying ambient temperature conditions appears to be mainly regulated by the chain length of the phospholipid fatty acids. Although there is almost no change in the proportions Of unsaturated fatty acids between the 4 and 28 degrees C incubation experiments, the permafrost-near horizon in general contains more unsaturated fatty acids than the surface-near horizon and a higher proportion of short chain fatty acids. This suggests that the lipid inventory of the microbial population nearer to the perennially frozen ground is more adapted to lower temperatures than that of the microbial community from the surface-near horizon, which seems to show a higher flexibility toward higher temperature conditions. The permafrost-near horizon appears to be dominated by psychrophilic species, while the surface-near horizon is characterized by a mesophilic-dominated microbial community. (c) 2009 Elsevier GmbH. All rights reserved.</t>
  </si>
  <si>
    <t>[Mangelsdorf, K.] GFZ German Res Ctr Geosci, Helmholtz Ctr Potsdam, D-14473 Potsdam, Germany; [Finsel, E.] Free Univ Berlin, D-14195 Berlin, Germany; [Liebner, S.; Wagner, D.] Alfred Wegener Inst Polar &amp; Marine Res, Res Unit Potsdam, D-14473 Potsdam, Germany</t>
  </si>
  <si>
    <t>Helmholtz Association; Helmholtz-Center Potsdam GFZ German Research Center for Geosciences; Free University of Berlin; Helmholtz Association; Alfred Wegener Institute, Helmholtz Centre for Polar &amp; Marine Research</t>
  </si>
  <si>
    <t>Mangelsdorf, K (corresponding author), GFZ German Res Ctr Geosci, Helmholtz Ctr Potsdam, Telegrafenberg, D-14473 Potsdam, Germany.</t>
  </si>
  <si>
    <t>K.Mangelsdorf@gfz-potsdam.de</t>
  </si>
  <si>
    <t>Wagner, Dirk/C-3932-2012; Liebner, Susanne/R-3749-2019</t>
  </si>
  <si>
    <t>Wagner, Dirk/0000-0001-5064-497X; Liebner, Susanne/0000-0002-9389-7093</t>
  </si>
  <si>
    <t>Helmholtz Association</t>
  </si>
  <si>
    <t>Helmholtz Association(Helmholtz Association)</t>
  </si>
  <si>
    <t>The authors acknowledge the crew of the expedition LENA 2005, in particular Waldemar Schneider for logistic and Gunter 'Molo' Stoof for technical support (both Alfred Wegener Institute for Polar and Marine Research). We also want to thank all our Russian partners, in particular, Dimitry Yu. Bolshiyanov (Arctic Antarctic Research Institute), Alexander Yu. Dereviagin (Moscow State University), Mikhail N. Grigoriev (Permafrost Institute, Yakutsk), Dmitri V. Melnitschenko (Hydro Base Tiksi) and Alexander Yu. Gukov (Lena Delta Reserve). We are also grateful to two anonymous reviewers for their helpful comments. Finally, we would like to thank the Helmholtz Association for financial Support of this study.</t>
  </si>
  <si>
    <t>10.1016/j.chemer.2009.02.001</t>
  </si>
  <si>
    <t>WOS:000267254200005</t>
  </si>
  <si>
    <t>Jiang, WP; E, DC; Zhan, BW; Liu, YW</t>
  </si>
  <si>
    <t>Jiang Wei-Ping; E Dong-Chen; Zhan Bi-Wei; Liu You Wen</t>
  </si>
  <si>
    <t>New model of Antarctic plate motion and its analysis</t>
  </si>
  <si>
    <t>SCAR; GPS; Velocity field; Antarctic plate; Crust movement</t>
  </si>
  <si>
    <t>CRUSTAL DEFORMATION; SPACE GEODESY; VELOCITIES; SYSTEM; CONSTRAINTS; CHINA</t>
  </si>
  <si>
    <t>Since 1995, Antarctic crustal movement campaign has been taking place by Scientific Committee on Antarctic Research (SCAR) every year. We analyse SCAR campaign data from 1997 to 2004 and some continuous GPS stations in Antarctica using GAMIT/GLOBK software. The data analysis involves two major procedures. The first procedure uses the GAMIT software to estimate parameters such as station position and orbital trajectory on a daily basis for a given 24 hour interval from the union of three data sets: (1) the campaign stations, (2) the continuously operating GPS stations in Antarctica, (3) long-running continuous GPS stations around Antarctica. In the second procedure, we combine the daily solutions with global GPS sub-networks (IGS1, IGS2, IGS3), which is provided by Scripps Institution of Oceanography (SIO), using the GLOBK software in a regional stabilization approach in order to estimate the positions and velocities. Then we discuss present-day crustal movement of Antarctic plate. The position of the rotation pole (58.69 degrees N, 128.29 degrees W)and its rate (0.224(degrees)/Ma) derived from SCAR GPS data is significantly different from the NNR-NUVEL-1A estimations or from some GPS results for the Antarctic tectonic plate. As for the relative angular motion between Antarctic and Australian, the differences between the results from the paper and some other models are better. All differences for rotation rate are smaller than 0.01(degrees)/Ma, and for rotation pole are smaller than 4 degrees. The GPS results give the new and precise model on Antarctic plate motion.</t>
  </si>
  <si>
    <t>[Jiang Wei-Ping; Liu You Wen] Wuhan Univ, GNSS Res Ctr, Wuhan 430079, Peoples R China; [E Dong-Chen; Zhan Bi-Wei] Wuhan Univ, Chinese Antarctic Ctr Surveying &amp; Mapping, Wuhan 430079, Peoples R China</t>
  </si>
  <si>
    <t>Wuhan University; Wuhan University</t>
  </si>
  <si>
    <t>Jiang, WP (corresponding author), Wuhan Univ, GNSS Res Ctr, Wuhan 430079, Peoples R China.</t>
  </si>
  <si>
    <t>wpjiang@whu.edu.cn</t>
  </si>
  <si>
    <t>Liu, Youwen/AAU-5884-2020</t>
  </si>
  <si>
    <t>Liu, Youwen/0000-0001-9929-4616</t>
  </si>
  <si>
    <t>401XA</t>
  </si>
  <si>
    <t>WOS:000262974800005</t>
  </si>
  <si>
    <t>Zalasiewicz, J; Williams, M</t>
  </si>
  <si>
    <t>Letcher, TM</t>
  </si>
  <si>
    <t>Zalasiewicz, Jan; Williams, Mark</t>
  </si>
  <si>
    <t>A Geological History of Climate Change</t>
  </si>
  <si>
    <t>CLIMATE CHANGE: OBSERVED IMPACTS ON PLANET EARTH</t>
  </si>
  <si>
    <t>ATMOSPHERIC CARBON-DIOXIDE; ICE-SHEET; ANTARCTIC GLACIATION; EARLY EOCENE; OCEAN; CO2; CYCLE; ACIDIFICATION; SEASONALITY; HOLOCENE</t>
  </si>
  <si>
    <t>[Zalasiewicz, Jan; Williams, Mark] Univ Leicester, Dept Geol, Leicester LE1 7RH, Leics, England</t>
  </si>
  <si>
    <t>University of Leicester</t>
  </si>
  <si>
    <t>Zalasiewicz, J (corresponding author), Univ Leicester, Dept Geol, Univ Rd, Leicester LE1 7RH, Leics, England.</t>
  </si>
  <si>
    <t>Williams, Mark/B-7590-2009</t>
  </si>
  <si>
    <t>Williams, Mark/0000-0002-7987-6069</t>
  </si>
  <si>
    <t>978-0-08-093303-0; 978-0-44-453301-2</t>
  </si>
  <si>
    <t>10.1016/B978-0-444-53301-2.00006-3</t>
  </si>
  <si>
    <t>BCR95</t>
  </si>
  <si>
    <t>WOS:000311226000009</t>
  </si>
  <si>
    <t>Vaughan, DG</t>
  </si>
  <si>
    <t>Vaughan, David G.</t>
  </si>
  <si>
    <t>Ice Sheets: Indicators and Instruments of Climate Change</t>
  </si>
  <si>
    <t>GREENLAND</t>
  </si>
  <si>
    <t>Vaughan, DG (corresponding author), British Antarctic Survey, NERC, Madingley Rd, Cambridge CB3 0ET, England.</t>
  </si>
  <si>
    <t>Vaughan, David/0000-0002-9065-0570</t>
  </si>
  <si>
    <t>10.1016/B978-0-444-53301-2.00022-1</t>
  </si>
  <si>
    <t>WOS:000311226000025</t>
  </si>
  <si>
    <t>Guo, ZT; Berger, A; Yin, QZ; Qin, L</t>
  </si>
  <si>
    <t>Guo, Z. T.; Berger, A.; Yin, Q. Z.; Qin, L.</t>
  </si>
  <si>
    <t>Strong asymmetry of hemispheric climates during MIS-13 inferred from correlating China loess and Antarctica ice records</t>
  </si>
  <si>
    <t>CLIMATE OF THE PAST</t>
  </si>
  <si>
    <t>ASIAN WINTER MONSOON; MAGNETIC-SUSCEPTIBILITY; SUMMER MONSOON; NORTH-ATLANTIC; CARBON-CYCLE; OCEAN; MIDPLEISTOCENE; SEA; VARIABILITY; DUST</t>
  </si>
  <si>
    <t>We correlate the China loess and Antarctica ice records to address the inter-hemispheric climate link over the past 800 ka. The results show a broad coupling between Asian and Antarctic climates at the glacial-interglacial scale. However, a number of decoupled aspects are revealed, among which marine isotope stage (MIS) 13 exhibits a strong anomaly compared with the other interglacials. It is characterized by unusually positive benthic oxygen (delta O-18) and carbon isotope (delta C-13) values in the world oceans, cooler Antarctic temperature, lower summer sea surface temperature in the South Atlantic, lower CO2 and CH4 concentrations, but by extremely strong Asian, Indian and African summer monsoons, weakest Asian winter monsoon, and lowest Asian dust and iron fluxes. Pervasive warm conditions were also evidenced by the records from northern high-latitude regions. These consistently indicate a warmer Northern Hemisphere and a cooler Southern Hemisphere, and hence a strong asymmetry of hemispheric climates during MIS-13. Similar anomalies of lesser extents also occurred during MIS-11 and MIS-5e. Thus, MIS-13 provides a case that the Northern Hemisphere experienced a substantial warming under relatively low concentrations of greenhouse gases. It suggests that the global climate system possesses a natural variability that is not predictable from the simple response of northern summer insolation and atmospheric CO2 changes. During MIS-13, both hemispheres responded in different ways leading to anomalous continental, marine and atmospheric conditions at the global scale. The correlations also suggest that the marine delta O-18 record is not always a reliable indicator of the northern ice-volume changes, and that the asymmetry of hemispheric climates is one of the prominent factors control-ling the strength of Asian, Indian and African monsoon circulations, most likely through modulating the position of the inter-tropical convergence zone (ITCZ) and land-sea thermal contrasts.</t>
  </si>
  <si>
    <t>[Guo, Z. T.; Qin, L.] Chinese Acad Sci, Inst Geol &amp; Geophys, Key Lab Cenozo Geol &amp; Environm, Beijing 100029, Peoples R China; [Berger, A.; Yin, Q. Z.] Catholic Univ Louvain, Inst Astron &amp; Geophys G Lemaitre, B-1348 Louvain, Belgium; [Qin, L.] Chinese Acad Sci, Grad Sch, Beijing 100039, Peoples R China</t>
  </si>
  <si>
    <t>Chinese Academy of Sciences; Institute of Geology &amp; Geophysics, CAS; Universite Catholique Louvain; Chinese Academy of Sciences; University of Chinese Academy of Sciences, CAS</t>
  </si>
  <si>
    <t>Guo, ZT (corresponding author), Chinese Acad Sci, Inst Geol &amp; Geophys, Key Lab Cenozo Geol &amp; Environm, POB 9825, Beijing 100029, Peoples R China.</t>
  </si>
  <si>
    <t>ztguo@mail.iggcas.ac.cn</t>
  </si>
  <si>
    <t>IPO, PAGES/JXY-7546-2024; Guo, Zhengtang/B-6854-2008</t>
  </si>
  <si>
    <t>Guo, Zhengtang/0000-0003-2259-9715; Qin, Li/0000-0002-8957-6705; Yin, Qiuzhen/0000-0002-7189-8335</t>
  </si>
  <si>
    <t>Chinese Academy of Sciences [KZCX2-YW-117]; National Natural Science Foundation of China [40730104]; Ministry of Science and Technology [2007FY110200]; Universite Catholique de Louvain</t>
  </si>
  <si>
    <t>Chinese Academy of Sciences(Chinese Academy of Sciences); National Natural Science Foundation of China(National Natural Science Foundation of China (NSFC)); Ministry of Science and Technology(Spanish Government); Universite Catholique de Louvain</t>
  </si>
  <si>
    <t>This research was supported by grants from Chinese Academy of Sciences (KZCX2-YW-117), National Natural Science Foundation of China (40730104) and the Ministry of Science and Technology (2007FY110200). Qiuzhen Yin benefits from a postgraduate grant from Universite Catholique de Louvain. Thanks are extended to D. Raynaud for valuable suggestions and discussions, to J. Petit and W. Ruddiman for the highly constructive reviews and helps in improving the manuscript.</t>
  </si>
  <si>
    <t>1814-9324</t>
  </si>
  <si>
    <t>1814-9332</t>
  </si>
  <si>
    <t>CLIM PAST</t>
  </si>
  <si>
    <t>Clim. Past.</t>
  </si>
  <si>
    <t>10.5194/cp-5-21-2009</t>
  </si>
  <si>
    <t>Geosciences, Multidisciplinary; Meteorology &amp; Atmospheric Sciences</t>
  </si>
  <si>
    <t>Geology; Meteorology &amp; Atmospheric Sciences</t>
  </si>
  <si>
    <t>426XD</t>
  </si>
  <si>
    <t>WOS:000264740800003</t>
  </si>
  <si>
    <t>Langebroek, PM; Paul, A; Schulz, M</t>
  </si>
  <si>
    <t>Langebroek, P. M.; Paul, A.; Schulz, M.</t>
  </si>
  <si>
    <t>Antarctic ice-sheet response to atmospheric CO2 and insolation in the Middle Miocene</t>
  </si>
  <si>
    <t>CARBON-DIOXIDE CONCENTRATIONS; LONG-TERM VARIATIONS; GLOBAL SEA-LEVEL; CLIMATE MODEL; TEMPERATURE; RECORD; VOLUME; CYCLE; MA</t>
  </si>
  <si>
    <t>Foraminiferal oxygen isotopes from deep-sea sediment cores suggest that a rapid expansion of the Antarctic ice sheet took place in the Middle Miocene around 13.9 million years ago. The origin for this transition is still not understood satisfactorily. One possible cause is a drop in the partial pressure of atmospheric carbon dioxide (pCO(2)) in combination with orbital forcing. A complication is the large uncertainty in the magnitude and timing of the reconstructed pCO(2) variability and additionally the low temporal resolution of the available pCO(2) records in the Middle Miocene. We used an ice sheet-climate model of reduced complexity to assess variations in Antarctic ice sheet volume induced by pCO(2) and insolation forcing in the Middle Miocene. The ice-sheet sensitivity to atmospheric CO2 was tested for several scenarios with constant pCO(2) forcing or a regular decrease in pCO(2). This showed that small, ephemeral ice sheets existed under relatively high atmospheric CO2 conditions (between 640-900 ppm), whereas more stable, large ice sheets occurred when pCO(2) was less than similar to 600 ppm. The main result of this study is that the pCO(2)-level must have declined just before or during the period of oxygen-isotope increase, thereby crossing a pCO(2) glaciation threshold of around 615 ppm. After the decline, the exact timing of the Antarctic ice-sheet expansion depends also on the relative minimum in summer insolation at approximately 13.89 million years ago. Although the mechanisms described appear to be robust, the exact values of the pCO(2) thresholds are likely to be model-dependent.</t>
  </si>
  <si>
    <t>[Paul, A.; Schulz, M.] Univ Bremen, Ctr Marine Environm Sci, MARUM, Bremen, Germany; [Langebroek, P. M.; Paul, A.; Schulz, M.] Univ Bremen, Fac Geosci, Bremen, Germany</t>
  </si>
  <si>
    <t>Langebroek, PM (corresponding author), Alfred Wegener Inst Polar &amp; Marine Res, AWI, Bremerhaven, Germany.</t>
  </si>
  <si>
    <t>petra.langebroek@awi.de</t>
  </si>
  <si>
    <t>IPO, PAGES/JXY-7546-2024; Schulz, Michael/P-7276-2016; Langebroek, Petra/K-2076-2014</t>
  </si>
  <si>
    <t>Schulz, Michael/0000-0001-6500-2697; Langebroek, Petra/0000-0002-1246-8781</t>
  </si>
  <si>
    <t>DFG (Deutsche Forschungsgemeinschaft)</t>
  </si>
  <si>
    <t>DFG (Deutsche Forschungsgemeinschaft)(German Research Foundation (DFG))</t>
  </si>
  <si>
    <t>This project was funded by the DFG (Deutsche Forschungsgemeinschaft) within the European Graduate College Proxies in Earth History. We thank the three anonymous reviewers and the editor for their constructive comments.</t>
  </si>
  <si>
    <t>10.5194/cp-5-633-2009</t>
  </si>
  <si>
    <t>536QX</t>
  </si>
  <si>
    <t>WOS:000273060000005</t>
  </si>
  <si>
    <t>Wang, Y; Roulet, NT; Frolking, S; Mysak, LA</t>
  </si>
  <si>
    <t>Wang, Y.; Roulet, N. T.; Frolking, S.; Mysak, L. A.</t>
  </si>
  <si>
    <t>The importance of Northern Peatlands in global carbon systems during the Holocene</t>
  </si>
  <si>
    <t>MCGILL PALEOCLIMATE MODEL; ACCUMULATION RATES; CLIMATE; CO2; CYCLE; SEA; ICE; SIMULATION; VEGETATION; DYNAMICS</t>
  </si>
  <si>
    <t>We applied an inverse model to simulate global carbon (C) cycle dynamics during the Holocene period using atmospheric carbon dioxide (CO2) concentrations reconstructed from Antarctic ice cores and prescribed C accumulation rates of Northern Peatlands (NP) as inputs. Previous studies indicated that different sources could contribute to the 20 parts per million by volume (ppmv) atmospheric CO2 increase over the past 8000 years. These sources of C include terrestrial release of 40-200 petagram C (PgC, 1 petagram=10(15) gram), deep oceanic adjustment to a 500 PgC terrestrial biomass buildup early in this interglacial period, and anthropogenic land-use and land-cover changes of unknown magnitudes. Our study shows that the prescribed peatland C accumulation significantly modifies our previous understanding of Holocene C cycle dynamics. If the buildup of the NP is considered, the terrestrial pool becomes the C sink of about 160-280 PgC over the past 8000 years, and the only C source for the terrestrial and atmospheric C increases is presumably from the deep ocean due to calcium carbonate compensation. Future studies need to be conducted to constrain the basal times and growth rates of the NP C accumulation in the Holocene. These research endeavors are challenging because they need a dynamically-coupled peatland simulator to be constrained with the initiation time and reconstructed C reservoir of the NP. Our results also suggest that the huge reservoir of deep ocean C explains the major variability of the glacial-interglacial C cycle dynamics without considering the anthropogenic C perturbation.</t>
  </si>
  <si>
    <t>[Wang, Y.] Univ Sussex, Dept Geog, Brighton BN1 9SJ, E Sussex, England; [Wang, Y.; Roulet, N. T.] McGill Univ, Dept Geog, Montreal, PQ H3A 2A7, Canada; [Wang, Y.; Roulet, N. T.] McGill Univ, McGill Sch Environm, Montreal, PQ H3A 2A7, Canada; [Frolking, S.] Univ New Hampshire, Inst Study Earth Oceans &amp; Space, Durham, NH 03824 USA; [Mysak, L. A.] McGill Univ, Dept Atmospher &amp; Ocean Sci, Montreal, PQ H3A 2K6, Canada</t>
  </si>
  <si>
    <t>University of Sussex; McGill University; McGill University; University System Of New Hampshire; University of New Hampshire; McGill University</t>
  </si>
  <si>
    <t>Wang, Y (corresponding author), Univ Sussex, Dept Geog, Brighton BN1 9SJ, E Sussex, England.</t>
  </si>
  <si>
    <t>ywang699@gmail.com</t>
  </si>
  <si>
    <t>Frolking, Steve/ABF-9046-2021; Wang, Yi/F-2689-2011; Roulet, Nigel/W-3402-2019</t>
  </si>
  <si>
    <t>Frolking, Steve/0000-0001-6414-5004; Wang, Yi/0000-0002-3984-3879; Roulet, Nigel/0000-0001-9571-1929</t>
  </si>
  <si>
    <t>10.5194/cp-5-683-2009</t>
  </si>
  <si>
    <t>WOS:000273060000009</t>
  </si>
  <si>
    <t>Crucifix, M; Claussen, M; Ganssen, G; Guiot, J; Guo, Z; Kiefer, T; Loutre, MF; Rousseau, DD; Wolff, E</t>
  </si>
  <si>
    <t>Crucifix, M.; Claussen, M.; Ganssen, G.; Guiot, J.; Guo, Z.; Kiefer, T.; Loutre, M. -F.; Rousseau, D. -D.; Wolff, E.</t>
  </si>
  <si>
    <t>Preface 'Climate change: from the geological past to the uncertain future - a symposium honouring Andr, Berger'</t>
  </si>
  <si>
    <t>No abstract available.</t>
  </si>
  <si>
    <t>[Crucifix, M.; Loutre, M. -F.] Catholic Univ Louvain, Inst Astron &amp; Geophys G Lemaitre, Louvain, Belgium; [Claussen, M.] Max Planck Inst Meteorol, Hamburg, Germany; [Ganssen, G.] Free Univ Amsterdam, Inst Earth Sci, NL-1081 HV Amsterdam, Netherlands; [Guiot, J.] CEREGE, CNRS, Paris, France; [Guo, Z.] Chinese Acad Sci, Inst Earth Environm, Beijing 100864, Peoples R China; [Kiefer, T.] PAGES Int Project Off, Bern, Switzerland; [Rousseau, D. -D.] CNRS, ENS, Meteorol Dynam Lab, F-75700 Paris, France; [Wolff, E.] British Antarctic Survey, Cambridge CB3 0ET, England</t>
  </si>
  <si>
    <t>Universite Catholique Louvain; Max Planck Society; Vrije Universiteit Amsterdam; Centre National de la Recherche Scientifique (CNRS); Chinese Academy of Sciences; Universite PSL; Ecole Normale Superieure (ENS); Sorbonne Universite; Centre National de la Recherche Scientifique (CNRS); UK Research &amp; Innovation (UKRI); Natural Environment Research Council (NERC); NERC British Antarctic Survey</t>
  </si>
  <si>
    <t>Crucifix, M (corresponding author), Catholic Univ Louvain, Inst Astron &amp; Geophys G Lemaitre, Louvain, Belgium.</t>
  </si>
  <si>
    <t>michel.crucifix@uclouvain.be</t>
  </si>
  <si>
    <t>Rousseau, Denis-Didier/I-6892-2012; Wolff, Eric W/D-7925-2014; Guiot, Joel/G-7818-2011; Guo, Zhengtang/B-6854-2008; IPO, PAGES/JXY-7546-2024; Loutre, Marie-France/L-3594-2018</t>
  </si>
  <si>
    <t>Rousseau, Denis-Didier/0000-0003-2475-3405; Wolff, Eric W/0000-0002-5914-8531; Guo, Zhengtang/0000-0003-2259-9715; Loutre, Marie-France/0000-0001-6944-4038</t>
  </si>
  <si>
    <t>Natural Environment Research Council [bas0100024] Funding Source: researchfish; NERC [bas0100024] Funding Source: UKRI</t>
  </si>
  <si>
    <t>10.5194/cp-5-707-2009</t>
  </si>
  <si>
    <t>WOS:000273060000011</t>
  </si>
  <si>
    <t>Dowsett, HJ; Robinson, MM; Foley, KM</t>
  </si>
  <si>
    <t>Dowsett, H. J.; Robinson, M. M.; Foley, K. M.</t>
  </si>
  <si>
    <t>Pliocene three-dimensional global ocean temperature reconstruction</t>
  </si>
  <si>
    <t>MERIDIONAL HEAT-TRANSPORT; NORTH-ATLANTIC OCEAN; SURFACE TEMPERATURES; WATER CIRCULATION; DEEP; MG/CA; CLIMATE; ATMOSPHERE; WARMTH</t>
  </si>
  <si>
    <t>The thermal structure of the mid-Piacenzian ocean is obtained by combining the Pliocene Research, Interpretation and Synoptic Mapping Project (PRISM3) multiproxy sea-surface temperature (SST) reconstruction with bottom water temperature estimates from 27 locations produced using Mg/Ca paleothermometry based upon the ostracod genus Krithe. Deep water temperature estimates are skewed toward the Atlantic Basin (63% of the locations) and represent depths from 1000 m to 4500 m. This reconstruction, meant to serve as a validation data set as well as an initialization for coupled numerical climate models, assumes a Pliocene water mass framework similar to that which exists today, with several important modifications. The area of formation of present day North Atlantic Deep Water (NADW) was expanded and extended further north toward the Arctic Ocean during the mid-Piacenzian relative to today. This, combined with a deeper Greenland-Scotland Ridge, allowed a greater volume of warmer NADW to enter the Atlantic Ocean. In the Southern Ocean, the Polar Front Zone was expanded relative to present day, but shifted closer to the Antarctic continent. This, combined with at least seasonal reduction in sea ice extent, resulted in decreased Antarctic Bottom Water (AABW) production (relative to present day) as well as possible changes in the depth of intermediate waters. The reconstructed mid-Piacenzian three-dimensional ocean was warmer overall than today, and the hypothesized aerial extent of water masses appears to fit the limited stable isotopic data available for this time period.</t>
  </si>
  <si>
    <t>[Dowsett, H. J.; Robinson, M. M.; Foley, K. M.] US Geol Survey, Reston, VA 20192 USA</t>
  </si>
  <si>
    <t>United States Department of the Interior; United States Geological Survey</t>
  </si>
  <si>
    <t>Dowsett, HJ (corresponding author), US Geol Survey, MS 926A,12201 Sunrise Valley Dr, Reston, VA 20192 USA.</t>
  </si>
  <si>
    <t>hdowsett@usgs.gov</t>
  </si>
  <si>
    <t>Dowsett, Harry/0000-0003-1983-7524</t>
  </si>
  <si>
    <t>US Geological Survey Office of Global Change; PRISM</t>
  </si>
  <si>
    <t>US Geological Survey Office of Global Change(United States Geological Survey); PRISM</t>
  </si>
  <si>
    <t>We thank M. Williams and J. Groeneveld for their helpful comments and useful suggestions. This reconstruction would not have been possible without many conversations and discussions with T. Cronin, G. Dwyer, M. Chandler and A. Haywood. Special thanks to Danielle Stoll for help with figures and illustrations. Rocio Caballero and Karine Renaud helped with various aspects of data reduction. Mg/Ca analyses were performed at Duke University; Alkenone analyses were performed at Brown University. This work was supported by the US Geological Survey Office of Global Change and is a product of the PRISM Project.</t>
  </si>
  <si>
    <t>10.5194/cp-5-769-2009</t>
  </si>
  <si>
    <t>WOS:000273060000014</t>
  </si>
  <si>
    <t>Heinemann, M; Jungclaus, JH; Marotzke, J</t>
  </si>
  <si>
    <t>Heinemann, M.; Jungclaus, J. H.; Marotzke, J.</t>
  </si>
  <si>
    <t>Warm Paleocene/Eocene climate as simulated in ECHAM5/MPI-OM</t>
  </si>
  <si>
    <t>OCEAN CIRCULATION; HEAT-TRANSPORT; EQUABLE CLIMATES; ATMOSPHERIC CO2; METHANE HYDRATE; GLOBAL CLIMATE; EARLY EOCENE; MODEL; SENSITIVITY; DISSOCIATION</t>
  </si>
  <si>
    <t>We investigate the late Paleocene/early Eocene (PE) climate using the coupled atmosphere-ocean-sea ice model ECHAM5/MPI-OM. The surface in our PE control simulation is on average 297 K warm and ice-free, despite a moderate atmospheric CO2 concentration of 560 ppm. Compared to a pre-industrial reference simulation (PR), low latitudes are 5 to 8 K warmer, while high latitudes are up to 40 K warmer. This high-latitude amplification is in line with proxy data, yet a comparison to sea surface temperature proxy data suggests that the Arctic surface temperatures are still too low in our PE simulation. To identify the mechanisms that cause the PE-PR surface temperature differences, we fit two simple energy balance models to the ECHAM5/MPI-OM results. We find that about 2/3 of the PE-PR global mean surface temperature difference are caused by a smaller clear sky emissivity due to higher atmospheric CO2 and water vapour concentrations in PE compared to PR; 1/3 is due to a smaller planetary albedo. The reduction of the pole-to-equator temperature gradient in PE compared to PR is due to (1) the large high-latitude effect of the higher CO2 and water vapour concentrations in PE compared to PR, (2) the lower Antarctic orography, (3) the smaller surface albedo at high latitudes, and (4) longwave cloud radiative effects. Our results support the hypothesis that local radiative effects rather than increased meridional heat transports were responsible for the 'equable' PE climate.</t>
  </si>
  <si>
    <t>[Heinemann, M.; Jungclaus, J. H.; Marotzke, J.] Max Planck Inst Meteorol, D-20146 Hamburg, Germany; [Heinemann, M.] IMPRS ESM, D-20146 Hamburg, Germany</t>
  </si>
  <si>
    <t>Max Planck Society</t>
  </si>
  <si>
    <t>Heinemann, M (corresponding author), Max Planck Inst Meteorol, Bundesstr 53, D-20146 Hamburg, Germany.</t>
  </si>
  <si>
    <t>malte.heinemann@zmaw.de</t>
  </si>
  <si>
    <t>Gary C. Comer Science and Education Foundation Abrupt Climate Change Fellowship</t>
  </si>
  <si>
    <t>We thank Helmuth Haak for his help setting up the PE model, and for providing the pre-industrial reference simulation. We thank Karen Bice for advice, and for providing the paleo-topography. We thank three anonymous referees for their productive and helpful comments. We would like to thank Dorian Abbot for discussions, and in particular for his suggestion to extend the 0-D EBM analysis in the meridional direction. The model experiments were carried out on the supercomputing system of the German Climate Computation Centre (DKRZ) Hamburg. This work was completed during a Gary C. Comer Science and Education Foundation Abrupt Climate Change Fellowship.</t>
  </si>
  <si>
    <t>10.5194/cp-5-785-2009</t>
  </si>
  <si>
    <t>WOS:000273060000015</t>
  </si>
  <si>
    <t>Tadross, M; Suarez, P; Lotsch, A; Hachigonta, S; Mdoka, M; Unganai, L; Lucio, F; Kamdonyo, D; Muchinda, M</t>
  </si>
  <si>
    <t>Tadross, Mark; Suarez, Pablo; Lotsch, Alex; Hachigonta, Sepo; Mdoka, Marshall; Unganai, Leonard; Lucio, Filipe; Kamdonyo, Donald; Muchinda, Maurice</t>
  </si>
  <si>
    <t>Growing-season rainfall and scenarios of future change in southeast Africa: implications for cultivating maize</t>
  </si>
  <si>
    <t>CLIMATE RESEARCH</t>
  </si>
  <si>
    <t>Rainfall; Maize; Crops; Africa; Climate change; Downscaling</t>
  </si>
  <si>
    <t>INTERANNUAL VARIABILITY; CLIMATE-CHANGE; ONSET; AGRICULTURE; PROJECTIONS; REGION</t>
  </si>
  <si>
    <t>Global climate change is a detectable and attributable global phenomenon, yet its manifestation at the regional scale, especially within the rainfall record, can be difficult to identify. This problem is particularly acute over southern Africa, a region characterised by a low density of observations and highly dependent on rural agriculture, where the impact of rainfall changes on maize cultivation critically depends on the timing with respect to the crop phenological cycle. To evaluate changes in rainfall affecting maize cropping, daily rainfall observations from 104 stations across Malawi, Mozambique, Zambia and Zimbabwe were used to detect trends in planting dates, rainfall cessation and duration of the rainfall season, as well as number of dry days, length of dry spells and measures of rainfall intensity during critical periods for growing maize. Correlations with the Southern Oscillation Index (SOI) and Antarctic Oscillation (AAO) were used to infer how large-scale climate variability affects these attributes of rainfall and highlight where (and when) trends may contribute to more frequent crossings of critical thresholds. The El Nino Southern Oscillation (ENSO) was associated with changes in planting and cessation dates as well as the frequency of raindays during the rainfall season (particularly early in the season). AAO mainly affected raindays towards the end of the season when maize was planted late. Trends are discussed relative to changes projected in empirically downscaled scenarios of rainfall from 7 general circulation models for the 2046-2065 period, assuming an SRES A2 emissions scenario.</t>
  </si>
  <si>
    <t>[Tadross, Mark; Hachigonta, Sepo; Mdoka, Marshall] Univ Cape Town, Climate Syst Anal Grp, Dept Geog &amp; Environm Sci, ZA-7701 Rondebosch, South Africa; [Suarez, Pablo] Red Cross Red Crescent Climate Ctr, NL-2521 CV The Hague, Netherlands; [Lotsch, Alex] World Bank, Commod Risk Management Grp, Washington, DC 20433 USA; [Unganai, Leonard] Natl Meteorol Serv Zimbabwe, Harare, Zimbabwe; [Lucio, Filipe] Inst Nacl Meteorol, Maputo, Mozambique; [Kamdonyo, Donald] Natl Meteorol Serv Malawi, Llilongwe, Malawi; [Muchinda, Maurice] Natl Meteorol Serv Zambia, Lusaka, Zambia</t>
  </si>
  <si>
    <t>University of Cape Town; The World Bank</t>
  </si>
  <si>
    <t>Tadross, M (corresponding author), Univ Cape Town, Climate Syst Anal Grp, Dept Geog &amp; Environm Sci, ZA-7701 Rondebosch, South Africa.</t>
  </si>
  <si>
    <t>mtadross@csag.uct.ac.za</t>
  </si>
  <si>
    <t>Tadross, Mark/0000-0002-7018-404X</t>
  </si>
  <si>
    <t>National Meteorological Services of Malawi, Mozambique, Zimbabwe and Zambia</t>
  </si>
  <si>
    <t>We are grateful to the Bank Netherlands Partnership Program for providing funding through the Development Economics group of the World Bank. This work could not have been completed without the excellent and timely support of the National Meteorological Services of Malawi, Mozambique, Zimbabwe and Zambia. In particular, we thank G. Munthali, A. Chavula, A. Manhique and J. Kanyanga. We are also grateful to X. Zhang and F. Yang of Environment Canada for maintaining the Rclimdex code, part of which was used in developing the statistical analysis.</t>
  </si>
  <si>
    <t>0936-577X</t>
  </si>
  <si>
    <t>1616-1572</t>
  </si>
  <si>
    <t>CLIM RES</t>
  </si>
  <si>
    <t>Clim. Res.</t>
  </si>
  <si>
    <t>10.3354/cr00821</t>
  </si>
  <si>
    <t>543MM</t>
  </si>
  <si>
    <t>WOS:000273582100003</t>
  </si>
  <si>
    <t>Marteel, A; Gaspari, V; Boutron, CF; Barbante, C; Gabrielli, P; Cescon, P; Cozzi, G; Ferrari, CP; Dommergue, A; Rosman, K; Hong, SM; Hur, SD</t>
  </si>
  <si>
    <t>Marteel, Alexandrine; Gaspari, Vania; Boutron, Claude F.; Barbante, Carlo; Gabrielli, Paolo; Cescon, Paolo; Cozzi, Giulio; Ferrari, Christophe P.; Dommergue, Aurelien; Rosman, Kevin; Hong, Sungmin; Hur, Soon Do</t>
  </si>
  <si>
    <t>Climate-related variations in crustal trace elements in Dome C (East Antarctica) ice during the past 672 kyr</t>
  </si>
  <si>
    <t>GRAM LEVEL; DUST; SUBPICOGRAM; SNOW; LEAD; EPICA; SALT; PB</t>
  </si>
  <si>
    <t>Cr, Fe, Rb, Ba and U were determined by inductively coupled plasma sector field mass spectrometry (ICP-SFMS) in various sections of the 3,270 m deep ice core recently drilled at Dome C on the high East Antarctic plateau as part of the EPICA program. The sections were dated from 263 kyr bp (depth of 2,368 m) to 672 kyr bp (depth of 3,062 m). When combined with the data previously obtained by Gabrielli and co-workers for the upper 2,193 m of the core, it gives a detailed record for these elements during a 672-kyr period from the Holocene back to Marine Isotopic Stage (MIS) 16.2. Concentrations and fallout fluxes of all elements are found to be highly variable with low values during the successive interglacial periods and much higher values during the coldest periods of the last eight climatic cycles. Crustal enrichment factors indicates that rock and soil dust is the dominant source for Fe, Rb, Ba and U whatever the period and for Cr during the glacial maxima. The relationship between Cr, Fe, Rb, Ba and U concentrations and the deuterium content of the ice appears to be similar before and after the Mid-Brunhes Event (MBE, around 430 kyr bp). Mean concentration values observed during the successive interglacials from the Holocene to MIS 15.5 appear to vary from one interglacial to another at least for part of the elements. Concentrations observed during the successive glacial maxima suggest a decreasing trend from the most recent glacial maxima (MIS 2.2 and 4.2) to the oldest glacial maxima such as MIS 14.2, 14.4 and 16.2, which could be linked with changes in the size distribution of dust particles transported from mid-latitude areas to the East Antarctic ice cap.</t>
  </si>
  <si>
    <t>[Marteel, Alexandrine; Gaspari, Vania; Barbante, Carlo; Gabrielli, Paolo; Cescon, Paolo; Cozzi, Giulio] Univ CaFoscari Venice, Dept Environm Sci, I-30123 Venice, Italy; [Marteel, Alexandrine; Boutron, Claude F.; Ferrari, Christophe P.; Dommergue, Aurelien] UJF, CNRS, UMR 5183, Lab Glaciol &amp; Geophys Environm, F-38402 St Martin Dheres, France; [Barbante, Carlo; Gabrielli, Paolo; Cescon, Paolo; Cozzi, Giulio] Univ CaFoscari Venice, CNR, Inst Dynam Environm Proc, I-30123 Venice, Italy; [Boutron, Claude F.] Univ Grenoble 1, Unite Format &amp; Rech Phys, F-38041 Grenoble, France; [Boutron, Claude F.] Univ Grenoble 1, Observ Sci Univers, F-38041 Grenoble, France; [Marteel, Alexandrine] Univ Siena, Dept Earth Sci, I-53100 Siena, Italy; [Ferrari, Christophe P.; Dommergue, Aurelien] Univ Grenoble 1, Inst Univ France, F-38041 Grenoble, France; [Rosman, Kevin] Curtin Univ Technol, Dept Imaging &amp; Appl Phys, Perth, WA 6845, Australia; [Hong, Sungmin; Hur, Soon Do] Korea Polar Res Inst, Inchon 406840, South Korea</t>
  </si>
  <si>
    <t>Universita Ca Foscari Venezia; Centre National de la Recherche Scientifique (CNRS); Communaute Universite Grenoble Alpes; Universite Grenoble Alpes (UGA); Consiglio Nazionale delle Ricerche (CNR); Istituto per la Dinamica dei Processi Ambientali (IDPA-CNR); Universita Ca Foscari Venezia; Communaute Universite Grenoble Alpes; Universite Grenoble Alpes (UGA); Communaute Universite Grenoble Alpes; Universite Grenoble Alpes (UGA); University of Siena; Institut Universitaire de France; Communaute Universite Grenoble Alpes; Universite Grenoble Alpes (UGA); Curtin University; Korea Polar Research Institute (KOPRI); Korea Institute of Ocean Science &amp; Technology (KIOST)</t>
  </si>
  <si>
    <t>Barbante, C (corresponding author), Univ CaFoscari Venice, Dept Environm Sci, Dorsoduro 2137, I-30123 Venice, Italy.</t>
  </si>
  <si>
    <t>barbante@unive.it</t>
  </si>
  <si>
    <t>dommergue, aurelien/HLP-6539-2023; Cozzi, Giulio/F-6473-2010; Dommergue, Aurelien/A-2829-2009; Barbante, Carlo/B-3195-2011; Cozzi, Giulio/R-4554-2019</t>
  </si>
  <si>
    <t>dommergue, aurelien/0000-0002-8185-9604; Dommergue, Aurelien/0000-0002-8185-9604; Cozzi, Giulio/0000-0001-8796-4176; Barbante, Carlo/0000-0003-4177-2288; Cescon, Paolo/0000-0003-1836-6759</t>
  </si>
  <si>
    <t>10.1007/s10584-008-9456-3</t>
  </si>
  <si>
    <t>393SJ</t>
  </si>
  <si>
    <t>WOS:000262392900012</t>
  </si>
  <si>
    <t>Haward, M; Vince, J</t>
  </si>
  <si>
    <t>Haward, Marcus; Vince, Joanna</t>
  </si>
  <si>
    <t>Australian Ocean Governance-Initiatives and Challenges</t>
  </si>
  <si>
    <t>COASTAL MANAGEMENT</t>
  </si>
  <si>
    <t>Conference of the Australasian-Political-Studies-Association</t>
  </si>
  <si>
    <t>Univ Newcastle, Newcastle, WALES</t>
  </si>
  <si>
    <t>Univ Newcastle</t>
  </si>
  <si>
    <t>Australia; federal-state relations; governance; ocean governance; ocean policy</t>
  </si>
  <si>
    <t>REGIONAL MARINE PLAN; IMPLEMENTATION; MANAGEMENT; CANADA</t>
  </si>
  <si>
    <t>The last decade has seen increasing attention to institutional arrangements and policy outcomes affecting the governance of the world's seas and oceans. Governance is linked to institutional capacity and to the effectiveness of public organizations drawing attention to tools and approaches underpinning effective and efficient institutional arrangements. Australia has taken a high profile in oceans governance, with international actions matched by the development of a number of national initiatives including a national Oceans Policy. Australia has numerous laws and policy instruments addressing aspects of the management of the marine environment, reflecting the federal nature of this policy area where responsibility is shared between the Commonwealth (federal or Australian) government and Australian state and territory governments. The Oceans Policy, implemented by the Commonwealth and applied within Commonwealth jurisdiction, has been a major initiative but its implementation highlights a number of challenges. This article outlines Australia's approach to ocean governance and assesses, through reference to the concept of effectiveness, current governance arrangements integral to the Oceans Policy.</t>
  </si>
  <si>
    <t>[Haward, Marcus] Univ Tasmania, Sch Govt, Hobart, Tas 7001, Australia; [Haward, Marcus; Vince, Joanna] Univ Tasmania, Antarctic Climate &amp; Ecosyst Cooperat Res Ctr, Hobart, Tas 7001, Australia</t>
  </si>
  <si>
    <t>University of Tasmania; University of Tasmania; Antarctic Climate &amp; Ecosystems Cooperative Research Centre (ACE CRC)</t>
  </si>
  <si>
    <t>Haward, M (corresponding author), Univ Tasmania, Sch Govt, Private Bag 22, Hobart, Tas 7001, Australia.</t>
  </si>
  <si>
    <t>M.G.Haward@utas.edu.au</t>
  </si>
  <si>
    <t>Vince, Joanna Zofia/J-7465-2014; Vince, Joanna/O-6901-2019; Haward, Marcus/G-3369-2014</t>
  </si>
  <si>
    <t>Vince, Joanna Zofia/0000-0002-4469-7634; Vince, Joanna/0000-0002-4469-7634; Haward, Marcus/0000-0003-4775-0864</t>
  </si>
  <si>
    <t>TAYLOR &amp; FRANCIS INC</t>
  </si>
  <si>
    <t>PHILADELPHIA</t>
  </si>
  <si>
    <t>530 WALNUT STREET, STE 850, PHILADELPHIA, PA 19106 USA</t>
  </si>
  <si>
    <t>0892-0753</t>
  </si>
  <si>
    <t>1521-0421</t>
  </si>
  <si>
    <t>COAST MANAGE</t>
  </si>
  <si>
    <t>Coast. Manage.</t>
  </si>
  <si>
    <t>10.1080/08920750802475368</t>
  </si>
  <si>
    <t>Environmental Sciences; Environmental Studies</t>
  </si>
  <si>
    <t>Science Citation Index Expanded (SCI-EXPANDED); Social Science Citation Index (SSCI); Conference Proceedings Citation Index - Science (CPCI-S)</t>
  </si>
  <si>
    <t>389PP</t>
  </si>
  <si>
    <t>WOS:000262107300001</t>
  </si>
  <si>
    <t>Newbery, KB; Southwell, C</t>
  </si>
  <si>
    <t>Newbery, Kym B.; Southwell, Colin</t>
  </si>
  <si>
    <t>An automated camera system for remote monitoring in polar environments</t>
  </si>
  <si>
    <t>COLD REGIONS SCIENCE AND TECHNOLOGY</t>
  </si>
  <si>
    <t>Digital camera; Automated photographic remote monitoring</t>
  </si>
  <si>
    <t>DIGITAL CAMERA; WILDLIFE</t>
  </si>
  <si>
    <t>There is widespread recognition of the benefits in automating procedures for the collection of scientific data, and an increasing ability to do so as technology advances. The benefits are particularly relevant to long term monitoring programs in remote areas such as the polar regions where the costs of regularly accessing sites for repeated data collection are high. We describe the design and use of a camera system for automated recording of digital images at remote sites in polar environments. The design placed emphasis on low maintenance, low environmental impact, autonomous operation, and the ability to withstand high winds and low temperatures with very low electrical power requirements. Our motivation for designing the system was to facilitate monitoring of some aspects of Adelie penguin breeding biology, such as breeding chronology and chick survival, at multiple remote islands off the Antarctica coast. However, the system also has potential for application to other monitoring programs in polar environments. Crown Copyright (C) 2008 Published by Elsevier B.V. All rights reserved.</t>
  </si>
  <si>
    <t>[Newbery, Kym B.; Southwell, Colin] Australian Antarctic Div, Dept Environm Water Heritage &amp; Arts, Kingston, Tas 7050, Australia</t>
  </si>
  <si>
    <t>Newbery, KB (corresponding author), Australian Antarctic Div, Dept Environm Water Heritage &amp; Arts, Channel Highway, Kingston, Tas 7050, Australia.</t>
  </si>
  <si>
    <t>kym.newbery@aad.gov.au</t>
  </si>
  <si>
    <t>0165-232X</t>
  </si>
  <si>
    <t>COLD REG SCI TECHNOL</t>
  </si>
  <si>
    <t>Cold Reg. Sci. Tech.</t>
  </si>
  <si>
    <t>10.1016/j.coldregions.2008.06.001</t>
  </si>
  <si>
    <t>Engineering, Environmental; Engineering, Civil; Geosciences, Multidisciplinary</t>
  </si>
  <si>
    <t>Engineering; Geology</t>
  </si>
  <si>
    <t>381VL</t>
  </si>
  <si>
    <t>WOS:000261563900006</t>
  </si>
  <si>
    <t>Brandt, O; Taurisano, A; Giannopoulos, A; Kohler, J</t>
  </si>
  <si>
    <t>Brandt, Ola; Taurisano, Andrea; Giannopoulos, Antonicis; Kohler, Jack</t>
  </si>
  <si>
    <t>What can GPR tell us about cryoconite holes? 3D FDTD modeling, excavation and field GPR data</t>
  </si>
  <si>
    <t>Cryoconite; GPR; Numerical modeling; 3D FDTD; Antarctica; Blue ice</t>
  </si>
  <si>
    <t>GROUND-PENETRATING RADAR; ICE; SIMULATION; GLACIERS</t>
  </si>
  <si>
    <t>Cryoconite holes form on ice due to enhanced ablation around particles deposited on the surface, and are present in the ablation area of glaciers worldwide. Here we investigate the use of Ground Penetrating Radar (GPR) as a non-destructive method to monitor and map cryoconite holes. We compare GPR data obtained from the Jutulsessen blue ice area in Dronning Maud Land, Antarctica, with modeled GPR data. The modeled GPR response to cryoconite holes is numerically calculated by solving Maxwell's equations with a 3D Finite-Difference Time-Domain (FDTD) scheme. The model includes a realistic shielded bowtie antenna and dimensions and constituent parameters of cryoconite holes excavated in the field. We have performed what-if scenarios with controlled variation of single parameters. We show that GPR can be used to determine the horizontal extent, depth and whether a cryoconite hole is frozen or contains liquid water, information unavailable from visual surface inspection. The cryoconite thickness can, for completely frozen holes, be determined to within a 1/4 of the GPR center frequency wavelength. The exact water content is not readily extractable because the GPR response is influenced by many other factors such as: cryoconite thickness, shape and roughness, as well as antenna ground coupling. (C) 2008 Elsevier B.V. All rights reserved.</t>
  </si>
  <si>
    <t>[Brandt, Ola; Taurisano, Andrea; Kohler, Jack] Norwegian Polar Res Inst, N-9296 Tromso, Norway; [Giannopoulos, Antonicis] Univ Edinburgh, Edinburgh EH9 3JN, Midlothian, Scotland</t>
  </si>
  <si>
    <t>Norwegian Polar Institute; University of Edinburgh</t>
  </si>
  <si>
    <t>Brandt, O (corresponding author), Norwegian Polar Res Inst, N-9296 Tromso, Norway.</t>
  </si>
  <si>
    <t>ola.brandt@npolar.no</t>
  </si>
  <si>
    <t>Giannopoulos, Antonios/C-6728-2013</t>
  </si>
  <si>
    <t>Giannopoulos, Antonios/0000-0001-7108-6997; Kohler, Jack/0000-0003-1963-054X</t>
  </si>
  <si>
    <t>Norwegian Antarctic Research Expedition (NARE); Envitools (Norwegian research council); HPC-EUROPA [RII3-CT-2003-506079]; European Community</t>
  </si>
  <si>
    <t>Norwegian Antarctic Research Expedition (NARE); Envitools (Norwegian research council)(Research Council of Norway); HPC-EUROPA; European Community</t>
  </si>
  <si>
    <t>We thank Kirsty Langley and Jon Ove Hagen for interesting and fruitful discussions as well as their never-ending patience! Comments and suggestions from editor-in-chief Garry W. Timco and two anonymous reviewers are greatly appreciated and helped improving the manuscript.; The work has been sponsored by 1) The Norwegian Antarctic Research Expedition (NARE) 2) Envitools (Norwegian research council) 3) HPC-EUROPA (RII3-CT-2003-506079), with the support of the European Community - Research Infrastructure Action under the FP6 Structuring the European Research Area Programme.</t>
  </si>
  <si>
    <t>10.1016/j.coldregions.2008.06.002</t>
  </si>
  <si>
    <t>WOS:000261563900012</t>
  </si>
  <si>
    <t>Susini, S; De Donatis, M</t>
  </si>
  <si>
    <t>Susini, Sara; De Donatis, Mauro</t>
  </si>
  <si>
    <t>3D model of a sector of the South Scotia Ridge (Antarctica)</t>
  </si>
  <si>
    <t>COMPUTERS &amp; GEOSCIENCES</t>
  </si>
  <si>
    <t>Geological modelling; Visualization; Seismic reflection profiles; Transform margin; Scotia Sea</t>
  </si>
  <si>
    <t>SEA; PLATE; ATLANTIC; BOUNDARY; OCEAN</t>
  </si>
  <si>
    <t>A three-dimensional geological model was built to show and analyse a northern sector of the Scotia-Antarctica transform plate boundary. The South Scotia Ridge is a 400 kill long submerged continental structural high representing the eastern continuation of the Antarctic Peninsula. South Scotia Ridge runs approximately in the E-W direction, separating Scotia Sea Plate from Antarctica Plates. Structures, due to the transform plate margin, are considered to be concentrated inside this continental high. The three-dimensional model, built using seismic profiles and a digital elevation model, is a powerful tool to visualize and help to understand deep geological structures. Maps and profiles, on the contrary, only give a two-dimensional view, and do not show the structure of the continental-oceanic boundary at depth. The model shows that the deformation style of the continental-oceanic boundary, and of the oceanic crust nearby, is related to the left-lateral movement of the main transform fault system. Furthermore, it seems to be connected to the orientation and geometry of the South Scotia Ridge with respect to the homogeneous deformation regime, which affects the entire Scotia Plate. Moving from west to cast, the NW-dipping main fault surface becomes almost vertical with a sinistral strike-slip movement in the central sector. To the east, a south-dipping plane decreases its inclination and changes orientation (from E-W to ESE-WNW): here shortening features are visible. The three-dimensional geological model presents a western and central province wherein the continental-oceanic boundary involves the fragmented continental blocks, the continental slope, the oceanic basement and sediments. The sedimentary cover and the oceanic basement are not deformed in the eastern province. (C) 2007 Elsevier Ltd. All rights reserved.</t>
  </si>
  <si>
    <t>[Susini, Sara; De Donatis, Mauro] Univ Urbino Carlo Bo, Lab Informat Technol Earth &amp; Environm Sci, LINEE, I-61029 Urbino, Italy</t>
  </si>
  <si>
    <t>University of Urbino</t>
  </si>
  <si>
    <t>Susini, S (corresponding author), Univ Urbino Carlo Bo, Lab Informat Technol Earth &amp; Environm Sci, LINEE, Campus Sci, I-61029 Urbino, Italy.</t>
  </si>
  <si>
    <t>sarixyz@gmail.com</t>
  </si>
  <si>
    <t>OGS; Italian CNR (Agency for young researchers 2000)</t>
  </si>
  <si>
    <t>OGS(Ontario Graduate Scholarship); Italian CNR (Agency for young researchers 2000)(Consiglio Nazionale delle Ricerche (CNR))</t>
  </si>
  <si>
    <t>We are indebted to the reviewers for their constructive suggestions that helped us to improve the quality of the manuscript. The research was funded by OGS (fellowship) and by Italian CNR (Agency for young researchers 2000). Special thanks also to N. Zitellini (IsMar-CNR) who introduced us to this research field, allowed us to reprocess seismic data and with whom we had very helpful discussions. We also thank J. Albergine and G. Bruni for the English revision.</t>
  </si>
  <si>
    <t>0098-3004</t>
  </si>
  <si>
    <t>1873-7803</t>
  </si>
  <si>
    <t>COMPUT GEOSCI-UK</t>
  </si>
  <si>
    <t>Comput. Geosci.</t>
  </si>
  <si>
    <t>10.1016/j.cageo.2007.09.011</t>
  </si>
  <si>
    <t>Computer Science, Interdisciplinary Applications; Geosciences, Multidisciplinary</t>
  </si>
  <si>
    <t>Computer Science; Geology</t>
  </si>
  <si>
    <t>384CW</t>
  </si>
  <si>
    <t>WOS:000261722900007</t>
  </si>
  <si>
    <t>Krzeminska, E; Lukashevich, E</t>
  </si>
  <si>
    <t>Lantsov, V</t>
  </si>
  <si>
    <t>Krzeminska, Ewa; Lukashevich, Elena</t>
  </si>
  <si>
    <t>The Late Jurassic fossil from Asian ancestory to a recent genus, Nothotrichocera Alexander 1926 (Diptera: Trichoceridae)</t>
  </si>
  <si>
    <t>CRANE FLIES: HISTORY, TAXONOMY AND ECOLOGY (DIPTERA: TIPULIDAE, LIMONIIDAE, PEDICIIDAE, TRICHOCERIDAE, PTYCHOPTERIDAE, TANYDERIDAE): DEDICATED TO THE MEMORIES OF OUTSTANDING ENTOMOLOGISTS DR. CHARLES PAUL ALEXANDER (1889-1981), DR. BERNHARD MANNHEIMS (1909-1971) AND DR. EVGENIY NIKOLAEVICH SAVCHENKO (1909-1994)</t>
  </si>
  <si>
    <t>Zoosymposia</t>
  </si>
  <si>
    <t>Fossil Diptera; Trichoceridae; new species; Zherikhinina; Nothotrichocera; Shar Teg; Upper Jurassic; Gondwana; Laurasia</t>
  </si>
  <si>
    <t>NEW-ZEALAND</t>
  </si>
  <si>
    <t>A new trichoceriid species of a fossil genus Zherikhinina Krzeminska, Krzeminski &amp; Dahl 2009 is described from Shar Teg, a well known Upper Jurassic locality in Mongolia. Its plausible ancestry to a Recent genus Nothotrichocera Alexander 1926 supports the Laurasian origin of this latter genus, now of strictly circum-Antarctic distribution.</t>
  </si>
  <si>
    <t>[Krzeminska, Ewa] Polish Acad Sci, Inst Systemat &amp; Evolut Anim, PL-31016 Krakow, Poland; [Lukashevich, Elena] Palaeontol Inst RAS, Arthropoda Lab, Moscow, Russia</t>
  </si>
  <si>
    <t>Polish Academy of Sciences; Institute of Systematics &amp; Evolution of Animals of the Polish Academy of Sciences; Russian Academy of Sciences</t>
  </si>
  <si>
    <t>Krzeminska, E (corresponding author), Polish Acad Sci, Inst Systemat &amp; Evolut Anim, Ul Slawkowska 17, PL-31016 Krakow, Poland.</t>
  </si>
  <si>
    <t>krzeminska@isez.pan.krakow.pl; elukashevich@hotmail.com</t>
  </si>
  <si>
    <t>Lukashevich, Elena D/J-6583-2012</t>
  </si>
  <si>
    <t>Krzeminska, Ewa/0000-0002-3431-9963</t>
  </si>
  <si>
    <t>PO BOX 41383, AUCKLAND, ST LUKES 1346, NEW ZEALAND</t>
  </si>
  <si>
    <t>1178-9913</t>
  </si>
  <si>
    <t>978-1-86977-432-5</t>
  </si>
  <si>
    <t>ZOOSYMPOSIA</t>
  </si>
  <si>
    <t>10.11646/zoosymposia.3.1.9</t>
  </si>
  <si>
    <t>Entomology; Zoology</t>
  </si>
  <si>
    <t>BON86</t>
  </si>
  <si>
    <t>WOS:000277094500010</t>
  </si>
  <si>
    <t>Nguyen, HT; Kim, KH; Shon, ZH; Hong, S</t>
  </si>
  <si>
    <t>Nguyen, Hang Thi; Kim, Ki-Hyun; Shon, Zang-Ho; Hong, Sungmin</t>
  </si>
  <si>
    <t>A Review of Atmospheric Mercury in the Polar Environment</t>
  </si>
  <si>
    <t>CRITICAL REVIEWS IN ENVIRONMENTAL SCIENCE AND TECHNOLOGY</t>
  </si>
  <si>
    <t>gaseous elemental mercury; reactive gaseous mercury; particulate mercury; Arctic; Antarctic</t>
  </si>
  <si>
    <t>REACTIVE GASEOUS MERCURY; GAS-PHASE REACTION; ELEMENTAL MERCURY; SPRINGTIME DEPLETION; SOUTH-POLE; NY-ALESUND; SCIENTIFIC UNCERTAINTIES; INITIATED REACTIONS; VOLCANIC EMISSIONS; BOUNDARY-LAYER</t>
  </si>
  <si>
    <t>This paper is an overview of Hg measurements made in the Arctic and Antarctic regions, with an emphasis on the evaluation of the methodological approaches employed in both sampling and analysis between different Hg species as well as the fundamental aspects of their behavior. There have been numerous efforts to measure the concentrations of different Hg species, including gaseous elemental mercury (GEM), reactive gaseous mercury (RGM), and particulate mercury (Hg(p)) in polar environments. The mean concentration value for GEM, if evaluated on the basis of numerous studies conducted previously, was moderately higher in the Arctic region (1.56 ng m-3) than the Antarctic counterpart with the limited data sets (1.08 ng m-3). The mean GEM concentration in the Arctic environment varied moderately between different locations so that the highest mean values occurred in sub-Arctic locations with a complicated climatology (e.g., Kuujjuarapik, Quebec: 1.80 ng m-3), while the lowest one was recorded in Pallas, Finland (1.26 ng m-3). A comparison of temporal patterns between different studies also indicates that rather dynamic variations occur due to the effects of certain phenomenon, known as atmospheric mercury depletion events (AMDE). During such depletion events, the GEM concentrations frequently dropped below 1.0 ng m-3, while the RGM and Hg(p) exhibited oposing trends. The distribution of GEM in polar environments is, however, fairly comparable in spatial scale, while those of RGM and Hg(p) vary fairly dynamically in such respects. Evidence suggests that the distribution of Hg species at each measurement site in the polar environments is affected more effectively by site-specific meteorological conditions.</t>
  </si>
  <si>
    <t>[Nguyen, Hang Thi; Kim, Ki-Hyun] Sejong Univ, Dept Earth &amp; Environm Sci, Seoul 143747, South Korea; [Shon, Zang-Ho] Dong Eui Univ, Dept Environm Engn, Pusan, South Korea; [Hong, Sungmin] KORDI, Korea Polar Res Inst, Polar Environm Res Div, Inchon, South Korea</t>
  </si>
  <si>
    <t>Sejong University; Dong-Eui University; Korea Polar Research Institute (KOPRI); Korea Institute of Ocean Science &amp; Technology (KIOST)</t>
  </si>
  <si>
    <t>Kim, KH (corresponding author), Sejong Univ, Dept Earth &amp; Environm Sci, Seoul 143747, South Korea.</t>
  </si>
  <si>
    <t>khkim@sejong.ac.kr</t>
  </si>
  <si>
    <t>Kim, Ki-Hyun/I-8499-2018</t>
  </si>
  <si>
    <t>Kim, Ki-Hyun/0000-0003-0487-4242</t>
  </si>
  <si>
    <t>Korean Government (MOEHRD) [KRF-2006-341-C00026]; Climate Environment System Research Center [KRF-2005-201-C00045]; Korea Science and Engineering Foundation</t>
  </si>
  <si>
    <t>Korean Government (MOEHRD)(Ministry of Education &amp; Human Resources Development (MOEHRD), Republic of KoreaKorean Government); Climate Environment System Research Center; Korea Science and Engineering Foundation(Korea Science and Engineering Foundation)</t>
  </si>
  <si>
    <t>This work was supported by a Korea Research Foundation grant (KRF-2006-341-C00026) funded by the Korean Government (MOEHRD). The third author appreciates the partial support made by the Korea Research Foundation grant (KRF-2005-201-C00045) funded by the Climate Environment System Research Center and sponsored by the SRC program of Korea Science and Engineering Foundation.</t>
  </si>
  <si>
    <t>1064-3389</t>
  </si>
  <si>
    <t>1547-6537</t>
  </si>
  <si>
    <t>CRIT REV ENV SCI TEC</t>
  </si>
  <si>
    <t>Crit. Rev. Environ. Sci. Technol.</t>
  </si>
  <si>
    <t>PII 912880520</t>
  </si>
  <si>
    <t>10.1080/10643380701764308</t>
  </si>
  <si>
    <t>466MX</t>
  </si>
  <si>
    <t>WOS:000267667400002</t>
  </si>
  <si>
    <t>Ozsoy-Cicek, B; Xie, H; Ackley, SF; Ye, K</t>
  </si>
  <si>
    <t>Ozsoy-Cicek, B.; Xie, H.; Ackley, S. F.; Ye, K.</t>
  </si>
  <si>
    <t>Antarctic summer sea ice concentration and extent: comparison of ODEN 2006 ship observations, satellite passive microwave and NIC sea ice charts</t>
  </si>
  <si>
    <t>CRYOSPHERE</t>
  </si>
  <si>
    <t>WHALING RECORDS</t>
  </si>
  <si>
    <t>Antarctic sea ice cover has shown a slight increase (&lt;1%/decade) in overall observed ice extent as derived from satellite mapping from 1979 to 2008, contrary to the decline observed in the Arctic regions. Spatial and temporal variations of the Antarctic sea ice however remain a significant problem to monitor and understand, primarily due to the vastness and remoteness of the region. While satellite remote sensing has provided and has great future potential to monitor the variations and changes of sea ice, uncertainties remain unresolved. In this study, the National Ice Center (NIC) ice edge and the AMSR-E (Advanced Microwave Scanning Radiometer-Earth Observing System) ice extent are examined, while the ASPeCt (Antarctic Sea Ice Process and Climate) ship observations from the Oden expedition in December 2006 are used as ground truth to verify the two products during Antarctic summer. While there is a general linear trend between ASPeCt and AMSR-E ice concentration estimates, there is poor correlation (R-2=0.41) and AMSR-E tends to underestimate the low ice concentrations. We also found that the NIC sea ice edge agrees well with ship observations, while the AMSR-E shows the ice edge further south, consistent with its poorer detection of low ice concentrations. The northward extent of the ice edge at the time of observation (NIC) had mean values varying from 38 km to 102 km greater on different days for the area as compared with the AMSR-E sea ice extent. For the circumpolar area as a whole in the December period examined, AMSR-E therefore may underestimate the area inside the ice edge at this time by up to 14% or, 1.5 million km(2) less area, compared to the NIC ice charts. Preliminary comparison of satellite scatterometer data however, suggests better resolution of low concentrations than passive microwave, and therefore better agreement with ship observations and NIC charts of the area inside the ice edge during Antarctic summer. A reanalysis data set for Antarctic sea ice extent that relies on the decade long scatterometer and high resolution satellite data set, instead of passive microwave, may therefore give better fidelity for the recent sea ice climatology.</t>
  </si>
  <si>
    <t>[Ozsoy-Cicek, B.; Xie, H.; Ackley, S. F.] Univ Texas San Antonio, Dept Geol Sci, Lab Remote Sensing &amp; Geoinformat, San Antonio, TX 78249 USA; [Ye, K.] Univ Texas San Antonio, Dept Management Sci &amp; Stat, San Antonio, TX 78249 USA</t>
  </si>
  <si>
    <t>University of Texas System; University of Texas at San Antonio (UTSA); University of Texas System; University of Texas at San Antonio (UTSA)</t>
  </si>
  <si>
    <t>Ozsoy-Cicek, B (corresponding author), Univ Texas San Antonio, Dept Geol Sci, Lab Remote Sensing &amp; Geoinformat, San Antonio, TX 78249 USA.</t>
  </si>
  <si>
    <t>Burcu@drcicek.com</t>
  </si>
  <si>
    <t>Xie, Hongjie/B-5845-2009; Ozsoy, Burcu/AAH-5348-2020</t>
  </si>
  <si>
    <t>Xie, Hongjie/0000-0003-3516-1210; Ozsoy, Burcu/0000-0003-4320-1796</t>
  </si>
  <si>
    <t>United States National Science Foundation (NSF) [ANT 0703682]</t>
  </si>
  <si>
    <t>United States National Science Foundation (NSF)(National Science Foundation (NSF))</t>
  </si>
  <si>
    <t>We wish to acknowledge United States National Science Foundation (NSF) Grant ANT 0703682 for allowing us to participate in the Oden 2006 cruise, one of the first International Polar Year (IPY) activities. We are grateful to the National Snow and Ice Data Center in Boulder, Colorado for providing us AMSR-E images, and National Ice Center for providing ice chart data. We are also grateful to RPSC and Oden Crews for their assistance during the Oden 2006 cruise. We thank Anthony P. Worby and Edward Hanna for the review and editorial comments which improved the manuscript.</t>
  </si>
  <si>
    <t>1994-0416</t>
  </si>
  <si>
    <t>1994-0424</t>
  </si>
  <si>
    <t>Cryosphere</t>
  </si>
  <si>
    <t>10.5194/tc-3-1-2009</t>
  </si>
  <si>
    <t>576QM</t>
  </si>
  <si>
    <t>WOS:000276161100001</t>
  </si>
  <si>
    <t>Braun, M; Humbert, A; Moll, A</t>
  </si>
  <si>
    <t>Braun, M.; Humbert, A.; Moll, A.</t>
  </si>
  <si>
    <t>Changes of Wilkins Ice Shelf over the past 15 years and inferences on its stability</t>
  </si>
  <si>
    <t>WESTERN ANTARCTIC PENINSULA; CLIMATE-CHANGE; MASS-BALANCE; RETREAT; VARIABILITY; DISINTEGRATION; GLACIERS; COLLAPSE; TRENDS; TEMPERATURE</t>
  </si>
  <si>
    <t>The Wilkins Ice Shelf is situated on the Antarctic Peninsula, a region where seven ice shelves disintegrated or retreated between 1995 and 2002. This study combines various remote sensing datasets from Wilkins Ice Shelf, with the aim of detecting its present and recent dynamics as well as recent changes. The survey includes structural mapping, ERS-1/2 SAR interferometry and analysis of ICESat GLAS ice surface elevation data. Ice front retreat rates from 1986 to 2008 showed several distinct break-up events, including one in February 2008, when 40% of a part of the ice shelf that connected two islands broke off. Surface elevations have been used to study tidal effects, crack formation and to estimate the ice thickness over the floating area. The derived interferometric velocities cover the south-eastern part of the ice shelf as well as major tributaries and reveal maximum inflow speeds of up to 330 ma(-1). We show that drainage of melt ponds into crevasses were of no relevance for the break-up at Wilkins Ice Shelf. Buoyancy forces caused rift formation before the break-up in February 2008. Additionally, the evolution of failure zones of the order of tenths of kilometres in length in pre-conditioned locations at ice rises is shown. Investigation of the current (February 2009) situation shows that about 3100 km(2) at the Northern Wilkins Ice Shelf are endangered, however, there is no visible signature that the remaining 8000 km(2) are at risk.</t>
  </si>
  <si>
    <t>[Braun, M.; Moll, A.] Univ Bonn, Ctr Remote Sensing Land Surfaces ZFL, D-5300 Bonn, Germany; [Humbert, A.] Univ Munster, Inst Geophys, Munster, Germany</t>
  </si>
  <si>
    <t>Braun, M (corresponding author), Univ Bonn, Ctr Remote Sensing Land Surfaces ZFL, D-5300 Bonn, Germany.</t>
  </si>
  <si>
    <t>matthias.braun@uni-bonn.de</t>
  </si>
  <si>
    <t>Braun, Matthias/A-4968-2009; Braun, Matthias H/S-4693-2016</t>
  </si>
  <si>
    <t>German Research Council [BR 2105/4-1-3, HU 1570/2-1]</t>
  </si>
  <si>
    <t>German Research Council(German Research Foundation (DFG))</t>
  </si>
  <si>
    <t>M. B. and A. H. acknowledge support by the German Research Council under grants BR 2105/4-1-3 and HU 1570/2-1. We wish to thank Dietmar Gross and Ralf Mueller (Darmstadt University of Technology) for useful discussions on fracture mechanics and rift formation. The anonymous reviewers and the different online comments helped to improve the paper. Data for this study was provided under ESA IPY AO 4032, AOALO 3575, CryoSat AO 1274 and DLR AO LAN_0013. The authors would like to thank NSIDC ICESAT and NASA Cryosphere Program for making the ICESat releases available and Christopher A. Shuman for support and discussion. We would like to thank Heinz Bennat and Jorn Sievers (Bundesamt fur Kartographie und Geodasie) for making Landsat imagery of the Geographic Information System of Antarctica available.</t>
  </si>
  <si>
    <t>10.5194/tc-3-41-2009</t>
  </si>
  <si>
    <t>WOS:000276161100005</t>
  </si>
  <si>
    <t>Bamber, JL; Gomez-Dans, JL; Griggs, JA</t>
  </si>
  <si>
    <t>Bamber, J. L.; Gomez-Dans, J. L.; Griggs, J. A.</t>
  </si>
  <si>
    <t>A new 1 km digital elevation model of the Antarctic derived from combined satellite radar and laser data - Part 1: Data and methods</t>
  </si>
  <si>
    <t>SURFACE MASS-BALANCE; ALTIMETER DATA; ICE THICKNESS; ACCURACY; CLIMATE; VALIDATION; TOPOGRAPHY; GREENLAND; SYSTEM; SHELF</t>
  </si>
  <si>
    <t>Digital elevation models (DEMs) of the whole of Antarctica have been derived, previously, from satellite radar altimetry (SRA) and limited terrestrial data. Near the ice sheet margins and in other areas of steep relief the SRA data tend to have relatively poor coverage and accuracy. To remedy this and to extend the coverage beyond the latitudinal limit of the SRA missions (81.5 degrees S) we have combined laser altimeter measurements from the Geosciences Laser Altimeter System onboard ICESat with SRA data from the geodetic phase of the ERS-1 satellite mission. The former provide decimetre vertical accuracy but with poor spatial coverage. The latter have excellent spatial coverage but a poorer vertical accuracy. By combining the radar and laser data using an optimal approach we have maximised the vertical accuracy and spatial resolution of the DEM and minimised the number of grid cells with an interpolated elevation estimate. We assessed the optimum resolution for producing a DEM based on a trade-off between resolution and interpolated cells, which was found to be 1 km. This resulted in just under 32% of grid cells having an interpolated value. The accuracy of the final DEM was assessed using a suite of independent airborne altimeter data and used to produce an error map. The RMS error in the new DEM was found to be roughly half that of the best previous 5 km resolution, SRA-derived DEM, with marked improvements in the steeper marginal and mountainous areas and between 81.5 and 86 degrees S. The DEM contains a wealth of information related to ice flow. This is particularly apparent for the two largest ice shelves -the Filchner-Ronne and Ross -where the surface expression of flow of ice streams and outlet glaciers can be traced from the grounding line to the calving front. The surface expression of subglacial lakes and other basal features are also illustrated. We also use the DEM to derive new estimates of balance velocities and ice divide locations.</t>
  </si>
  <si>
    <t>[Bamber, J. L.; Gomez-Dans, J. L.] Univ Bristol, Sch Geog Sci, Ctr Polar Observat &amp; Modelling, Bristol BS8 1TH, Avon, England; [Bamber, J. L.; Griggs, J. A.] Univ Bristol, Sch Geog Sci, Bristol Glaciol Ctr, Bristol BS8 1TH, Avon, England</t>
  </si>
  <si>
    <t>University of Bristol; University of Bristol</t>
  </si>
  <si>
    <t>Bamber, JL (corresponding author), Univ Bristol, Sch Geog Sci, Ctr Polar Observat &amp; Modelling, Bristol BS8 1TH, Avon, England.</t>
  </si>
  <si>
    <t>Bamber, Jonathan/0000-0002-2280-2819; Gomez-Dans, Jose/0000-0003-4787-8307</t>
  </si>
  <si>
    <t>UK NERC [NE/E004032/1]; Natural Environment Research Council [NE/E004032/1] Funding Source: researchfish; NERC [NE/E004032/1] Funding Source: UKRI</t>
  </si>
  <si>
    <t>UK NERC(UK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</si>
  <si>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funded by UK NERC contract for the Centre for Polar Observations and Modelling and NERC grant NE/E004032/1. We would like to thank Helen Fricker and four anonymous referees for their comments and improvements to the paper.</t>
  </si>
  <si>
    <t>10.5194/tc-3-101-2009</t>
  </si>
  <si>
    <t>WOS:000276161100009</t>
  </si>
  <si>
    <t>Griggs, JA; Bamber, JL</t>
  </si>
  <si>
    <t>Griggs, J. A.; Bamber, J. L.</t>
  </si>
  <si>
    <t>A new 1 km digital elevation model of Antarctica derived from combined radar and laser data - Part 2: Validation and error estimates</t>
  </si>
  <si>
    <t>AMUNDSEN SEA SECTOR; ICE-SHEET; SATELLITE RADAR; WEST ANTARCTICA; MASS-LOSS; GREENLAND; INTERFEROMETRY; ACCURACY; GLACIER; CLIMATE</t>
  </si>
  <si>
    <t>We have developed a new digital elevation model (DEM) of Antarctica from a combination of satellite radar and laser altimeter data. Here, we assess the accuracy of the DEM by comparison with airborne altimeter data from four campaigns covering a wide range of surface slopes and ice sheet regions. Root mean squared (RMS) differences varied from 4.75 m, when compared to a densely gridded airborne dataset over the Siple Coast region of West Antarctica to 33.78m when compared to a more limited dataset over the Antarctic Peninsula where surface slopes are high and the across track spacing of the satellite data is relatively large. The airborne data sets were employed to produce an error map for the DEM by developing a multiple linear regression model based on the variables known to influence errors in the DEM. Errors were found to correlate highly with surface slope, roughness and density of satellite data points. Errors ranged from typically similar to 1 m over the ice shelves to between about 2 and 6 m for the majority of the grounded ice sheet. In the steeply sloping margins, along the Peninsula and mountain ranges the estimated error is several tens of metres. Less than 2% of the area covered by the satellite data had an estimated random error greater than 20 m.</t>
  </si>
  <si>
    <t>[Griggs, J. A.; Bamber, J. L.] Univ Bristol, Sch Geog Sci, Bristol Glaciol Ctr, Bristol, Avon, England</t>
  </si>
  <si>
    <t>University of Bristol</t>
  </si>
  <si>
    <t>Griggs, JA (corresponding author), Univ Bristol, Sch Geog Sci, Bristol Glaciol Ctr, Bristol, Avon, England.</t>
  </si>
  <si>
    <t>j.griggs@bristol.ac.uk</t>
  </si>
  <si>
    <t>Bamber, Jonathan/0000-0002-2280-2819</t>
  </si>
  <si>
    <t>National Science Foundation [OPP-9120464, OPP-9319369, OPP-9319379]; University of Texas; NERC [NE/E004032/1]; NERC [NE/E004032/1] Funding Source: UKRI; Natural Environment Research Council [NE/E004032/1] Funding Source: researchfish</t>
  </si>
  <si>
    <t>National Science Foundation(National Science Foundation (NSF)); University of Texas;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</si>
  <si>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would like to thanks the following data contributors: W. Krabill from NASA Goddard Wallops Flight Facility for the CECS/NASA data, Duncan Young from the University of Texas for the AGASEA data and Hugh Corr from the British Antarctic Survey for the ISODYN/WISE data. The SOAR data are based on work supported by the National Science Foundation under Grants: OPP-9120464, 9319369 and 9319379 and we'd like to thank SOAR and the University of Texas for allowing us access. This work was funded by NERC grant NE/E004032/1. We would like to thank Stephen Dery, Julian Scott and two anonymous referees for their comments and improvements to the paper.</t>
  </si>
  <si>
    <t>10.5194/tc-3-113-2009</t>
  </si>
  <si>
    <t>WOS:000276161100010</t>
  </si>
  <si>
    <t>Scott, JBT; Gudmundsson, GH; Smith, AM; Bingham, RG; Pritchard, HD; Vaughan, DG</t>
  </si>
  <si>
    <t>Scott, J. B. T.; Gudmundsson, G. H.; Smith, A. M.; Bingham, R. G.; Pritchard, H. D.; Vaughan, D. G.</t>
  </si>
  <si>
    <t>Increased rate of acceleration on Pine Island Glacier strongly coupled to changes in gravitational driving stress</t>
  </si>
  <si>
    <t>ANTARCTIC ICE STREAM; WEST ANTARCTICA; TIDE</t>
  </si>
  <si>
    <t>Pine Island Glacier, Antarctica, has been undergoing several related changes for at least two decades; these include acceleration, thinning and grounding line retreat. During the first major ground-based study between 2006 and 2008, GPS receivers were used to monitor ice flow from 55 km to 171 km inland, along the central flowline. At four sites both acceleration and thinning rates over the last two years exceeded rates observed at any other time over the last two decades. At the downstream site acceleration was 6.4% over 2007 and thinning was 3.5 +/- 0.5 ma(-1). Acceleration and thinning have spread rapidly inland with the acceleration 171 km inland at 4.1% over 2007, greater than any measured annual flow increase along the whole glacier prior to 2006. Increases in surface slope, and hence gravitational driving stress, correlate well with the acceleration and no sustained change in longitudinal stress gradient is needed to explain the force balance. There is no indication that the glacier is approaching a new steady state.</t>
  </si>
  <si>
    <t>[Scott, J. B. T.; Gudmundsson, G. H.; Smith, A. M.; Bingham, R. G.; Pritchard, H. D.; Vaughan, D. G.] British Antarctic Survey, Cambridge CB3 0ET, England</t>
  </si>
  <si>
    <t>Scott, JBT (corresponding author), British Antarctic Survey, Cambridge CB3 0ET, England.</t>
  </si>
  <si>
    <t>jbts@bas.ac.uk</t>
  </si>
  <si>
    <t>Pritchard, Hamish Daniel/AAU-4696-2021; Vaughan, David/C-8348-2011; Gudmundsson, Gudmundur Hilmar/F-6499-2012; Gudmundsson, Gudmundur Hilmar/AAU-5987-2020; Facility, NERC Geophysical Equipment/G-5260-2010; Bingham, Robert G/G-3576-2017</t>
  </si>
  <si>
    <t>Gudmundsson, Gudmundur Hilmar/0000-0003-4236-5369; Gudmundsson, Gudmundur Hilmar/0000-0003-4236-5369; Vaughan, David/0000-0002-9065-0570; Bingham, Robert G/0000-0002-0630-2021</t>
  </si>
  <si>
    <t>Natural Environment Research Council, Geophysical Equipment Facility [847]; Natural Environment Research Council [bas0100027, bas010018] Funding Source: researchfish; NERC [bas0100027, bas010018] Funding Source: UKRI</t>
  </si>
  <si>
    <t>Natural Environment Research Council, Geophysical Equipment Facility(UK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</si>
  <si>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Natural Environment Research Council, Geophysical Equipment Facility (Loan 847). We thank Feargal Buckley, Chris Griffiths, Rob Smith and Roger Stilwell for assistance with the fieldwork.</t>
  </si>
  <si>
    <t>10.5194/tc-3-125-2009</t>
  </si>
  <si>
    <t>WOS:000276161100011</t>
  </si>
  <si>
    <t>Ramos, M; Vieira, G</t>
  </si>
  <si>
    <t>Ramos, M.; Vieira, G.</t>
  </si>
  <si>
    <t>Evaluation of the ground surface Enthalpy balance from bedrock temperatures (Livingston Island, Maritime Antarctic)</t>
  </si>
  <si>
    <t>ACTIVE-LAYER; CLIMATE VARIABILITY; THERMAL REGIME; SNOW COVER; PERMAFROST; PENINSULA; PRECIPITATION; CIRCULATION; MODEL; HEAT</t>
  </si>
  <si>
    <t>The annual evolution of the ground temperatures from Incinerador borehole in Livingston Island (South Shetlands, Antarctic) is studied. The borehole is 2.4m deep and is located in a massive quartzite outcrop with negligible water content, in the proximity of the Spanish Antarctic Station Juan Carlos I. In order to model the movement of the 0 degrees C isotherm (velocity and maximum depth) hourly temperature profiles from: (i) the cooling periods of the frost season of 2000 to 2005, and (ii) the warming periods of the thaw season of 2002-2003, 2003-2004 and 2004-2005, were studied. In this modelling approach, heat gains and losses across the ground surface are assumed to be the causes for the 0 degrees C isotherm movement. A methodological approach to calculate the ground Enthalpy change based on the thermodynamic analysis of the ground during the cooling and warming periods is proposed. The Enthalpy change into the rock is equivalent to the heat exchange through the ground surface during each season, thus enabling to describe the interaction groundatmosphere and providing valuable data for studies on permafrost and periglacial processes. The bedrock density and thermal conductivity are considered to be constant and initial isothermal conditions at 0 degrees C are assumed (based in collected data and local meteorological conditions in this area) to run the model in the beginning of each season. The final stages correspond to the temperatures at the end of the cooling and warming periods (annual minima and maxima). The application of this method avoids error propagation induced by the heat exchange calculations from multiple sensors using the Fourier method.</t>
  </si>
  <si>
    <t>[Ramos, M.] Univ Alcala, Dept Phys, Alcala De Henares 28871, Spain; [Vieira, G.] Univ Lisbon, Ctr Geog Studies, Dept Geog, P-1600214 Lisbon, Portugal</t>
  </si>
  <si>
    <t>Universidad de Alcala; Universidade de Lisboa</t>
  </si>
  <si>
    <t>Ramos, M (corresponding author), Univ Alcala, Dept Phys, Alcala De Henares 28871, Spain.</t>
  </si>
  <si>
    <t>miguel.ramos@uah.es</t>
  </si>
  <si>
    <t>Ramos, Miguel/K-2230-2014; Vieira, Goncalo/G-5958-2010</t>
  </si>
  <si>
    <t>Ramos, Miguel/0000-0003-3648-6818; Vieira, Goncalo/0000-0001-7611-3464</t>
  </si>
  <si>
    <t>Unidad de Tecnologia Marina (UTM) [REN2001-5082-ANT, REN2002-1150-E/ANT]</t>
  </si>
  <si>
    <t>Unidad de Tecnologia Marina (UTM)</t>
  </si>
  <si>
    <t>This work was supported by the funding received by the special actions REN2001-5082-ANT and REN2002-1150-E/ANT. The Unidad de Tecnologia Marina (UTM) is thanked for the support in data collection.</t>
  </si>
  <si>
    <t>10.5194/tc-3-133-2009</t>
  </si>
  <si>
    <t>WOS:000276161100012</t>
  </si>
  <si>
    <t>Munneke, PK; van den Broeke, MR; Reijmer, CH; Helsen, MM; Boot, W; Schneebeli, M; Steffen, K</t>
  </si>
  <si>
    <t>Munneke, P. Kuipers; van den Broeke, M. R.; Reijmer, C. H.; Helsen, M. M.; Boot, W.; Schneebeli, M.; Steffen, K.</t>
  </si>
  <si>
    <t>The role of radiation penetration in the energy budget of the snowpack at Summit, Greenland</t>
  </si>
  <si>
    <t>ANTARCTIC SURFACE; ICE-SHEET; BALANCE; FLUXES; ULTRAVIOLET; LAND</t>
  </si>
  <si>
    <t>Measurements of the summer surface energy balance at Summit, Greenland, are presented (8 June 20 July 2007). These measurements serve as input to an energy balance model that searches for a surface temperature for which closure of all energy terms is achieved. A good agreement between observed and modelled surface temperatures was found, with an average difference of 0.45 degrees C and an RMSE of 0.85 degrees C. It turns out that penetration of short-wave radiation into the snowpack plays a small but important role in correctly simulating snow temperatures. After 42 days, snow temperatures in the first meter are 3.6-4.0 degrees C higher compared to a model simulation without radiation penetration. Sensitivity experiments show that these results cannot be reproduced by tuning the heat conduction process alone, by varying snow density or snow diffusivity. We compared the two-stream radiation penetration calculations with a sophisticated radiative transfer model and discuss the differences. The average diurnal cycle shows that net shortwave radiation is the largest energy source (diurnal average of +61 W m(-2)), net longwave radiation the largest energy sink (-42 W m(-2)). On average, subsurface heat flux, sensible and latent heat fluxes are the remaining, small heat sinks (-5, -5 and -7 W m(-2), respectively), although these are more important on a subdaily timescale.</t>
  </si>
  <si>
    <t>[Munneke, P. Kuipers; van den Broeke, M. R.; Reijmer, C. H.; Helsen, M. M.; Boot, W.] Univ Utrecht, Inst Marine &amp; Atmospher Res, Utrecht, Netherlands; [Schneebeli, M.] WSL Inst Snow &amp; Avalanche Res, Davos, Switzerland; [Steffen, K.] Univ Colorado, Cooperat Inst Res Environm Sci, Boulder, CO 80309 USA</t>
  </si>
  <si>
    <t>Utrecht University; Swiss Federal Institutes of Technology Domain; Swiss Federal Institute for Forest, Snow &amp; Landscape Research; University of Colorado System; University of Colorado Boulder</t>
  </si>
  <si>
    <t>Munneke, PK (corresponding author), Univ Utrecht, Inst Marine &amp; Atmospher Res, Utrecht, Netherlands.</t>
  </si>
  <si>
    <t>p.kuipersmunneke@uu.nl</t>
  </si>
  <si>
    <t>Steffen, Konrad/C-6027-2013; Schneebeli, Martin/B-1063-2008; Van den Broeke, Michiel R./F-7867-2011; Reijmer, Carleen H/G-8736-2011</t>
  </si>
  <si>
    <t>Schneebeli, Martin/0000-0003-2872-4409; Van den Broeke, Michiel R./0000-0003-4662-7565; Reijmer, Carleen H/0000-0001-8299-3883; Kuipers Munneke, Peter/0000-0001-5555-3831</t>
  </si>
  <si>
    <t>576QS</t>
  </si>
  <si>
    <t>WOS:000276162000002</t>
  </si>
  <si>
    <t>Drews, R; Eisen, O; Weikusat, I; Kipfstuhl, S; Lambrecht, A; Steinhage, D; Wilhelms, F; Miller, H</t>
  </si>
  <si>
    <t>Drews, R.; Eisen, O.; Weikusat, I.; Kipfstuhl, S.; Lambrecht, A.; Steinhage, D.; Wilhelms, F.; Miller, H.</t>
  </si>
  <si>
    <t>Layer disturbances and the radio-echo free zone in ice sheets</t>
  </si>
  <si>
    <t>CRYSTAL ORIENTATION FABRICS; ANTARCTICA; FEATURES; SYSTEM; PLANE; CORE</t>
  </si>
  <si>
    <t>Radio-echo sounding of the Antarctic and Greenlandic ice sheets often reveals a layer in the lowest hundreds of meters above bedrock more or less free of radio echoes, known as the echo-free zone (EFZ). The cause of this feature is unclear, so far lacking direct evidence for its origin. We compare echoes around the EPICA drill site in Dronning Maud Land, Antarctica, with the dielectric properties, crystal orientation fabrics and optical stratigraphy of the EPICADML ice core. We find that echoes disappear in the depth range where the dielectric contrast is blurred, and where the coherency of the layers in the ice core is lost due to disturbances caused by the ice flow. At the drill site, the EFZ onset at similar to 2100 m marks a boundary, below which the ice core may have experienced flow induced disturbances on various scales. The onset may indicate changing rheology which needs to be accounted for in the modeling of ice sheet dynamics.</t>
  </si>
  <si>
    <t>[Drews, R.; Eisen, O.; Weikusat, I.; Kipfstuhl, S.; Lambrecht, A.; Steinhage, D.; Wilhelms, F.; Miller, H.] Alfred Wegener Inst Polar &amp; Marine Res, Bremerhaven, Germany; [Eisen, O.] Heidelberg Univ, Inst Umweltphys, D-6900 Heidelberg, Germany</t>
  </si>
  <si>
    <t>Helmholtz Association; Alfred Wegener Institute, Helmholtz Centre for Polar &amp; Marine Research; Ruprecht Karls University Heidelberg</t>
  </si>
  <si>
    <t>Drews, R (corresponding author), Alfred Wegener Inst Polar &amp; Marine Res, Bremerhaven, Germany.</t>
  </si>
  <si>
    <t>reinhard.drews@awi.de</t>
  </si>
  <si>
    <t>Wilhelms, Frank/KEI-8426-2024; Drews, reinhard/AAP-4134-2021; Eisen, Olaf/K-3846-2012; Weikusat, Ilka/E-8826-2015</t>
  </si>
  <si>
    <t>Wilhelms, Frank/0000-0001-7688-3135; Drews, reinhard/0000-0002-2328-294X; Eisen, Olaf/0000-0002-6380-962X; Miller, Heinrich/0000-0003-1015-2828; Weikusat, Ilka/0000-0002-3023-6036</t>
  </si>
  <si>
    <t>EU; IPEV; PNRA; AWI; Deutsche Forschungsgemeinschaft [EI 672/5]; Evangelisches Studienwerk e.V. Villigst</t>
  </si>
  <si>
    <t>EU(European Union (EU)); IPEV; PNRA; AWI; Deutsche Forschungsgemeinschaft(German Research Foundation (DFG)); Evangelisches Studienwerk e.V. Villigst</t>
  </si>
  <si>
    <t>This work is a contribution to the European Project for Ice Coring in Antarctica (EPICA), a joint European Science Foundation/ European Commission scientific programme, funded by the EU and by national contributions from Belgium, Denmark, France, Germany, Italy, The Netherlands, Norway, Sweden, Switzerland and the United Kingdom. The main logistic support was provided by IPEV and PNRA (at Dome C) and AWI (at Dronning Maud Land). This is EPICA Publication Number 232.; Preparation of this work was supported by the Emmy Noetherprogramme of the Deutsche Forschungsgemeinschaft grant EI 672/5 to O. Eisen and a scholarship of the Evangelisches Studienwerk e.V. Villigst to R. Drews.</t>
  </si>
  <si>
    <t>10.5194/tc-3-195-2009</t>
  </si>
  <si>
    <t>WOS:000276162000005</t>
  </si>
  <si>
    <t>Raymond, MJ; Gudmundsson, GH</t>
  </si>
  <si>
    <t>Raymond, M. J.; Gudmundsson, G. H.</t>
  </si>
  <si>
    <t>Estimating basal properties of ice streams from surface measurements: a non-linear Bayesian inverse approach applied to synthetic data</t>
  </si>
  <si>
    <t>WEST ANTARCTICA; GLACIER</t>
  </si>
  <si>
    <t>We propose a new approach to indirectly estimate basal properties of ice streams, i.e. bedrock topography and basal slipperiness, from observations of surface topography and surface velocities. We demonstrate how a maximum a posteriori estimate of basal conditions can be determined using a Bayesian inference approach in a combination with an analytical linearisation of the forward model. Using synthetic data we show that for non-linear media and non-linear sliding law only a few forward-step model evaluations are needed for convergence. The forward step is solved with a numerical finite-element model using the full Stokes equations. The Frechet derivative of the forward function is approximated through analytical small-perturbation solutions. This approximation is a key feature of the method and the effects of this approximation on model performance are analyzed. The number of iterations needed for convergence increases with the amplitude of the basal perturbations, but generally less than ten iterations are needed.</t>
  </si>
  <si>
    <t>[Gudmundsson, G. H.] British Antarctic Survey, Cambridge CB3 0ET, England; [Raymond, M. J.] ETH, Versuchsanstalt Wasserbau Hydrol &amp; Glaziol, CH-8092 Zurich, Switzerland</t>
  </si>
  <si>
    <t>UK Research &amp; Innovation (UKRI); Natural Environment Research Council (NERC); NERC British Antarctic Survey; Swiss Federal Institutes of Technology Domain; ETH Zurich</t>
  </si>
  <si>
    <t>Gudmundsson, GH (corresponding author), British Antarctic Survey, Madingley Rd, Cambridge CB3 0ET, England.</t>
  </si>
  <si>
    <t>ghg@bas.ac.uk</t>
  </si>
  <si>
    <t>Gudmundsson, Gudmundur Hilmar/AAU-5987-2020; Gudmundsson, Gudmundur Hilmar/F-6499-2012; Raymond Pralong, Mélanie/I-5000-2016</t>
  </si>
  <si>
    <t>Gudmundsson, Gudmundur Hilmar/0000-0003-4236-5369; Gudmundsson, Gudmundur Hilmar/0000-0003-4236-5369;</t>
  </si>
  <si>
    <t>10.5194/tc-3-265-2009</t>
  </si>
  <si>
    <t>Green Submitted, Green Published, Green Accepted, gold</t>
  </si>
  <si>
    <t>WOS:000276162000010</t>
  </si>
  <si>
    <t>Vannini, P</t>
  </si>
  <si>
    <t>Walking and Sitting in the Australian Antarctic Territory: Mobility and Imperial Space</t>
  </si>
  <si>
    <t>CULTURES OF ALTERNATIVE MOBILITIES: ROUTES LESS TRAVELLED</t>
  </si>
  <si>
    <t>Collis, C (corresponding author), Queensland Univ Technol, Creat Ind Fac, Brisbane, Qld 4001, Australia.</t>
  </si>
  <si>
    <t>ASHGATE PUBLISHING LTD</t>
  </si>
  <si>
    <t>ALDERSHOT</t>
  </si>
  <si>
    <t>GOWER HOUSE, CROFT ROAD, ALDERSHOT GU11 3HR, ENGLAND</t>
  </si>
  <si>
    <t>978-0-7546-7667-6; 978-0-7546-7666-9</t>
  </si>
  <si>
    <t>Transportation</t>
  </si>
  <si>
    <t>Book Citation Index – Social Sciences &amp; Humanities (BKCI-SSH)</t>
  </si>
  <si>
    <t>BA5CA</t>
  </si>
  <si>
    <t>WOS:000336525500004</t>
  </si>
  <si>
    <t>Raponi, MM; Jiménez, R; Tocho, JO; Quel, EJ</t>
  </si>
  <si>
    <t>Nakajima, T; Yamasoe, MA</t>
  </si>
  <si>
    <t>Raponi, Marcelo M.; Jimenez, Rodrigo; Tocho, Jorge O.; Quel, Eduardo J.</t>
  </si>
  <si>
    <t>NO2 Vertical Column Density at the Marambio Antarctic Station as Retrieved by DOAS</t>
  </si>
  <si>
    <t>CURRENT PROBLEMS IN ATMOSPHERIC RADIATION (IRS 2008)</t>
  </si>
  <si>
    <t>AIP Conference Proceedings</t>
  </si>
  <si>
    <t>International Radiation Symposium (IRC/IAMAS)</t>
  </si>
  <si>
    <t>AUG 03-08, 2008</t>
  </si>
  <si>
    <t>Foz do Iguacu, BRAZIL</t>
  </si>
  <si>
    <t>DOAS; NO2 vertical column; Antarctic; spectrometer</t>
  </si>
  <si>
    <t>A number of chemical species present in the stratosphere in very small concentrations (parts per billion and even smaller) contribute significantly to its chemical balance. One of the main stratospheric trace gases is nitrogen dioxide (NO,). This species acts as a restrictive agent for stratospheric ozone destruction (due to the chlorine monoxide), hence the importance of its study. We present a preliminary analysis of passive remote sensing measurements carry out at the Marambio Argentinean Antarctic Base (64.233 degrees S; 56.616 degrees W; 197 m amsl) during the months of January - February of 2008. The spectroscopy system consists of an optical fiber (400 pin core diameter and 6 in of longitude) and a portable spectral analyzer (spectrometer HR4000, Ocean Optics). The device analyzes diffuse solar spectral irradiance in the UV-visible range (290-650 nm), collected and transferred by a zenith-pointing optical fiber. The NO, vertical column density (VCD) is derived from the radiance spectra using the DOAS (Differential Optical Absorption Spectroscopy) technique. The system and technique allow for simultaneous measurements of different species of interest on a variety of meteorological conditions. The vertical columns obtained are compared with co-located measurements performed with EVA. a visible absorption spectrometer operated by the Instituto Nacional de Tecnica Aeroespacial (INTA), Spain.</t>
  </si>
  <si>
    <t>[Raponi, Marcelo M.] Direcc Nacl Antartico, Inst Antartico Argentino, Dpto Ciencias Atmosfera, Cerrito 1248 C1010AAZ, Buenos Aires, DF, Argentina; [Raponi, Marcelo M.; Quel, Eduardo J.] LIDAP, CEILAP, RA-B1603 Villa Martelli, Argentina; [Jimenez, Rodrigo] Harvard Univ, Dept Earth &amp; Planetary Sci, Cambridge, MA 02138 USA; [Tocho, Jorge O.] Univ Nacl La Plata, Fac Ciencias Exactas, Dpto Fis, RA-1900 La Plata, Buenos Aires, Argentina; [Tocho, Jorge O.] CIOP, CONICET, CIC, Parkville, Vic 1897, Australia</t>
  </si>
  <si>
    <t>Instituto Antartico Argentino; Harvard University; National University of La Plata</t>
  </si>
  <si>
    <t>Raponi, MM (corresponding author), Direcc Nacl Antartico, Inst Antartico Argentino, Dpto Ciencias Atmosfera, Cerrito 1248 C1010AAZ, Buenos Aires, DF, Argentina.</t>
  </si>
  <si>
    <t>JIMENEZ, Rodrigo/B-6112-2012</t>
  </si>
  <si>
    <t>JIMENEZ, Rodrigo/0000-0002-8665-9484; Raponi, Marcelo/0000-0001-8092-4593</t>
  </si>
  <si>
    <t>2 HUNTINGTON QUADRANGLE, STE 1NO1, MELVILLE, NY 11747-4501 USA</t>
  </si>
  <si>
    <t>0094-243X</t>
  </si>
  <si>
    <t>978-0-7354-0635-3</t>
  </si>
  <si>
    <t>AIP CONF PROC</t>
  </si>
  <si>
    <t>BJG63</t>
  </si>
  <si>
    <t>WOS:000265672300078</t>
  </si>
  <si>
    <t>Wolfram, EA; Salvador, J; D'Elía, R; Quel, E</t>
  </si>
  <si>
    <t>Wolfram, Elian A.; Salvador, Jacobo; D'Elia, Raul; Quel, Eduardo</t>
  </si>
  <si>
    <t>UV ground based measurements in Rio Gallegos, Argentina</t>
  </si>
  <si>
    <t>total ozone; UVI; UV exposure; ozone hole; remote sensing</t>
  </si>
  <si>
    <t>CEILAP's Lidar Division has established an atmospheric remote sensing site in Rio Gallegos (51 degrees 55'S, 69 degrees 14'W) in the southern region of Argentina. SOLAR Campaign was held during 2005-2006. The main objectives of this experiment were to measure stratospheric ozone profiles and Surface UV radiation in a subpolar region, where the influence of polar vortex and the Antarctic ozone hole are remarkable. This remote sensing site has lidar instruments and passive sensors to measure solar UV irradiance. In this paper we focused on passive remote sensing sensors and the Rio Gallegos erythemal irradiances reported during 2005-2006. Time evolution of UV index was derived from these measurements and the influence of ozone depleted air masses passing over over Rio Gallegos is highlighted in this paper. This Patagonian region is characterized by high Cloud cover during the day that strongly changes the distribution of UV radiation that reaches the ground surface. For that reason some overpasses of ozone hole are masked by cloud cover avoiding the increase in UVB radiation. Reversely in same opportunities, cloud border increases the surface UV radiation. Both effects are analyzed in this work and the reduction or increase of ultraviolet radiation is quantified by comparing measurement and modeled UV radiation. In addition time evolution of daily UV exposures is presented.</t>
  </si>
  <si>
    <t>[Wolfram, Elian A.; D'Elia, Raul; Quel, Eduardo] Ctr Invest Laseres &amp; Aplicac CEILAP, B1603ALO, Villa Martelli, Argentina; [Salvador, Jacobo] Consejo Nacl Invest Cient &amp; Tecn, Buenos Aires, DF C1033AJ, Argentina</t>
  </si>
  <si>
    <t>Wolfram, EA (corresponding author), Ctr Invest Laseres &amp; Aplicac CEILAP, B1603ALO, Villa Martelli, Argentina.</t>
  </si>
  <si>
    <t>Salvador, Jacobo/ISV-5414-2023</t>
  </si>
  <si>
    <t>, Raul/0000-0002-8154-6114</t>
  </si>
  <si>
    <t>Japanese International Collaboration Agency (MCA); Univ. de San Martin; CONICET</t>
  </si>
  <si>
    <t>Japanese International Collaboration Agency (MCA); Univ. de San Martin; CONICET(Consejo Nacional de Investigaciones Cientificas y Tecnicas (CONICET))</t>
  </si>
  <si>
    <t>To Japanese International Collaboration Agency (MCA) for supporting the SOLAR Project. Thanks to CNRS in France for their collaboration in facilitating the shelter and part of the electronic instruments, Univ. de San Martin and CONICET for the scholarships of some members of the SOLAR Campaign staff.</t>
  </si>
  <si>
    <t>WOS:000265672300086</t>
  </si>
  <si>
    <t>Zheng, YJ; Kambhamettu, C; Lin, S</t>
  </si>
  <si>
    <t>Zheng, Yuanjie; Kambhamettu, Chandra; Lin, Stephen</t>
  </si>
  <si>
    <t>Single-Image Optical Center Estimation from Vignetting and Tangential Gradient Symmetry</t>
  </si>
  <si>
    <t>CVPR: 2009 IEEE CONFERENCE ON COMPUTER VISION AND PATTERN RECOGNITION, VOLS 1-4</t>
  </si>
  <si>
    <t>IEEE Conference on Computer Vision and Pattern Recognition</t>
  </si>
  <si>
    <t>IEEE-Computer-Society Conference on Computer Vision and Pattern Recognition Workshops</t>
  </si>
  <si>
    <t>JUN 20-25, 2009</t>
  </si>
  <si>
    <t>Miami Beach, FL</t>
  </si>
  <si>
    <t>CALIBRATION</t>
  </si>
  <si>
    <t>In this paper, we propose a method for estimating the optical center of a camera given only a single image with vignetting. This is accomplished by identifying the center of the vignetting effect in the image through an analysis of semicircular tangential gradients (SCTGs). For a given image pixel, the SCTG is the image gradient along the tangential direction of the circle centered at the currently estimated optical center and passing through the pixel. We show that for natural images with vignetting, the distribution of SCTGs is generally symmetric if the optical center is estimated accurately, but is skewed otherwise. By minimizing the asymmetry of the SCTG distribution with nonlinear optimization, our method is able to obtain reliable estimates of the optical center Experiments on simulated and real vignetting images demonstrate the effectiveness of this technique.</t>
  </si>
  <si>
    <t>[Zheng, Yuanjie] Univ Delaware, Dept Comp Sci, Video Image Modeling &amp; Synth Lab, Newark, DE 19716 USA; [Lin, Stephen] Microsoft Res Asia, Beijing, Peoples R China</t>
  </si>
  <si>
    <t>University of Delaware; Microsoft; Microsoft Research Asia</t>
  </si>
  <si>
    <t>Zheng, YJ (corresponding author), Univ Delaware, Dept Comp Sci, Video Image Modeling &amp; Synth Lab, Newark, DE 19716 USA.</t>
  </si>
  <si>
    <t>zheng.vision@gmail.com; chandra@cis.udel.edu; stevelin@microsoft.com</t>
  </si>
  <si>
    <t>NSF Antarctic Sciences Division within the Office of Polar Programs [OPP0636726]</t>
  </si>
  <si>
    <t>NSF Antarctic Sciences Division within the Office of Polar Programs</t>
  </si>
  <si>
    <t>This publication was made possible by a grant from NSF Antarctic Sciences Division within the Office of Polar Programs (OPP0636726).</t>
  </si>
  <si>
    <t>1063-6919</t>
  </si>
  <si>
    <t>978-1-4244-3992-8</t>
  </si>
  <si>
    <t>PROC CVPR IEEE</t>
  </si>
  <si>
    <t>Computer Science, Artificial Intelligence</t>
  </si>
  <si>
    <t>Computer Science</t>
  </si>
  <si>
    <t>BPK14</t>
  </si>
  <si>
    <t>WOS:000279038001073</t>
  </si>
  <si>
    <t>Ivanov, VV; Polyakov, IV; Dmitrenko, IA; Hansen, E; Repina, IA; Kirillov, SA; Mauritzen, C; Simmons, H; Timokhov, LA</t>
  </si>
  <si>
    <t>Ivanov, Vladimir V.; Polyakov, Igor V.; Dmitrenko, Igor A.; Hansen, Edmond; Repina, Irina A.; Kirillov, Sergey A.; Mauritzen, Cecillie; Simmons, Harper; Timokhov, Leonid A.</t>
  </si>
  <si>
    <t>Seasonal variability in Atlantic Water off Spitsbergen</t>
  </si>
  <si>
    <t>Seasonal variations; Time series; Statistical analysis; Arctic Ocean; Atlantic Water</t>
  </si>
  <si>
    <t>ARCTIC-OCEAN; HALOCLINE; SURFACE; SLOPE; BASIN; SEA</t>
  </si>
  <si>
    <t>A combination of 2-year-long mooring-based measurements and snapshot conductivity-temperature-depth (CTD) observations at the continental slope off Spitsbergen (81 degrees 30'N, 31 degrees 00'E) is used to demonstrate a significant hydrographic seasonal signal in Atlantic Water (AW) that propagates along the Eurasian continental slope in the Arctic Ocean. At the mooring position this seasonal signal dominates, contributing up to 50% of the total variance. Annual temperature maximum in the upper ocean (above 215 m) is reached in mid-November, when the ocean in the area is normally covered by ice. Distinct division into 'summer' (warmer and saltier) and 'winter' (colder and fresher) AW types is revealed there. Estimated temperature difference between the 'summer' and 'winter' waters is 1.2 degrees C, which implies that the range of seasonal heat content variations is of the same order of magnitude as the mean local AW heat content, suggesting an important role of seasonal changes in the intensity of the upward heat flux from AW. Although the current meter observations are only 1-year long, they hint at a persistent, highly barotropic current with little or no seasonal signal attached. Published by Elsevier Ltd.</t>
  </si>
  <si>
    <t>[Ivanov, Vladimir V.; Polyakov, Igor V.; Simmons, Harper] Univ Alaska UAF, IARC, Fairbanks, AK 99775 USA; [Dmitrenko, Igor A.] Univ Kiel, Leibniz Inst Marine Sci, Kiel, Germany; [Hansen, Edmond] Norsk Polar Inst, Tromso, Norway; [Repina, Irina A.] Obukhov Inst Atmospher Phys, Moscow, Russia; [Kirillov, Sergey A.; Timokhov, Leonid A.] Arctic &amp; Antarctic Res Inst, St Petersburg 199226, Russia; [Mauritzen, Cecillie] Norwegian Meteorol Inst, Oslo, Norway</t>
  </si>
  <si>
    <t>Helmholtz Association; GEOMAR Helmholtz Center for Ocean Research Kiel; University of Kiel; Norwegian Polar Institute; Russian Academy of Sciences; Obukhov Institute of Atmospheric Physics of Russian Academy of Sciences; Arctic &amp; Antarctic Research Institute; Norwegian Meteorological Institute</t>
  </si>
  <si>
    <t>Ivanov, VV (corresponding author), Univ Alaska UAF, IARC, 930 Koyukuk Dr,POB 757335, Fairbanks, AK 99775 USA.</t>
  </si>
  <si>
    <t>vivanov@iarc.uaf.edu</t>
  </si>
  <si>
    <t>Ivanov, Vladimir/AAX-6830-2020; Ivanov, Vladimir/J-5979-2014; Mauritzen, Cecilie/G-7682-2019; Repina, Irina A/H-3530-2016; Mauritzen, Cecilie/HKO-1954-2023</t>
  </si>
  <si>
    <t>Ivanov, Vladimir/0000-0003-2569-6027; Mauritzen, Cecilie/0000-0001-5956-8811; Mauritzen, Cecilie/0000-0001-5956-8811; Dmitrenko, Igor/0000-0001-8388-7839; Repina, Irina/0000-0001-7341-0826</t>
  </si>
  <si>
    <t>Natural Environment Research Council [dml010002] Funding Source: researchfish; NERC [dml010002] Funding Source: UKRI</t>
  </si>
  <si>
    <t>10.1016/j.dsr.2008.07.013</t>
  </si>
  <si>
    <t>396KB</t>
  </si>
  <si>
    <t>WOS:000262589500001</t>
  </si>
  <si>
    <t>Khare, N; Chaturvedi, SK; Ingole, B</t>
  </si>
  <si>
    <t>Khare, N.; Chaturvedi, S. K.; Ingole, B.</t>
  </si>
  <si>
    <t>Tsunami Induced Transportation of The Coastal Marine Sediments to Distant Onshore Regions: Some Indications from Foraminiferal and Microbenthic Studies of new Wandoor Region (Andaman &amp; Nicobar)</t>
  </si>
  <si>
    <t>DISASTER ADVANCES</t>
  </si>
  <si>
    <t>Tsunami; impact; sediment transportation; foraminifera; microbenthos; indicator; Andaman; Indian Ocean</t>
  </si>
  <si>
    <t>26 DECEMBER 2004; SOUTH-CAROLINA; GRAND-CAYMAN; BARRIER-REEF; INNER SHELF; DEPOSITS; STORM; ASSEMBLAGES; HURRICANES; ISLAND</t>
  </si>
  <si>
    <t>The foraminiferal and microbenthos studies were carried out on samples collected from onshore soils/sediments from cultivated fields. The presence of exclusive marine organisms namely foraminifera in the soil of cultivated fields at distant onshore regions near New Wandoor (Andaman and Nicobar) suggested the areal extent of marine transgression due to tsunami waves on December 26, 2004. There is a need to investigate coastal marine sediments with multi-disciplinary approach to understand impact of the said tsunami on the onshore regions.</t>
  </si>
  <si>
    <t>[Ingole, B.] CSIR, Natl Inst Oceanog, Panaji 403004, Goa, India; [Chaturvedi, S. K.] Natl Ctr Antarctic &amp; Ocean Res, Vasco Da Gama, Goa, India</t>
  </si>
  <si>
    <t>Council of Scientific &amp; Industrial Research (CSIR) - India; CSIR - National Institute of Oceanography (NIO); Ministry of Earth Sciences (MoES) - India; National Centre for Polar and Ocean Research (NCPOR)</t>
  </si>
  <si>
    <t>Ingole, B (corresponding author), CSIR, Natl Inst Oceanog, Panaji 403004, Goa, India.</t>
  </si>
  <si>
    <t>baban@nio.org</t>
  </si>
  <si>
    <t>Ingole, Baban Shravan/GLR-9722-2022</t>
  </si>
  <si>
    <t>Ingole, Baban Shravan/0000-0001-6096-6980</t>
  </si>
  <si>
    <t>INDORE</t>
  </si>
  <si>
    <t>SECTOR AG-80, SCHEME NO 54, VIJAY NAGAR, A B RD, INDORE, 452010, INDIA</t>
  </si>
  <si>
    <t>0974-262X</t>
  </si>
  <si>
    <t>2278-4543</t>
  </si>
  <si>
    <t>DISASTER ADV</t>
  </si>
  <si>
    <t>Disaster Adv.</t>
  </si>
  <si>
    <t>Geosciences, Multidisciplinary; Meteorology &amp; Atmospheric Sciences; Water Resources</t>
  </si>
  <si>
    <t>Geology; Meteorology &amp; Atmospheric Sciences; Water Resources</t>
  </si>
  <si>
    <t>459PK</t>
  </si>
  <si>
    <t>WOS:000267115500002</t>
  </si>
  <si>
    <t>Pankhurst, RJ; Vaughan, APM</t>
  </si>
  <si>
    <t>Bassett, MG</t>
  </si>
  <si>
    <t>Pankhurst, Robert J.; Vaughan, Alan P. M.</t>
  </si>
  <si>
    <t>The tectonic context of the Early Palaeozoic southern margin of Gondwana</t>
  </si>
  <si>
    <t>EARLY PALAEOZOIC PERI-GONDWANA TERRANES: NEW INSIGHTS FROM TECTONICS AND BIOGEOGRAPHY</t>
  </si>
  <si>
    <t>Geological Society Special Publication</t>
  </si>
  <si>
    <t>CAPE FOLD BELT; EVOLUTION; BASEMENT; RODINIA; METAMORPHISM; AUSTRALIA; ACCRETION; AREQUIPA; AMERICA; TERRANE</t>
  </si>
  <si>
    <t>The oceanic southern margin of Gondwana, from southern South America through South Africa, West Antarctica, New Zealand (in its pre-break-up position), and Victoria Land to Eastern Australia, is one of the longest and longest-lived active continental margins known. Its construction was initiated in late Neoproterozoic times following the break-up of the pre-existing supercontinent of Rodinia. Gondwana was established by the amalgamation of Australian, Indian, Antarctic, African and South American continental fragments mostly derived from Rodinia. Its 'Pacific' margin continued to develop as the site of the 18 000 km Terra Australis orogen, predominantly facing subducting ocean floor and involving some terrane accretion events, through Palaeozoic and Mesozoic times until, and during, the eventual break-up of Gondwana itself.</t>
  </si>
  <si>
    <t>[Pankhurst, Robert J.] British Geol Survey, Nottingham NG12 5GG, England; [Vaughan, Alan P. M.] British Antarctic Survey, Cambridge CB3 0ET, England</t>
  </si>
  <si>
    <t>UK Research &amp; Innovation (UKRI); Natural Environment Research Council (NERC); NERC British Geological Survey; UK Research &amp; Innovation (UKRI); Natural Environment Research Council (NERC); NERC British Antarctic Survey</t>
  </si>
  <si>
    <t>Pankhurst, RJ (corresponding author), British Geol Survey, Nottingham NG12 5GG, England.</t>
  </si>
  <si>
    <t>r.pankhurst@nigl.nerc.ac.uk</t>
  </si>
  <si>
    <t>GEOLOGICAL SOC PUBLISHING HOUSE</t>
  </si>
  <si>
    <t>BATH</t>
  </si>
  <si>
    <t>UNIT 7, BRASSMILL ENTERPRISE CTR, BRASSMILL LANE, BATH BA1 3JN, AVON, ENGLAND</t>
  </si>
  <si>
    <t>0305-8719</t>
  </si>
  <si>
    <t>978-1-86239-286-1</t>
  </si>
  <si>
    <t>GEOL SOC SPEC PUBL</t>
  </si>
  <si>
    <t>Geol. Soc. Spec. Publ.</t>
  </si>
  <si>
    <t>10.1144/SP325.9</t>
  </si>
  <si>
    <t>Geology; Geosciences, Multidisciplinary</t>
  </si>
  <si>
    <t>BOW27</t>
  </si>
  <si>
    <t>WOS:000277822500009</t>
  </si>
  <si>
    <t>Podolskiy, EA</t>
  </si>
  <si>
    <t>Podolskiy, Evgeny A.</t>
  </si>
  <si>
    <t>Effects of Recent Environmental Changes on Global Seismicity and Volcanism</t>
  </si>
  <si>
    <t>EARTH INTERACTIONS</t>
  </si>
  <si>
    <t>Seismicity; Tectonics; Sea level rise; Glacier retreat; Environmental changes; Volcanism</t>
  </si>
  <si>
    <t>ANTARCTIC ICE-SHEET; SEA-LEVEL CHANGE; FREQUENCY</t>
  </si>
  <si>
    <t>A covariation of recent global environmental changes and seismicity on Earth is demonstrated. Presently, rising concern about anthropogenic activities and their consequences on the cryosphere and environment have always overlooked changes related to future tectonic activity. Possible factors affecting an increase in the number of earthquakes and volcanic eruptions are reviewed and discussed.</t>
  </si>
  <si>
    <t>Nagoya Univ, Grad Sch Environm Studies, Chikusa Ku, Nagoya, Aichi 4648601, Japan</t>
  </si>
  <si>
    <t>Nagoya University</t>
  </si>
  <si>
    <t>Podolskiy, EA (corresponding author), Nagoya Univ, Grad Sch Environm Studies, Chikusa Ku, F3-1 200 Furo Cho, Nagoya, Aichi 4648601, Japan.</t>
  </si>
  <si>
    <t>evgeniy.podolskiy@gmail.com</t>
  </si>
  <si>
    <t>Podolskiy, Evgeny/A-4458-2010</t>
  </si>
  <si>
    <t>Podolskiy, Evgeny/0000-0002-3050-4897</t>
  </si>
  <si>
    <t>1087-3562</t>
  </si>
  <si>
    <t>EARTH INTERACT</t>
  </si>
  <si>
    <t>Earth Interact.</t>
  </si>
  <si>
    <t>10.1175/2009EI262.1</t>
  </si>
  <si>
    <t>450DY</t>
  </si>
  <si>
    <t>WOS:000266382400001</t>
  </si>
  <si>
    <t>Kozu, T; Kodama, YM; Shibagaki, Y; Shimomai, T; Kawashima, M; Alexander, SP</t>
  </si>
  <si>
    <t>Kozu, Toshiaki; Kodama, Yasu-Masa; Shibagaki, Yoshiaki; Shimomai, Toyoshi; Kawashima, Masayuki; Alexander, Simon P.</t>
  </si>
  <si>
    <t>Diurnal and intraseasonal variation of UTLS vertical wind disturbance in the equatorial region and its relation to tropospheric convective activities</t>
  </si>
  <si>
    <t>EARTH PLANETS AND SPACE</t>
  </si>
  <si>
    <t>International Symposium on Coupling Processes in the Equatorial Atmosphere</t>
  </si>
  <si>
    <t>MAR 20-23, 2007</t>
  </si>
  <si>
    <t>Kyoto Univ, Kyoto, JAPAN</t>
  </si>
  <si>
    <t>Kyoto Univ</t>
  </si>
  <si>
    <t>Vertical wind; gravity wave; equatorial region; tropospheric convection; rainfall</t>
  </si>
  <si>
    <t>INDONESIAN MARITIME CONTINENT; 1ST CPEA CAMPAIGN; GRAVITY-WAVES; RADAR OBSERVATIONS; SUMATERA ISLAND; TRMM SATELLITE; OSCILLATION; SYSTEMS; CLOUDS</t>
  </si>
  <si>
    <t>Vertical wind variations in the Upper Troposphere and Lower Stratosphere (UTLS) measured by the Equatorial Atmosphere Radar (EAR) at Kototabang, Sumatra, between 2003 and 2005 but mainly in 2004. have been statistically analyzed to study the characteristics of wind variances associated with convective activity. which is related to gravity wave generation and propagation. The analyses are intended to characterize relatively short period disturbances of less than 12 hours and an energy propagation direction of a relatively high elevation angle. and to relate vertical wind variations to convective activity close to the EAR. Correlation analyses between vertical wind variations and rainfall show that the wind variances have a clear diurnal variation indicating probable effects of tropospheric convection. They also show some intraseasonal variation. However, there are no significant correlations with the out-going long-wave Radiation (OLR) anomaly. The correlations between variances at UT and LS suggest that the UTLS coupling of vertical wind variation through upward propagation of gravity wave is similarly evident in the afternoon during both the active and the inactive phase of OLR that is a proxy of large-scale convective activity.</t>
  </si>
  <si>
    <t>[Kozu, Toshiaki; Shimomai, Toyoshi] Shimane Univ, Matsue, Shimane 6908504, Japan; [Kodama, Yasu-Masa] Hirosaki Univ, Aomori 0368561, Japan; [Shibagaki, Yoshiaki] Osaka Electrocommun Univ, Osaka 5728530, Japan; [Kawashima, Masayuki] Hokkaido Univ, ILTS, Sapporo, Hokkaido 0600819, Japan; [Alexander, Simon P.] Australian Antarctic Div, Kingston, Tas 7050, Australia</t>
  </si>
  <si>
    <t>Shimane University; Hirosaki University; Osaka Electro-Communication University; Hokkaido University; Australian Antarctic Division</t>
  </si>
  <si>
    <t>Kozu, T (corresponding author), Shimane Univ, Matsue, Shimane 6908504, Japan.</t>
  </si>
  <si>
    <t>kozu@ecs.shimane-u.ac.jp</t>
  </si>
  <si>
    <t>Kodama, Yasumasa/G-5529-2011; Kawashima, Masayuki/D-9107-2012</t>
  </si>
  <si>
    <t>Alexander, Simon/0000-0001-6823-8857</t>
  </si>
  <si>
    <t>TERRA SCIENTIFIC PUBL CO</t>
  </si>
  <si>
    <t>2003 SANSEI JIYUGAOKA HAIMU, 5-27-19 OKUSAWA, SETAGAYA-KU, TOKYO, 158-0083, JAPAN</t>
  </si>
  <si>
    <t>1343-8832</t>
  </si>
  <si>
    <t>EARTH PLANETS SPACE</t>
  </si>
  <si>
    <t>Earth Planets Space</t>
  </si>
  <si>
    <t>10.1186/BF03353170</t>
  </si>
  <si>
    <t>471KT</t>
  </si>
  <si>
    <t>WOS:000268057300016</t>
  </si>
  <si>
    <t>Ratnam, MV; Alexander, SP; Kozu, T; Tsuda, T</t>
  </si>
  <si>
    <t>Ratnam, M. Venkat; Alexander, Simon P.; Kozu, T.; Tsuda, T.</t>
  </si>
  <si>
    <t>Characteristics of gravity waves observed with intensive radiosonde campaign during November-December 2005 over western Sumatera</t>
  </si>
  <si>
    <t>Gravity waves; convection; background wind; radiosonde campaign; EAR</t>
  </si>
  <si>
    <t>MIDDLE ATMOSPHERE; CPEA CAMPAIGN; STRATOSPHERE; DYNAMICS; MESOSPHERE; BREAKING</t>
  </si>
  <si>
    <t>Characteristics of gravity waves are studied using radiosonde campaign conducted during November-December 2005 at Koto Tabang (KT, 0.2 degrees S, 100.32 degrees E). Intensive sounding with hourly launches was also conducted on seven days to study the characteristics of short period (2-6 hours) waves along with EAR data. Gravity waves with period (tau) of 3 hours and vertical wavelength (lambda(z)) of 10 km seemed to be generated due to localized convection around KT, which is inferred from X-band Doppler radar. The energy of the gravity wave with period of 2-3 days and vertical wavelength of 3-5 km is largest between 15 and 20 kin and 25 and 30 km. We also report the comparison of the wave activity and its interaction with background wind between the three campaigns (CPEA-I, CPEA-II and Nov. 2002). Most of the time waves are propagating towards east and the source of gravity waves is strongly related to the slowly eastward-advecting tropospheric convection, implying that the wave activity was generated at far distant sources located west of KT. A key finding of this study is neither short period nor long-period gravity waves are generated during stationary type of convection. The change in the propagation direction of the short period waves within the event is observed which is not expected.</t>
  </si>
  <si>
    <t>[Ratnam, M. Venkat; Tsuda, T.] Kyoto Univ, RISH, Kyoto 6068501, Japan; [Ratnam, M. Venkat] NARL, Gadanki, India; [Alexander, Simon P.] Australian Antarctic Div, Kingston, Tas, Australia; [Kozu, T.] Shimane Univ, Fac Sci &amp; Engn, Shimamoto, Osaka, Japan</t>
  </si>
  <si>
    <t>Kyoto University; Department of Space (DoS), Government of India; National Atmospheric Research Laboratory (NARL); Australian Antarctic Division; Shimane University</t>
  </si>
  <si>
    <t>Ratnam, MV (corresponding author), Kyoto Univ, RISH, Kyoto 6068501, Japan.</t>
  </si>
  <si>
    <t>tsuda@rish.kyoto-u.ac.jp</t>
  </si>
  <si>
    <t>Venkat Ratnam, Madineni/AFW-0936-2022; tsuda, toshitaka/A-3035-2015; Tsuda, Toshitaka/GYJ-4925-2022</t>
  </si>
  <si>
    <t>Alexander, Simon/0000-0001-6823-8857; Venkat Ratnam, M./0000-0002-3882-2523</t>
  </si>
  <si>
    <t>Japan Society for Promotion of Science (JSPS); Japanese Ministry of Education, Culture, Sports, Science and Technology (MEXT) [13136206, 13136203]; Grants-in-Aid for Scientific Research [13136206, 13136203] Funding Source: KAKEN</t>
  </si>
  <si>
    <t>Japan Society for Promotion of Science (JSPS)(Ministry of Education, Culture, Sports, Science and Technology, Japan (MEXT)Japan Society for the Promotion of Science); Japanese 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</si>
  <si>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The authors would like to thank all of the people who helped to make the CPEA campaign a success. We thank S. Mori for providing Nov. 2002 campaign data and Debasish Nath for helping in data analysis. Discussion with Dr. Horinouchi is highly appreciated. One of the authors (MVR) wishes to thank the Japan Society for Promotion of Science (JSPS) for providing a fellowship to carry out this work. The CPEA carnpaign is supported by the Japanese Ministry of Education, Culture, Sports, Science and Technology (MEXT) through a Grant-in-Aid for Scientific Research in Priority Areas (Grant number: (A03) 13136206; (A04) 13136203). We thank two anonymous reviewers for their suggestions/comments which made us to improve the manuscript.</t>
  </si>
  <si>
    <t>1880-5981</t>
  </si>
  <si>
    <t>10.1186/BF03352948</t>
  </si>
  <si>
    <t>519AI</t>
  </si>
  <si>
    <t>WOS:000271737000004</t>
  </si>
  <si>
    <t>Gladbach, A; Braun, C; Nordt, A; Peter, HU; Quillfeldt, P</t>
  </si>
  <si>
    <t>Gladbach, Anja; Braun, Christina; Nordt, Anja; Peter, Hans-Ulrich; Quillfeldt, Petra</t>
  </si>
  <si>
    <t>Estimation of feeding frequencies by periodic weighing of chicks: evaluation by video-observation of burrow-nesting Wilson's Storm-Petrels (Oceanites oceanicus)</t>
  </si>
  <si>
    <t>EMU</t>
  </si>
  <si>
    <t>seabirds; provisioning</t>
  </si>
  <si>
    <t>STOCHASTIC VARIATION; NESTLING OBESITY; BREEDING SUCCESS; FOOD DELIVERY; SHEARWATERS; GROWTH; VARIABILITY; SEABIRDS; PUFFINUS; ECOLOGY</t>
  </si>
  <si>
    <t>We used video-observations of nesting burrows to determine if periodic weighing of chicks (once per day) accurately captured feeding events in Wilson's Storm-Petrel (Oceanites oceanicus). We found that, compared with video-recordings, periodic weighing and correction for metabolic loss correctly estimated whether a chick had been fed for 99.3% of all nights. It underestimated the number of feedings on 14.8% of nights and overestimated it on only 4.7%. The most common error in our study occurred in the discrimination between single and double feedings, classifying 22 (35.5%) of all double feedings as single feeding owing to their small size. However, the method gives good results at the population level, as the error rate (0.7% for fed v. unfed) is well below the variance in feeding rates observed between good and poor seasons. Thus, periodic weighing of chicks is an easy and reliable method for monitoring feeding rates, which is especially important in burrow-nesting species where a direct observation is difficult. We show that, following the establishment of a metabolic mass-loss curve by weighing chicks over short intervals, weighing of chicks once a day provides reliable results, and thus disturbance to feeding adults can be minimised. This can be especially useful in species where adults feed during a restricted time of the day, such as nocturnally.</t>
  </si>
  <si>
    <t>[Gladbach, Anja; Braun, Christina; Nordt, Anja; Peter, Hans-Ulrich] Univ Jena, Inst Ecol, Polar &amp; Bird Ecol Grp, D-07743 Jena, Germany; [Gladbach, Anja; Quillfeldt, Petra] Max Planck Inst Ornithol, D-78315 Radolfzell am Bodensee, Germany</t>
  </si>
  <si>
    <t>Friedrich Schiller University of Jena; Max Planck Society</t>
  </si>
  <si>
    <t>Gladbach, A (corresponding author), Univ Jena, Inst Ecol, Polar &amp; Bird Ecol Grp, Dornburger Str 159, D-07743 Jena, Germany.</t>
  </si>
  <si>
    <t>Russ, Anja/D-4797-2015</t>
  </si>
  <si>
    <t>Deutsche Forschungsgemeinschaft [Pe 454, Qu 148]; BMBF-DLR; Studienstiftung des Deutschen Volkes; State of Thuringia, Germany (Landesgraduiertenstipendium)</t>
  </si>
  <si>
    <t>Deutsche Forschungsgemeinschaft(German Research Foundation (DFG)); BMBF-DLR(Helmholtz AssociationGerman Aerospace Centre (DLR)Federal Ministry of Education &amp; Research (BMBF)); Studienstiftung des Deutschen Volkes; State of Thuringia, Germany (Landesgraduiertenstipendium)</t>
  </si>
  <si>
    <t>We thank Thomas Lubjuhn for sharing his knowledge and providing laboratory facilities and Tim Schmoll, Steffen Hahn and Markus Ritz for their contributions to logistics and fieldwork. The manuscript benefited from the comments of three anonymous referees and Timothy Greives checked the English. We received logistic support from the Alfred-Wegener Institute of Marine and Polar Research (Bremerhaven, Germany), the National Antarctic Institute of Argentina and Hapag Lloyd Seetouristik. This study was partly funded by grants provided by the Deutsche Forschungsgemeinschaft (Pe 454, and Qu 148), BMBF-DLR, Studienstiftung des Deutschen Volkes and the State of Thuringia, Germany (Landesgraduiertenstipendium).</t>
  </si>
  <si>
    <t>COLLINGWOOD</t>
  </si>
  <si>
    <t>150 OXFORD ST, PO BOX 1139, COLLINGWOOD, VICTORIA 3066, AUSTRALIA</t>
  </si>
  <si>
    <t>0158-4197</t>
  </si>
  <si>
    <t>Emu</t>
  </si>
  <si>
    <t>10.1071/MU09043</t>
  </si>
  <si>
    <t>V17LG</t>
  </si>
  <si>
    <t>WOS:000207938100007</t>
  </si>
  <si>
    <t>Jiménez, S; Domingo, A; Marquez, A; Abreu, M; D'Anatro, A; Pereira, A</t>
  </si>
  <si>
    <t>Jimenez, Sebastian; Domingo, Andres; Marquez, Alejandro; Abreu, Martin; D'Anatro, Alejandro; Pereira, Alfredo</t>
  </si>
  <si>
    <t>Interactions of long-line fishing with seabirds in the south-western Atlantic Ocean, with a focus on White-capped Albatrosses (Thalassarche steadi)</t>
  </si>
  <si>
    <t>PATAGONIAN SHELF; SHY ALBATROSSES; NEW-ZEALAND; FISHERIES; GEORGIA; AUSTRALIA; MORTALITY; SEQUENCES; TAXONOMY; PETRELS</t>
  </si>
  <si>
    <t>We analyse the interactions of seabirds with the Uruguayan long-line fishing fleet in the south-western Atlantic Ocean, with a focus on White-capped Albatrosses (Thalassarche (cauta) steadi). The aim of this work is to determine the species composition of the incidental by-catch of seabirds and assess the importance (in terms of abundance) of White-capped Albatross in the seabird assemblage attending this fishery. Counts of seabirds associated with fishing vessels (n = 132 counts) were made during five commercial fishing trips in Uruguayan waters, and the incidental by-catch of seabirds per line-set (n = 44 line-sets) was recorded. Of 25 species of seabird recorded in association with the vessels, five were incidentally caught on long-lines. The relative frequency of occurrence of shy-type albatrosses (cauta-type) observed was 25% and their abundance was in the range 0-20 birds; most birds seen were immatures. The three specimens of shy-type albatrosses caught, along with two other specimens caught by the fleet in 2004, were identified by molecular analysis. All were confirmed to be White-capped Albatrosses, suggesting this species is the predominant one among the shy-type albatrosses occurring in the region. Before this study, there was little information on seabirds for this region of the south-western Atlantic Ocean and it was not included in the distribution of the White-capped Albatross. However, the results of this study confirm its occurrence in this region, expanding its global range and show that it is exposed to pelagic long-line fisheries in this part of the Atlantic.</t>
  </si>
  <si>
    <t>[Jimenez, Sebastian; Domingo, Andres; Abreu, Martin] Proyecto Albatros &amp; Petreles Uruguay, El Pinar, Canelones, Uruguay; [Jimenez, Sebastian; Domingo, Andres] Direcc Nacl Recursos Acuat, Dept Recursos Pelag, Montevideo, Uruguay; [Jimenez, Sebastian] Univ Republica, Fac Ciencias, Dept Ecol, Montevideo, Uruguay; [Marquez, Alejandro; Pereira, Alfredo] Direcc Nacl Recursos Acuat, Lab Bioquim Organismos Acuat, Montevideo, Uruguay; [D'Anatro, Alejandro] Univ Republica, Fac Ciencias, Secc Evoluc &amp; Sistemat, Montevideo, Uruguay</t>
  </si>
  <si>
    <t>Universidad de la Republica, Uruguay; Universidad de la Republica, Uruguay</t>
  </si>
  <si>
    <t>Domingo, A (corresponding author), Proyecto Albatros &amp; Petreles Uruguay, Ave Giannattasio Km 30-500, El Pinar, Canelones, Uruguay.</t>
  </si>
  <si>
    <t>adomingo@dinara.gub.uy</t>
  </si>
  <si>
    <t>Marquez, Alejandro/AAE-5982-2020; Jimenez, Sebastian Jimenez S/K-6168-2017; Jimenez, Sebastian/JMC-9419-2023</t>
  </si>
  <si>
    <t>Jimenez, Sebastian/0000-0003-3945-4619; Marquez, Alejandro/0000-0002-9786-6518</t>
  </si>
  <si>
    <t>International Association of Antarctic Tour Operators (IAATO); Birds Australia; Birdlife International's 'Save the Albatross' campaign</t>
  </si>
  <si>
    <t>This work was made possible by the Programa Nacional de Observadores de la Flota Atunera Uruguaya (PNOFA), Departamento de Recursos Pelagicos, Direccion Nacional de Recursos Acuaticos. This work was undertaken in the frame of the Proyecto Albatros y Petreles - Uruguay, and was funded by the 'Save the Albatross Campaign' sponsored by the International Association of Antarctic Tour Operators (IAATO), Birds Australia, and Birdlife International's 'Save the Albatross' campaign. Special thanks go to Storrs Olson for comments on an early version of the manuscript. We thank Stella Weng for comments on the text and assistance with the translation and Graham Robertson, Barry Baker and anonymous referees for their comments and suggestions.</t>
  </si>
  <si>
    <t>10.1071/MU09048</t>
  </si>
  <si>
    <t>WOS:000207938100008</t>
  </si>
  <si>
    <t>Forcada, J; Staniland, IJ</t>
  </si>
  <si>
    <t>Perrin, WF; Wursig, B; Thewissen, JGM</t>
  </si>
  <si>
    <t>Forcada, Jaume; Staniland, Iain J.</t>
  </si>
  <si>
    <t>Antarctic Fur Seal Arctocephalus gazella</t>
  </si>
  <si>
    <t>ENCYCLOPEDIA OF MARINE MAMMALS, 2ND EDITION</t>
  </si>
  <si>
    <t>MARION ISLAND; PUP PRODUCTION; SOUTH GEORGIA; ENTANGLEMENT; TROPICALIS; PINNIPEDS; MALES</t>
  </si>
  <si>
    <t>[Forcada, Jaume; Staniland, Iain J.] British Antarctic Survey, Nat Environm Res Council, Cambridge, England</t>
  </si>
  <si>
    <t>Forcada, J (corresponding author), British Antarctic Survey, Nat Environm Res Council, Cambridge, England.</t>
  </si>
  <si>
    <t>Forcada, Jaume/GYU-0677-2022; Staniland, Iain/I-4725-2012</t>
  </si>
  <si>
    <t>Staniland, Iain/0000-0003-2736-9134</t>
  </si>
  <si>
    <t>978-0-08-091993-5; 978-0-12-373553-9</t>
  </si>
  <si>
    <t>BA5UV</t>
  </si>
  <si>
    <t>WOS:000337029200010</t>
  </si>
  <si>
    <t>Boyd, IL</t>
  </si>
  <si>
    <t>Boyd, Ian L.</t>
  </si>
  <si>
    <t>Antarctic Marine Mammals</t>
  </si>
  <si>
    <t>Univ St Andrews, St Andrews, Fife, Scotland</t>
  </si>
  <si>
    <t>University of St Andrews</t>
  </si>
  <si>
    <t>Boyd, IL (corresponding author), Univ St Andrews, St Andrews, Fife, Scotland.</t>
  </si>
  <si>
    <t>WOS:000337029200011</t>
  </si>
  <si>
    <t>Forcada, J</t>
  </si>
  <si>
    <t>Forcada, Jaume</t>
  </si>
  <si>
    <t>Distribution</t>
  </si>
  <si>
    <t>British Antarctic Survey, NERC, Cambridge, Massachusetts, England</t>
  </si>
  <si>
    <t>Forcada, J (corresponding author), British Antarctic Survey, NERC, Cambridge, Massachusetts, England.</t>
  </si>
  <si>
    <t>Forcada, Jaume/GYU-0677-2022</t>
  </si>
  <si>
    <t>WOS:000337029200074</t>
  </si>
  <si>
    <t>Gilmartin, WG; Forcada, J</t>
  </si>
  <si>
    <t>Gilmartin, William G.; Forcada, Jaume</t>
  </si>
  <si>
    <t>Monk Seals Monachus monachus, M. tropicalis, and M. schauinslandi</t>
  </si>
  <si>
    <t>[Gilmartin, William G.] Hawaii Wildlife Fund, Volcano, HI 96785 USA; [Forcada, Jaume] British Antarctic Survey, NERC, Cambridge CB3 0ET, Massachusetts, England</t>
  </si>
  <si>
    <t>Gilmartin, WG (corresponding author), Hawaii Wildlife Fund, Volcano, HI 96785 USA.</t>
  </si>
  <si>
    <t>WOS:000337029200160</t>
  </si>
  <si>
    <t>Gales, NJ</t>
  </si>
  <si>
    <t>Gales, Nicholas J.</t>
  </si>
  <si>
    <t>New Zealand Sea Lion Phocarctos hookeri</t>
  </si>
  <si>
    <t>DIVING BEHAVIOR</t>
  </si>
  <si>
    <t>Australian Antarctic Div, Hobart, Tas, Australia</t>
  </si>
  <si>
    <t>Gales, NJ (corresponding author), Australian Antarctic Div, Hobart, Tas, Australia.</t>
  </si>
  <si>
    <t>WOS:000337029200166</t>
  </si>
  <si>
    <t>Pinniped Life History</t>
  </si>
  <si>
    <t>NORTHERN ELEPHANT SEALS; ANTARCTIC FUR SEALS; POPULATION-DYNAMICS; GREY SEALS; REPRODUCTIVE PARAMETERS; LEPTONYCHOTES-WEDDELLI; CALLORHINUS-URSINUS; BREEDING EXPERIENCE; HALICHOERUS-GRYPUS; MIROUNGA-LEONINA</t>
  </si>
  <si>
    <t>WOS:000337029200185</t>
  </si>
  <si>
    <t>Miller, EH</t>
  </si>
  <si>
    <t>Miller, Edward H.</t>
  </si>
  <si>
    <t>Territorial Behavior</t>
  </si>
  <si>
    <t>PRINCE-WILLIAM-SOUND; ANTARCTIC FUR-SEAL; REPRODUCTIVE-BEHAVIOR; PHOCARCTOS-HOOKERI; BREEDING-BEHAVIOR; MATING TACTICS; OTTERS; INFANTICIDE; HARASSMENT; ABDUCTION</t>
  </si>
  <si>
    <t>Mem Univ Newfoundland, Dept Biol, St John, NF, Canada</t>
  </si>
  <si>
    <t>Memorial University Newfoundland</t>
  </si>
  <si>
    <t>Miller, EH (corresponding author), Mem Univ Newfoundland, Dept Biol, St John, NF, Canada.</t>
  </si>
  <si>
    <t>WOS:000337029200248</t>
  </si>
  <si>
    <t>Castellini, M</t>
  </si>
  <si>
    <t>Castellini, Michael</t>
  </si>
  <si>
    <t>Thermoregulation</t>
  </si>
  <si>
    <t>BOTTLE-NOSED DOLPHINS; ANTARCTIC FUR SEALS; TURSIOPS-TRUNCATUS; TEMPERATURE REGULATION; THERMAL-PROPERTIES; MARINE MAMMALS; WEDDELL SEALS; HEAT-EXCHANGE; HARBOR SEALS; BLUBBER</t>
  </si>
  <si>
    <t>Univ Alaska, Inst Marine Sci, Fairbanks, AK 99775 USA</t>
  </si>
  <si>
    <t>University of Alaska System; University of Alaska Fairbanks</t>
  </si>
  <si>
    <t>Castellini, M (corresponding author), Univ Alaska, Inst Marine Sci, Fairbanks, AK 99775 USA.</t>
  </si>
  <si>
    <t>Castellini, Michael/0000-0003-0396-1045</t>
  </si>
  <si>
    <t>WOS:000337029200249</t>
  </si>
  <si>
    <t>Colomb, A; Gros, V; Alvain, S; Sarda-Esteve, R; Bonsang, B; Moulin, C; Klüpfel, T; Williams, J</t>
  </si>
  <si>
    <t>Colomb, Aurelie; Gros, Valerie; Alvain, Severine; Sarda-Esteve, Roland; Bonsang, Bernard; Moulin, C.; Kluepfel, Thomas; Williams, Jonathan</t>
  </si>
  <si>
    <t>Variation of atmospheric volatile organic compounds over the Southern Indian Ocean (30-49°S)</t>
  </si>
  <si>
    <t>ENVIRONMENTAL CHEMISTRY</t>
  </si>
  <si>
    <t>oceanic emissions; oceanic fronts; PHYSAT method</t>
  </si>
  <si>
    <t>GAS CHROMATOGRAPHY/MASS SPECTROMETRY; PTR-MS MEASUREMENTS; NONMETHANE HYDROCARBONS; INTERANNUAL VARIABILITY; PHASE MICROEXTRACTION; SURFACE DISTRIBUTION; MARINE PRODUCTION; AMSTERDAM ISLAND; ATLANTIC-OCEAN; PHYTOPLANKTON</t>
  </si>
  <si>
    <t>Considering its size and potential importance, the ocean is poorly characterised in terms of volatile organic compounds (VOC) that play important roles in global atmospheric chemistry. In order to better understand their potential sources and sinks over the Southern Indian Austral Ocean, shipborne measurements of selected species were made during the MANCHOT campaign during December 2004, on board the research vessel Marion Dufresne. Along the transect La Reunion to Kerguelen Island, air measurements of selected VOC (including dimethylsulfide (DMS) isoprene, carbonyls and organohalogens), carbon monoxide and ozone were performed, crossing subtropical, temperate and sub-Antarctic waters as well as pronounced subtropical and sub-Antarctic oceanic fronts. The remote marine boundary layer was characterised at latitudes 45-50 degrees S. Oceanic fronts were associated with enhanced chlorophyll and biological activity in the seawater and elevated DMS and organohalogens in the atmosphere. These were compared with a satellite-derived phytoplankton distribution (PHYSAT). Diurnal variation for isoprene, terpenes, acetone and acetaldehyde was observed, analogously to recent results observed in mesocosm experiments.</t>
  </si>
  <si>
    <t>[Colomb, Aurelie] CNRS, UMR 7583, Lab Inter Univ Syst Atmospher, F-94010 Creteil, France; [Gros, Valerie; Sarda-Esteve, Roland; Bonsang, Bernard; Moulin, C.] CEA CNRS UVSQ, Lab Sci Climat &amp; Environm, F-91191 Gif Sur Yvette, France; [Alvain, Severine] CNRS ULCO, MREN, Lab Ecosyst Littoraux &amp; Cotiers ELICO, F-62930 Wimereux, France; [Kluepfel, Thomas; Williams, Jonathan] Max Planck Inst Chem, Air Chem Dept, D-55127 Mainz, Germany</t>
  </si>
  <si>
    <t>Universite Paris Cite; Universite Paris-Est-Creteil-Val-de-Marne (UPEC); Centre National de la Recherche Scientifique (CNRS); CNRS - National Institute for Earth Sciences &amp; Astronomy (INSU); Universite Gustave-Eiffel; CEA; Centre National de la Recherche Scientifique (CNRS); Universite Paris Saclay; Universite du Littoral-Cote-d'Opale; Centre National de la Recherche Scientifique (CNRS); Max Planck Society</t>
  </si>
  <si>
    <t>Colomb, A (corresponding author), CNRS, UMR 7583, Lab Inter Univ Syst Atmospher, F-94010 Creteil, France.</t>
  </si>
  <si>
    <t>colomb@lisa.univ-paris12.fr</t>
  </si>
  <si>
    <t>Williams, Jonathan/K-7686-2017; Williams, Jonathan/HJA-2081-2022</t>
  </si>
  <si>
    <t>ALVAIN, Severine/0000-0001-6316-6284</t>
  </si>
  <si>
    <t>Centre National de la Recherche Scientifique (CNRS); Max Planck Gesellschaft (MPG)</t>
  </si>
  <si>
    <t>Centre National de la Recherche Scientifique (CNRS)(Centre National de la Recherche Scientifique (CNRS)); Max Planck Gesellschaft (MPG)(Max Planck Society)</t>
  </si>
  <si>
    <t>The Institut Francais Paul Emile Victor (IPEV) and the Terres Australes et Antarctiques Francaises institute (TAAF) are gratefully acknowledged for their logistical support. A special thanks to J.Sciare for arranging the participation through the AEROTRACE program. Meteo-France is acknowledged for making available the meteorological data acquired on board and IPEV for the chlorophyll data. We would like to thank B. Ollivier (IPEV) for his help during the installation on board and the whole crew of the Marion Dufresne. We acknowledge Ilka Peeken and the IFM-GEOMAR Institute (Kiel, Germany) for providing the samples for the laboratory experiments, Carl Brenninkmeijer (MPI Institute, Mainz, Germany) for the use of the RIX compressor, the British Atmospheric Data Centre trajectory service for the back-trajectories used in the present paper. Financial support from the Centre National de la Recherche Scientifique (CNRS) and from Max Planck Gesellschaft (MPG) are also gratefully acknowledged.</t>
  </si>
  <si>
    <t>1448-2517</t>
  </si>
  <si>
    <t>1449-8979</t>
  </si>
  <si>
    <t>ENVIRON CHEM</t>
  </si>
  <si>
    <t>Environ. Chem.</t>
  </si>
  <si>
    <t>10.1071/EN08072</t>
  </si>
  <si>
    <t>Chemistry, Analytical; Environmental Sciences</t>
  </si>
  <si>
    <t>Chemistry; Environmental Sciences &amp; Ecology</t>
  </si>
  <si>
    <t>413AL</t>
  </si>
  <si>
    <t>WOS:000263765200010</t>
  </si>
  <si>
    <t>Bekki, S; Lefevre, F</t>
  </si>
  <si>
    <t>Boutron, C</t>
  </si>
  <si>
    <t>Bekki, S.; Lefevre, F.</t>
  </si>
  <si>
    <t>Stratospheric ozone: History and concepts and interactions with climate</t>
  </si>
  <si>
    <t>ERCA: FROM THE HUMAN DIMENSIONS OF GLOBAL ENVIRONMENTAL CHANGE TO THE OBSERVATION OF THE EARTH FROM SPACE, VOL 8</t>
  </si>
  <si>
    <t>EPJ Web of Conferences</t>
  </si>
  <si>
    <t>8th European Research Course on Atmospheres</t>
  </si>
  <si>
    <t>ANTARCTIC OZONE; CHLORINE; BROMINE</t>
  </si>
  <si>
    <t>Although in relatively low concentration of a few molecules per million of air molecules, atmospheric ozone (trioxygen O(3)) is essential to sustaining life oil the surface of the Earth. Indeed, by absorbing solar radiation between 240 and 320 nm), it shields living organisms including humans from the very harmful ultraviolet radiation UV-B. About 90% of the ozone resides in the stratosphere, a region that extends from the tropopause, whose altitude ranges from 7 kin at: the poles to 17 kin in the tropics, to the stratopause located at about 50 kin altitude. Stratospheric ozone is communally referred as the ozone layer. Unlike the atmosphere surrounding it, the stratosphere is vertically stratified and stable because the temperature increases with height within it. This particularity originates from heating produced by the absorption of UV radiation by stratospheric ozone. The present chapter describes the main mechanisms that govern the natural balance of ozone in the stratosphere, and its disruption tinder the influence of human activities.</t>
  </si>
  <si>
    <t>[Bekki, S.; Lefevre, F.] Inst Pierre Simon Laplace, Atmospheres Lab, Paris, France</t>
  </si>
  <si>
    <t>Centre National de la Recherche Scientifique (CNRS); CNRS - National Institute for Earth Sciences &amp; Astronomy (INSU); Universite Paris Cite; Universite Paris Saclay</t>
  </si>
  <si>
    <t>Bekki, S (corresponding author), Inst Pierre Simon Laplace, Atmospheres Lab, Paris, France.</t>
  </si>
  <si>
    <t>slimane.bekki@latmos.ipsl.fr; franck.lefevre@aero.jussieu.fr</t>
  </si>
  <si>
    <t>bekki, slimane/J-7221-2015</t>
  </si>
  <si>
    <t>bekki, slimane/0000-0002-5538-0800</t>
  </si>
  <si>
    <t>2100-014X</t>
  </si>
  <si>
    <t>978-2-7598-0419-1</t>
  </si>
  <si>
    <t>EPJ WEB CONF</t>
  </si>
  <si>
    <t>10.1140/epjconf/e2009-00914-y</t>
  </si>
  <si>
    <t>BKH15</t>
  </si>
  <si>
    <t>WOS:000268062600009</t>
  </si>
  <si>
    <t>Delille, B; Borges, AV; Delille, D</t>
  </si>
  <si>
    <t>Delille, B.; Borges, A. V.; Delille, D.</t>
  </si>
  <si>
    <t>Influence of giant kelp beds (Macrocystis pyrifera) on diel cycles of pCO2 and DIC in the Sub-Antarctic coastal area</t>
  </si>
  <si>
    <t>primary production; carbon dioxide; kelp; antarctic zone; kerguelen; Macrocyctis pyrifera; 49 degrees 27 ' S-70 degrees 03 ' E</t>
  </si>
  <si>
    <t>POSIDONIA SEAGRASS BED; CARBONATE DISSOLUTION; METABOLISM; WATER; DISSOCIATION; SEAWATER; ACID; CONSTANTS; ECOSYSTEM; BIOMASS</t>
  </si>
  <si>
    <t>The partial pressure of CO2 (pCO(2)) and dissolved inorganic carbon (DIC) were monitored in shallow coastal waters located inside and outside giant kelp beds (Macrocystis pyrifera) located in the Kerguelen Archipelago (Southern Ocean). Photosynthesis and respiration by microplankton and kelp lead to marked pCO(2) and DIC diel cycles. Daily variations of pCO(2) and DIC are significant in the spring and summer, but absent in the winter, reflecting the seasonal cycle of biological activity in the kelp beds. If the kelp beds seem to favour the onset of phytoplankton blooms, most of the primary production inside the kelp beds is due to the kelp itself The primary production of Macrocystis kelp beds in the Sub-Antarctic high-nutrient, low-chlorophyll (HNLC) waters off the Kerguelen Archipelago is elevated and closely linked to light availability. This production is significant from October to March and reaches its climax in December at the solar radiation maximum. (C) 2008 Elsevier Ltd. All rights reserved.</t>
  </si>
  <si>
    <t>[Delille, B.; Borges, A. V.] Univ Liege, Unite Oceanog Chim, MARE, B-4000 Liege, Belgium; [Delille, B.] Univ Bordeaux 1, Dept Geol &amp; Oceanog, F-33405 Talence, France; [Delille, D.] Univ Paris 06, CNRS, Observ Oceanol Banyuls, UMR 7621, F-66650 Banyuls Sur Mer, France</t>
  </si>
  <si>
    <t>University of Liege; Universite de Bordeaux; Centre National de la Recherche Scientifique (CNRS); CNRS - National Institute for Earth Sciences &amp; Astronomy (INSU); Sorbonne Universite</t>
  </si>
  <si>
    <t>Delille, B (corresponding author), Univ Liege, Unite Oceanog Chim, MARE, Allee 6 Aout 17, B-4000 Liege, Belgium.</t>
  </si>
  <si>
    <t>bruno.delille@ulg.ac.be</t>
  </si>
  <si>
    <t>Daniel, Delille/S-9542-2019; Borges, Alberto Vieira/C-4989-2008; Delille, Bruno/C-3486-2008</t>
  </si>
  <si>
    <t>Borges, Alberto Vieira/0000-0002-5434-2247; Delille, Bruno/0000-0003-0502-8101</t>
  </si>
  <si>
    <t>Institut Paul-Emile Victor; Belgian Science Policy [A4/DD/B14, EV/7/12E, SD/CA/03A]; FNRS</t>
  </si>
  <si>
    <t>Institut Paul-Emile Victor; Belgian Science Policy(Belgian Federal Science Policy Office); FNRS(Fonds de la Recherche Scientifique - FNRS)</t>
  </si>
  <si>
    <t>We thank V. Kazan for atmospheric pCO2 data, MeteoFrance for meteorological data and G. Abril for fruitful discussions. We thank two anonymous reviewers for their constructive criticism that improved the clarity and overall quality of the manuscript. This work could not have been done without the efficient and enthusiastic help of D. Rochard and J.M. Guede and the other crew members of the R.V. La Cutleuse, as well as A. Larnalle and the volunteers of the Institut Paul-Emile Victor at the Kerguelen Archipelago in 1996. This research was supported by the Institut Paul-Emile Victor, the Belgian Science Policy (contract A4/DD/B14, EV/7/12E, SD/CA/03A) and the FNRS, with which AVB is a research associate. Stay of BD at the University of Bordeaux I was granted by EU-funded Belgian Network for Coastal Research (BENCORE) and ESF-funded COST action no 735. This is MARE contribution no. 160.</t>
  </si>
  <si>
    <t>10.1016/j.ecss.2008.10.004</t>
  </si>
  <si>
    <t>396AW</t>
  </si>
  <si>
    <t>WOS:000262565600014</t>
  </si>
  <si>
    <t>Kojic, D; Spasojevic, I; Mojovic, M; Blagojevic, D; Worland, MR; Grubor-Lajsic, G; Spasic, MB</t>
  </si>
  <si>
    <t>Kojic, Danijela; Spasojevic, Ivan; Mojovic, Milos; Blagojevic, Dusko; Worland, M. Roger; Grubor-Lajsic, Gordana; Spasic, Mihajlo B.</t>
  </si>
  <si>
    <t>Potential role of hydrogen peroxide and melanin in the cold hardiness of Ostrinia nubilalis (Lepidoptera: Pyralidae)</t>
  </si>
  <si>
    <t>EUROPEAN JOURNAL OF ENTOMOLOGY</t>
  </si>
  <si>
    <t>Ostrinia nubilalis; antioxidant enzymes; melanin; hydrogen peroxide; cold-hardiness</t>
  </si>
  <si>
    <t>ANTIOXIDANT DEFENSE; OXIDATIVE STRESS; SUPEROXIDE-DISMUTASE; ACCUMULATION; MITOCHONDRIA; REDUCTION; DIAPAUSE; PROTEINS</t>
  </si>
  <si>
    <t>The aim of this study was to investigate the relationship between antioxidant enzymes and reactive oxygen species production in diapausing larvae of the European corn borer, Ostrinia nubilalis (Lepidoptera: Pyralidae) kept at 5 degrees C, -3 degrees C and -16 degrees C for two weeks. The amount of hydrogen peroxide (H2O2), activity of antioxidant enzymes, copper zinc superoxide dismutase (CuZnSOD), manganese superoxide dismutases (MnSOD) and catalase (CAT) in whole body homogenates, as well as the electron paramagnetic resonance (EPR) spectroscopy of this insect's whole body were analysed. A higher level of melanin radical and lower CuZnSOD and CAT activities were found in larvae kept at -3 degrees C than at 5 degrees C and -16 degrees C. At the same temperature (-3 degrees C) an elevated H2O2 concentration was recorded. A possible regulatory role of H2O2 at -3 degrees C, which is the temperature that triggers freezing tolerance, is suggested.</t>
  </si>
  <si>
    <t>[Kojic, Danijela; Grubor-Lajsic, Gordana] Univ Novi Sad, Fac Sci, Dept Biol &amp; Ecol, Novi Sad 21000, Serbia; [Spasojevic, Ivan] Univ Belgrade, Ctr Multidisciplinary Studies, Belgrade 11001, Serbia; [Mojovic, Milos] Univ Belgrade, Fac Phys Chem, Belgrade 11001, Serbia; [Blagojevic, Dusko; Spasic, Mihajlo B.] Inst Biol Res Sinisa Stankov, Dept Physiol, Belgrade 11060, Serbia; [Worland, M. Roger] British Antarctic Survey, Nat Environm Res Council, Cambridge CB3 0ET, England</t>
  </si>
  <si>
    <t>University of Novi Sad; University of Belgrade; University of Belgrade; University of Belgrade; UK Research &amp; Innovation (UKRI); Natural Environment Research Council (NERC); NERC British Antarctic Survey</t>
  </si>
  <si>
    <t>Grubor-Lajsic, G (corresponding author), Univ Novi Sad, Fac Sci, Dept Biol &amp; Ecol, Trg Dositeja Obradovica 2, Novi Sad 21000, Serbia.</t>
  </si>
  <si>
    <t>gordanagl@ib.ns.ac.yu</t>
  </si>
  <si>
    <t>Mojović, Miloš/JFS-5595-2023; Blagojević, Duško P/A-7739-2018; Spasic, Mihajlo/AAE-9381-2020; Kojić, Danijela/AGJ-5146-2022</t>
  </si>
  <si>
    <t>Mojović, Miloš/0000-0002-1868-9913; Blagojević, Duško P/0000-0001-6338-2833; Kojić, Danijela/0000-0002-6422-9790; Spasic, Mihajlo/0000-0001-9046-0139; Spasojevic, Ivan/0000-0002-3150-3087</t>
  </si>
  <si>
    <t>Ministry for Science and Environment Protection of the Republic of Serbia [143034B]</t>
  </si>
  <si>
    <t>Ministry for Science and Environment Protection of the Republic of Serbia</t>
  </si>
  <si>
    <t>This research was funded by the Ministry for Science and Environment Protection of the Republic of Serbia, Grant No. 143034B The role of redoxactive substances in the maintenance of homeostasis. We also wish to thank M. S. Clark and BAS (Cambridge, UK) for financially supporting this investigation as the part of EU Sleeping Beauty Project. Our thanks also go to W. Block for critical reading of the manuscript.</t>
  </si>
  <si>
    <t>CZECH ACAD SCI, INST ENTOMOLOGY</t>
  </si>
  <si>
    <t>CESKE BUDEJOVICE</t>
  </si>
  <si>
    <t>BRANISOVSKA 31, CESKE BUDEJOVICE 370 05, CZECH REPUBLIC</t>
  </si>
  <si>
    <t>1802-8829</t>
  </si>
  <si>
    <t>EUR J ENTOMOL</t>
  </si>
  <si>
    <t>Eur. J. Entomol.</t>
  </si>
  <si>
    <t>10.14411/eje.2009.056</t>
  </si>
  <si>
    <t>473RB</t>
  </si>
  <si>
    <t>gold, Green Submitted, Green Published</t>
  </si>
  <si>
    <t>WOS:000268225200015</t>
  </si>
  <si>
    <t>Massalski, A; Kostikov, I; Olech, M; Hoffmann, L</t>
  </si>
  <si>
    <t>Massalski, Andrzej; Kostikov, Igor; Olech, Maria; Hoffmann, Lucien</t>
  </si>
  <si>
    <t>Mitosis, cytokinesis and multinuclearity in a Xanthonema (Xanthophyta) isolated from Antarctica</t>
  </si>
  <si>
    <t>EUROPEAN JOURNAL OF PHYCOLOGY</t>
  </si>
  <si>
    <t>chloroplast; cytokinesis; girdle lamellae; mitochondria; mitosis; multinuclearity; Xanthonema; Xanthophyta</t>
  </si>
  <si>
    <t>GENUS TRIBONEMA XANTHOPHYCEAE; ELECTRON-MICROSCOPY; FINE-STRUCTURE; SSU RDNA; SEQUENCE; RBCL; BUMILLERIOPSIS; ULTRASTRUCTURE</t>
  </si>
  <si>
    <t>The ultrastructure of a Xanthonema strain featuring multinucleate cells was investigated by transmission electron microscopy. An important specific feature of the organisation of the photosynthetic apparatus in this strain is its association with mitochondrial profiles. The chloroplast girdle is composed of two different U-shaped lamellae, one peripheral and one subcentral. Multinuclearity is observed as often as the uninucleate state. The transition from the uninucleate to the multinucleate stage is connected to disturbances in the normal division pattern of the parietal chloroplast-mitochondria complex during interphase. As a result mitosis is not coordinated with cytokinesis. The return to the uninucleate stage occurs as a result of asynchronous cytokinesis or by aplanospore formation. Mitosis is of the semi-closed type, as in Tribonema. Centrioles replicate in early interphase, after the end of karyokinesis and progeny nuclei separate with the aid of CER invagination. Filament fragmentation takes place between neighbouring cells where two U-shaped segments adjoin, resulting in fragment ends being rounded rather than 'zweispitzig'. The taxonomic significance of various ultrastructural features for the classification of filamentous Xanthophyta is discussed.</t>
  </si>
  <si>
    <t>[Massalski, Andrzej] Jan Kochanowski Univ Humanities &amp; Sci, Inst Biol, Akad Swietokrzyska, Dept Bot, PL-25406 Kielce, Poland; [Kostikov, Igor] Kyiv Taras Shevchenko Natl Univ, Dept Bot, UA-01033 Kiev, Ukraine; [Olech, Maria] Jagiellonian Univ, Inst Bot, Dept Polar Res &amp; Documentat, PL-31501 Krakow, Poland; [Olech, Maria] Polish Acad Sci, Dept Antarctic Biol, PL-02141 Warsaw, Poland; [Hoffmann, Lucien] Publ Res Ctr Gabriel Lippmann, L-4422 Brill, Grand Duchy, Luxembourg</t>
  </si>
  <si>
    <t>Jan Kochanowski University; Ministry of Education &amp; Science of Ukraine; Taras Shevchenko National University of Kyiv; Jagiellonian University; Polish Academy of Sciences; Luxembourg Institute of Science &amp; Technology</t>
  </si>
  <si>
    <t>Massalski, A (corresponding author), Jan Kochanowski Univ Humanities &amp; Sci, Inst Biol, Akad Swietokrzyska, Dept Bot, 15 Swietokrzyska, PL-25406 Kielce, Poland.</t>
  </si>
  <si>
    <t>amassal@pu.kielce.pl</t>
  </si>
  <si>
    <t>Kostikov, Igor/0000-0002-6071-7105</t>
  </si>
  <si>
    <t>0967-0262</t>
  </si>
  <si>
    <t>1469-4433</t>
  </si>
  <si>
    <t>EUR J PHYCOL</t>
  </si>
  <si>
    <t>Eur. J. Phycol.</t>
  </si>
  <si>
    <t>PII 911034429</t>
  </si>
  <si>
    <t>10.1080/09670260802636274</t>
  </si>
  <si>
    <t>444JG</t>
  </si>
  <si>
    <t>WOS:000265976200013</t>
  </si>
  <si>
    <t>Buma, AGJ; Visser, RJW; Van De Poll, WH; Villafañe, VE; Janknegt, PJ; Helbling, EW</t>
  </si>
  <si>
    <t>Buma, Anita G. J.; Visser, Ronald J. W.; Van De Poll, Willem H.; Villafane, Virginia E.; Janknegt, Paul J.; Walter Helbling, E.</t>
  </si>
  <si>
    <t>Wavelength-dependent xanthophyll cycle activity in marine microalgae exposed to natural ultraviolet radiation</t>
  </si>
  <si>
    <t>biological weighting function; carbon assimilation; microalgae; photochemical quantum yield; ultraviolet radiation; xanthophyll cycling</t>
  </si>
  <si>
    <t>BIOLOGICAL WEIGHTING FUNCTION; B RADIATION; CHLOROPHYLL FLUORESCENCE; DIADINOXANTHIN CYCLE; UV-RADIATION; EMILIANIA-HUXLEYI; ANTARCTIC DIATOM; HIGH IRRADIANCE; ACCLIMATION; INHIBITION</t>
  </si>
  <si>
    <t>The wavelength dependency of xanthophyll cycling in two marine microalgae (Thalassiosira weissflogii and Dunaliella tertiolecta) was studied by establishing biological weighting functions (BWFs) during exposure to natural ultraviolet radiation. High-(HL) and low-(LL) light-acclimated cultures of both species were exposed outdoors for up to 60 min under a series of UVR (280-400 nm) cut-off filters, after which the de-epoxidation state of xanthophyll cycle pigments, radiocarbon assimilation and photochemical quantum yield were measured. Exposures were repeated 4-8 times during the daily cycle to create exposure-response curves for each wavelength condition. UVR affected the three target processes significantly in both species and biological weights increased with decreasing wavelength, particularly in the UVBR region (280-315 nm). Minor wavelength dependency was observed between 315 and 360 nm. After BWF normalization to 300 nm, the LL cultures showed highly similar responses when comparing the three target processes, while the BWFs for the HL cultures differed significantly. The observed enhanced xanthophyll cycling activity in the UVR region implied that xanthophylls had an active role in diminishing UVR stress. However, this enhancement seems to be an indirect effect of damage within the dark reactions of photosynthesis. Hence, another vital target process further downstream in the photosynthetic process, possibly involved in the dark reactions, seems to be responsible for the high similarity in BWFs.</t>
  </si>
  <si>
    <t>[Buma, Anita G. J.; Visser, Ronald J. W.; Van De Poll, Willem H.; Janknegt, Paul J.] Univ Groningen, Ctr Ecol &amp; Evolutionary Studies, Dept Ocean Ecosyst, NL-9700 AB Groningen, Netherlands; [Villafane, Virginia E.; Walter Helbling, E.] Estac Fotobiol Playa Union, RA-9103 Rawson, Chubut, Argentina; [Villafane, Virginia E.; Walter Helbling, E.] Consejo Nacl Invest Cient &amp; Tecn, RA-9103 Rawson, Chubut, Argentina</t>
  </si>
  <si>
    <t>University of Groningen; Consejo Nacional de Investigaciones Cientificas y Tecnicas (CONICET)</t>
  </si>
  <si>
    <t>Buma, AGJ (corresponding author), Univ Groningen, Ctr Ecol &amp; Evolutionary Studies, Dept Ocean Ecosyst, NL-9700 AB Groningen, Netherlands.</t>
  </si>
  <si>
    <t>a.g.j.buma@rug.nl</t>
  </si>
  <si>
    <t>Helbling, E. Walter/0000-0003-2478-2281; Villafane, Virginia/0000-0002-9552-6069; van de Poll, Willem/0000-0003-4095-4338</t>
  </si>
  <si>
    <t>NWO/MEERVOUD; NWO/NAAP; Global Environmental Funding, United Nations Development Program [PNUD-BC39]</t>
  </si>
  <si>
    <t>NWO/MEERVOUD(Netherlands Organization for Scientific Research (NWO)); NWO/NAAP(Netherlands Organization for Scientific Research (NWO)); Global Environmental Funding, United Nations Development Program</t>
  </si>
  <si>
    <t>We thank Rodrigo Gonc, alves for general support at EFPU and Regina Flores for assistance with the PAM measurements. This work was made possible by a NWO/MEERVOUD grant to Buma, NWO/NAAP grant to W.H. van de Poll and by the Global Environmental Funding, United Nations Development Program (PNUD-BC39) to E. W. Helbling and V.E. Villafan</t>
  </si>
  <si>
    <t>10.1080/09670260902971894</t>
  </si>
  <si>
    <t>545RD</t>
  </si>
  <si>
    <t>WOS:000273753200007</t>
  </si>
  <si>
    <t>Janknegt, PJ; De Graaff, CM; Van De Poll, WH; Visser, RJW; Rijstenbil, JW; Buma, AGJ</t>
  </si>
  <si>
    <t>Janknegt, Paul J.; De Graaff, C. Marco; Van De Poll, Willem H.; Visser, Ronald J. W.; Rijstenbil, Jan W.; Buma, Anita G. J.</t>
  </si>
  <si>
    <t>Short-term antioxidative responses of 15 microalgae exposed to excessive irradiance including ultraviolet radiation</t>
  </si>
  <si>
    <t>ascorbate peroxidase; glutathione; glutathione reductase; microalgae; photo-induced oxidative stress; photosensitivity; photosystem II efficiency; pigments; superoxide dismutase; xanthophyll cycle</t>
  </si>
  <si>
    <t>UV-B RADIATION; NATURAL PHYTOPLANKTON COMMUNITIES; ASCORBATE PEROXIDASE ISOENZYMES; OXIDATIVE STRESS TOLERANCE; SUPEROXIDE-DISMUTASE; DIADINOXANTHIN CYCLE; HYDROGEN-PEROXIDE; ANTARCTIC DIATOM; PHOTOSYNTHETIC ORGANISMS; THALASSIOSIRA-PSEUDONANA</t>
  </si>
  <si>
    <t>Short-term photosensitivity and oxidative stress responses were compared for three groups of marine microalgae: Antarctic microalgae, temperate diatoms and temperate flagellates. In total, 15 low-light-acclimated species were exposed to simulated surface irradiance including ultraviolet radiation (SSI). Photosensitivity was assessed as the rate of recovery of Fv/Fm in the hours following SSI treatment. Before, during and after the SSI treatment, oxidative stress responses were assessed by following xanthophyll content and cycling, and activities of superoxide dismutase, ascorbate peroxidase and glutathione reductase, and glutathione redox status. When acclimated to low irradiance, antioxidant levels were not group specific. Superoxide dismutase activity was positively correlated with cell size, whereas in general, ascorbate peroxidase activity appeared to be lower and glutathione redox status appeared to be higher in the Antarctic than in the temperate species. After SSI exposure, the strong inhibition of PSII was followed by variable rates of recovery, although four species remained photosynthetically inactive. SSI tolerance appeared unrelated to geographic or taxonomic background, or to cell size. PSII recovery was enhanced in species with decreasing superoxide dismutase activity, glutathione redox status and increased xanthophyll cycle activity. We conclude that antioxidant responses are highly species specific and not related to the geographic or taxonomic background. Furthermore, xanthophyll cycling seems more important than antioxidants. Finally, it can be hypothesized that glutathione could function as a stress sensor and response regulator.</t>
  </si>
  <si>
    <t>[Janknegt, Paul J.; De Graaff, C. Marco; Van De Poll, Willem H.; Visser, Ronald J. W.; Buma, Anita G. J.] Univ Groningen, Dept Ocean Ecosyst, Ctr Ecol &amp; Evolutionary Studies, NL-9750 AA Haren, Netherlands; [Rijstenbil, Jan W.] AE3 Consultancy, NL-4401 HV Yerseke, Netherlands</t>
  </si>
  <si>
    <t>Janknegt, PJ (corresponding author), Univ Groningen, Dept Ocean Ecosyst, Ctr Ecol &amp; Evolutionary Studies, Kerklaan 30, NL-9750 AA Haren, Netherlands.</t>
  </si>
  <si>
    <t>P.J.Janknegt@rug.nl</t>
  </si>
  <si>
    <t>10.1080/09670260902943273</t>
  </si>
  <si>
    <t>WOS:000273753200008</t>
  </si>
  <si>
    <t>du Foresto, VC</t>
  </si>
  <si>
    <t>Usuda, T; Ishii, M; Tamura, M</t>
  </si>
  <si>
    <t>du Foresto, Vincent Coude</t>
  </si>
  <si>
    <t>Infrared Interferometry and Circumstellar Dust</t>
  </si>
  <si>
    <t>EXOPLANETS AND DISKS: THEIR FORMATION AND DIVERSITY</t>
  </si>
  <si>
    <t>International Conference on Exoplanets and Disks - Their Formation and Diversity</t>
  </si>
  <si>
    <t>MAR 09-12, 2009</t>
  </si>
  <si>
    <t>Kailua Kona, HI</t>
  </si>
  <si>
    <t>Nulling interferometry; stellar environments; exozodiacal dust; debris disks</t>
  </si>
  <si>
    <t>GROUND-BASED SITES; NULLING INTERFEROMETRY; DOME-C; PERFORMANCE; ANTARCTICA; STARS; CHARA/FLUOR; PLANETS; GENIE; SPACE</t>
  </si>
  <si>
    <t>Exozodiacal dust plays an important role for the feasibility and dimensioning of future space missions dedicated to the spectroscopic analysis of the atmosphere of Earth-like planets. Thus, a survey of dust clouds around potential targets is called for in order to reduce the need for such observations using space-based missions and not waste time on sources where exo-Earths cannot be detected. Aladdin is an infrared (L band) nulling interferometer optimized for this objective. Although relatively modest in size (two 1-meter class telescopes on a maximum baseline of 32 meters), it takes advantage of the favorable atmospheric conditions of the Antarctic plateau to achieve a sensitivity better than what can be obtained with a pair of 8-meter-class telescopes at a more temperate site. Beyond its main mission, the science potential of Aladdin extends to the study of all kinds of faint circumstellar material (dust and/or molecules) around young, old or main-sequence stars.</t>
  </si>
  <si>
    <t>Observ Paris, LESIA, F-92190 Meudon, France</t>
  </si>
  <si>
    <t>du Foresto, VC (corresponding author), Observ Paris, LESIA, F-92190 Meudon, France.</t>
  </si>
  <si>
    <t>vincent.foresto@obspm.fr</t>
  </si>
  <si>
    <t>978-0-7354-0695-7</t>
  </si>
  <si>
    <t>BMB87</t>
  </si>
  <si>
    <t>WOS:000271801800087</t>
  </si>
  <si>
    <t>Ayub, ND; Tribelli, PM; López, NI</t>
  </si>
  <si>
    <t>Ayub, Nicolas D.; Tribelli, Paula M.; Lopez, Nancy I.</t>
  </si>
  <si>
    <t>Polyhydroxyalkanoates are essential for maintenance of redox state in the Antarctic bacterium Pseudomonas sp 14-3 during low temperature adaptation</t>
  </si>
  <si>
    <t>Polyhydroxyalkanoates; Redox state; Oxidative stress; Cold exposure; Pseudomonas; Antarctica</t>
  </si>
  <si>
    <t>POLY-BETA-HYDROXYBUTYRATE; ESCHERICHIA-COLI; GROWTH TEMPERATURE; STRESS RESISTANCE; PUTIDA KT2440; GENE-TRANSFER; POLY(3-HYDROXYALKANOATES); DEGRADATION; OLEOVORANS; IDENTIFICATION</t>
  </si>
  <si>
    <t>Polyhydroxyalkanoates (PHAs) are highly reduced bacterial storage compounds that increase fitness in changing environments. We have previously shown that phaRBAC genes from the Antarctic bacterium Pseudomonas sp. 14-3 are located in a genomic island containing other genes probably related with its adaptability to cold environments. In this paper, Pseudomonas sp. 14-3 and its PHA synthase-minus mutant (phaC) were used to asses the effect of PHA accumulation on the adaptability to cold conditions. The phaC mutant was unable to grow at 10A degrees C and was more susceptible to freezing than its parent strain. PHA was necessary for the development of the oxidative stress response induced by cold treatment. Addition of reduced compounds cystine and gluthathione suppressed the cold sensitive phenotype of the phaC mutant. Cold shock produced very rapid degradation of PHA in the wild type strain. The NADH/NAD ratio and NADPH content, estimated by diamide sensitivity, decreased strongly in the mutant after cold shock while only minor changes were observed in the wild type. Accordingly, the level of lipid peroxidation in the mutant strain was 25-fold higher after temperature downshift. We propose that PHA metabolism modulates the availability of reducing equivalents, contributing to alleviate the oxidative stress produced by low temperature.</t>
  </si>
  <si>
    <t>[Ayub, Nicolas D.; Tribelli, Paula M.; Lopez, Nancy I.] Univ Buenos Aires, Fac Ciencias Exactas &amp; Nat, Dept Quim Biol, Buenos Aires, DF, Argentina</t>
  </si>
  <si>
    <t>University of Buenos Aires</t>
  </si>
  <si>
    <t>López, NI (corresponding author), Univ Buenos Aires, Fac Ciencias Exactas &amp; Nat, Dept Quim Biol, Intendente Guiraldes 2160,C1428EGA, Buenos Aires, DF, Argentina.</t>
  </si>
  <si>
    <t>nan@qb.fcen.uba.ar</t>
  </si>
  <si>
    <t>Tribelli, Paula Maria/0000-0001-9558-6275; Lopez, Nancy/0000-0002-2966-3014; Ayub, Nicolas/0000-0001-5012-240X</t>
  </si>
  <si>
    <t>UBA; CONICET</t>
  </si>
  <si>
    <t>UBA(University of Buenos Aires); CONICET(Consejo Nacional de Investigaciones Cientificas y Tecnicas (CONICET))</t>
  </si>
  <si>
    <t>We thank Dr. Beatriz Me ~ ndez and Dr. M. Julia Pettinari for their helpful comments and critical reading of the manuscript. We also are grateful to Dr. Mari ~ a del Carmen Ri ~ os for her advice with the measurements of lipid peroxidation, and two anonymous reviewers who provided useful criticisms. This work was supported by grants from UBA and CONICET. N. I. L. is a career investigator from CONICET. N. D. A and P. M. T. have a graduate student fellowship from CONICET.</t>
  </si>
  <si>
    <t>10.1007/s00792-008-0197-z</t>
  </si>
  <si>
    <t>387YA</t>
  </si>
  <si>
    <t>WOS:000261986300007</t>
  </si>
  <si>
    <t>Hoogensen, G</t>
  </si>
  <si>
    <t>Brauch, HG; Behera, NC; Chourou, B; Grin, J; KameriMbote, P; Krummenacher, H; Mesjasz, C; Spring, UO</t>
  </si>
  <si>
    <t>Hoogensen, Gunhild</t>
  </si>
  <si>
    <t>Security at the Poles: The Arctic and Antarctic</t>
  </si>
  <si>
    <t>FACING GLOBAL ENVIRONMENTAL CHANGE: ENVIRONMENTAL, HUMAN, ENERGY, FOOD, HEALTH AND WATER SECURITY CONCEPTS</t>
  </si>
  <si>
    <t>Hexagon Series on Human and Environmental Security and Peace</t>
  </si>
  <si>
    <t>Univ Tromso, Dept Polit Sci, N-9037 Tromso, Norway</t>
  </si>
  <si>
    <t>Hoogensen, G (corresponding author), Univ Tromso, Dept Polit Sci, N-9037 Tromso, Norway.</t>
  </si>
  <si>
    <t>gunhildh@sv.uit.no</t>
  </si>
  <si>
    <t>Gjørv, Gunhild Hoogensen/G-7324-2016</t>
  </si>
  <si>
    <t>Gjørv, Gunhild Hoogensen/0000-0001-8037-7796</t>
  </si>
  <si>
    <t>978-3-540-68488-6</t>
  </si>
  <si>
    <t>HEXAG SER HUM ENVIRO</t>
  </si>
  <si>
    <t>10.1007/978-3-540-68488-6</t>
  </si>
  <si>
    <t>BMD19</t>
  </si>
  <si>
    <t>WOS:000271893300082</t>
  </si>
  <si>
    <t>McMinn, A; Gradinger, R; Nomura, D</t>
  </si>
  <si>
    <t>Eicken, H; Gradinger, R; Salganek, M; Shirasawa, K; Perovich, D; Lepparanta, M</t>
  </si>
  <si>
    <t>McMinn, Andrew; Gradinger, Rolf; Nomura, Daiki</t>
  </si>
  <si>
    <t>Biogeochemical Properties of Sea Ice</t>
  </si>
  <si>
    <t>FIELD TECHNIQUES FOR SEA ICE RESEARCH</t>
  </si>
  <si>
    <t>PHOTOSYNTHESIS; COMPONENTS; ABUNDANCE; EQUATIONS; MARINE; ALGAE; WATER</t>
  </si>
  <si>
    <t>[McMinn, Andrew] Univ Tasmania, Inst Antarctic &amp; So Ocean Studies, Hobart, Tas 7001, Australia; [Nomura, Daiki] Hokkaido Univ, Inst Low Temp Sci, Kita Ku, Sapporo, Hokkaido 0600819, Japan; [Gradinger, Rolf] Univ Alaska Fairbanks, Sch Fisheries &amp; Ocean Sci, Fairbanks, AK 99775 USA</t>
  </si>
  <si>
    <t>University of Tasmania; Hokkaido University; University of Alaska System; University of Alaska Fairbanks</t>
  </si>
  <si>
    <t>Andrew.mcminn@utas.edu.au; rgradinger@ims.uaf.edu; daiki@lowtem.hokudai.ac.jp</t>
  </si>
  <si>
    <t>UNIV ALASKA PRESS</t>
  </si>
  <si>
    <t>FAIRBANKS</t>
  </si>
  <si>
    <t>UNIV ALASKA GRUENING BLDG 1ST FLOOR PO BOX 756240, FAIRBANKS, AK 99775-6240 USA</t>
  </si>
  <si>
    <t>978-1-60223-107-8; 978-1-60223-059-0</t>
  </si>
  <si>
    <t>BWO80</t>
  </si>
  <si>
    <t>WOS:000294414900012</t>
  </si>
  <si>
    <t>Worby, AP; Eicken, H</t>
  </si>
  <si>
    <t>Worby, Anthony P.; Eicken, Hajo</t>
  </si>
  <si>
    <t>Ship-Based Ice Observation Programs</t>
  </si>
  <si>
    <t>ANTARCTIC SEA-ICE; THICKNESS DISTRIBUTION; BELLINGSHAUSEN; EXTENT; OCEAN</t>
  </si>
  <si>
    <t>[Worby, Anthony P.] Univ Tasmania, Australian Antarctic Div, Hobart, Tas 7001, Australia; [Worby, Anthony P.] Univ Tasmania, ACE CRC, Hobart, Tas 7001, Australia; [Eicken, Hajo] Univ Alaska Fairbanks, Inst Geophys, Fairbanks, AK 99775 USA</t>
  </si>
  <si>
    <t>University of Tasmania; Australian Antarctic Division; University of Tasmania; Antarctic Climate &amp; Ecosystems Cooperative Research Centre (ACE CRC); University of Alaska System; University of Alaska Fairbanks</t>
  </si>
  <si>
    <t>Worby, AP (corresponding author), Univ Tasmania, Australian Antarctic Div, Private Bag 80, Hobart, Tas 7001, Australia.</t>
  </si>
  <si>
    <t>A.Worby@utas.edu.au; hajo.eicken@gi.alaska.edu</t>
  </si>
  <si>
    <t>Worby, Anthony P/A-2373-2012</t>
  </si>
  <si>
    <t>WOS:000294414900016</t>
  </si>
  <si>
    <t>Massom, RA</t>
  </si>
  <si>
    <t>Massom, Robert A.</t>
  </si>
  <si>
    <t>Principal Uses of Remote Sensing in Sea Ice Field Research</t>
  </si>
  <si>
    <t>INTERANNUAL VARIABILITY; CLOUD COVER; SATELLITE; SURFACE; SNOW; THICKNESS; IMAGERY; TEMPERATURE; AVHRR; POLYNYAS</t>
  </si>
  <si>
    <t>[Massom, Robert A.] Univ Tasmania, Res Ctr, Australian Antarctic Div, Sandy Bay, Tas 7005, Australia; [Massom, Robert A.] Univ Tasmania, Res Ctr, Antarctic Climate &amp; Ecosyst Coop, Sandy Bay, Tas 7005, Australia</t>
  </si>
  <si>
    <t>Australian Antarctic Division; University of Tasmania; University of Tasmania</t>
  </si>
  <si>
    <t>Massom, RA (corresponding author), Univ Tasmania, Res Ctr, Australian Antarctic Div, Private Bag 80, Sandy Bay, Tas 7005, Australia.</t>
  </si>
  <si>
    <t>Massom, Robert/0000-0003-1533-5084</t>
  </si>
  <si>
    <t>WOS:000294414900019</t>
  </si>
  <si>
    <t>Santora, JA; Reiss, CS; Cossio, AM; Veit, RR</t>
  </si>
  <si>
    <t>Santora, Jarrod A.; Reiss, Christian S.; Cossio, Anthony M.; Veit, Richard R.</t>
  </si>
  <si>
    <t>Interannual spatial variability of krill (Euphausia superba) influences seabird foraging behavior near Elephant Island, Antarctica</t>
  </si>
  <si>
    <t>FISHERIES OCEANOGRAPHY</t>
  </si>
  <si>
    <t>Antarctic krill; Antarctica; Elephant Island; Euphausia superba; foraging; patchiness; seabirds</t>
  </si>
  <si>
    <t>SOUTH SHETLAND ISLANDS; PREDATOR-PREY INTERACTIONS; SCOTIA SEA; HABITAT SELECTION; MARINE ECOSYSTEM; CHINSTRAP PENGUINS; LOCAL ENHANCEMENT; BIOMASS DENSITY; CLIMATE-CHANGE; FUR SEALS</t>
  </si>
  <si>
    <t>We investigate the influence of krill (principally Euphausia superba) patchiness on the foraging distributions of seabirds to understand how variation in krill influences patch dynamics between krill and birds. At sea-surveys were conducted near Elephant Island, Antarctica, for 3 yr (2004-2006) during the annual U.S. Antarctic Marine Living Resources (AMLR) program. Standardized strip-transect surveys were used to map seabirds, and a combination of acoustic and net surveys was used to map krill. We measured patch size of krill and seabirds and elucidated how krill patch dynamics influence foraging seabirds. The spatial association between krill and predators was influenced by the size and arrangement of krill patches. We found a negative relationship between abundance and patchiness of krill and predators, indicating that when krill is less abundant, its predators are less abundant and concentrated. We conclude that annual patch dynamics of krill strongly influences the local abundance and distribution of seabirds. Such information should be used to interpret potential interactions between seabirds and krill fisheries operating near Elephant Island.</t>
  </si>
  <si>
    <t>[Santora, Jarrod A.; Veit, Richard R.] CUNY Coll Staten Isl, Dept Biol, Staten Isl, NY 10314 USA; [Reiss, Christian S.; Cossio, Anthony M.] NOAA Fisheries, SW Fisheries Sci Ctr, Antarctic Ecosyst Res Div, La Jolla, CA 92037 USA</t>
  </si>
  <si>
    <t>City University of New York (CUNY) System; College of Staten Island (CUNY); National Oceanic Atmospheric Admin (NOAA) - USA</t>
  </si>
  <si>
    <t>Santora, JA (corresponding author), CUNY Coll Staten Isl, Dept Biol, 2800 Victory Blvd, Staten Isl, NY 10314 USA.</t>
  </si>
  <si>
    <t>jasantora@gmail.com</t>
  </si>
  <si>
    <t>Cossio, Anthony/HLX-3335-2023</t>
  </si>
  <si>
    <t>NSF-OPP [OPP-9983751]</t>
  </si>
  <si>
    <t>NSF-OPP(National Science Foundation (NSF))</t>
  </si>
  <si>
    <t>We thank the United States Antarctic Marine Living Resources program for facilitating fieldwork during this study. We greatly appreciate the assistance of the captain and crew of the R/V Yuzhmorgeologiya. A. J. Bernick, M. P. Force, and D. J. Futuyma assisted in data collection of predators. We would like to thank R. Hewitt for maintaining and processing acoustic data during 2004. This paper was enhanced by the comments of anonymous reviewers. Seabird data collection was made possible due to NSF-OPP grant (OPP-9983751) to R.R.V.</t>
  </si>
  <si>
    <t>1054-6006</t>
  </si>
  <si>
    <t>1365-2419</t>
  </si>
  <si>
    <t>FISH OCEANOGR</t>
  </si>
  <si>
    <t>Fish Oceanogr.</t>
  </si>
  <si>
    <t>10.1111/j.1365-2419.2008.00490.x</t>
  </si>
  <si>
    <t>Fisheries; Oceanography</t>
  </si>
  <si>
    <t>400RX</t>
  </si>
  <si>
    <t>WOS:000262887400002</t>
  </si>
  <si>
    <t>Turnbull, JD; Leslie, SJ; Robinson, SA</t>
  </si>
  <si>
    <t>Turnbull, Johanna D.; Leslie, Simon J.; Robinson, Sharon A.</t>
  </si>
  <si>
    <t>Desiccation protects two Antarctic mosses from ultraviolet-B induced DNA damage</t>
  </si>
  <si>
    <t>FUNCTIONAL PLANT BIOLOGY</t>
  </si>
  <si>
    <t>Bryum pseudotriquetrum; Ceratodon purpureus; cyclobutane pyrimidine dimers; Grimmia antarctici; Schistidium antarctici; UV-B; (6-4) photoproducts</t>
  </si>
  <si>
    <t>SOLAR UV-B; PIGMENT COMPOSITION; OZONE DEPLETION; HIGHER-PLANTS; WATER-CONTENT; RADIATION; PHOTOSYNTHESIS; TOLERANCE; IMPACT; REPAIR</t>
  </si>
  <si>
    <t>Antarctic mosses live in a frozen desert, and are characterised by the ability to survive desiccation. They can tolerate multiple desiccation-rehydration events over the summer growing season. As a result of recent ozone depletion, such mosses may also be exposed to ultraviolet-B radiation while desiccated. The ultraviolet-B susceptibility of Antarctic moss species was examined in a laboratory experiment that tested whether desiccated or hydrated mosses accumulated more DNA damage under enhanced ultraviolet-B radiation. Accumulation of cyclobutane pyrimidine dimers and pyrimidine (6-4) pyrimidone dimers was measured in moss samples collected from the field and then exposed to ultraviolet-B radiation in either a desiccated or hydrated state. Two cosmopolitan species, Ceratodon purpureus (Hedw.) Brid. and Bryum pseudotriquetrum (Hedw.) Gaertn., B. Mey. &amp; Scherb, were protected from DNA damage when desiccated, with accumulation of cyclobutane pyrimidine dimers reduced by at least 60% relative to hydrated moss. The endemic Schistidium antarctici (Cardot) L.I. Savicz &amp; Smirnova accumulated more DNA damage than the other species and desiccation was not protective in this species. The cosmopolitan species remarkable ability to tolerate high ultraviolet- B exposure, especially in the desiccated state, suggests they may be better able to tolerate continued elevated ultraviolet-B radiation than the endemic species.</t>
  </si>
  <si>
    <t>[Turnbull, Johanna D.; Leslie, Simon J.; Robinson, Sharon A.] Univ Wollongong, Inst Conservat Biol, Wollongong, NSW 2522, Australia</t>
  </si>
  <si>
    <t>This research was supported by grant funding, permits and logistic support from the Australian Antarctic Division. We would like to thank Jane Wasley for field assistance in Antarctica; Professor Osumu Nikaido for kindly providing the TDM-2 and 64M-2 monoclonal antibodies used in this study and Kevin Newsham, Laurence Clarke, Nicole Grant and Osumu Nikaido for suggesting improvements to the manuscript.</t>
  </si>
  <si>
    <t>1445-4408</t>
  </si>
  <si>
    <t>1445-4416</t>
  </si>
  <si>
    <t>FUNCT PLANT BIOL</t>
  </si>
  <si>
    <t>Funct. Plant Biol.</t>
  </si>
  <si>
    <t>10.1071/FP08286</t>
  </si>
  <si>
    <t>412ZR</t>
  </si>
  <si>
    <t>WOS:000263763200002</t>
  </si>
  <si>
    <t>Lang, MA</t>
  </si>
  <si>
    <t>Lang, MA; Brubakk, AO</t>
  </si>
  <si>
    <t>Lang, Michael A.</t>
  </si>
  <si>
    <t>Parameters of Extreme Environment Diving</t>
  </si>
  <si>
    <t>FUTURE OF DIVING:100 YEARS OF HALANE AND BEYOND</t>
  </si>
  <si>
    <t>Symposium on Future of Diving - 10 Years of Haldane and Beyond</t>
  </si>
  <si>
    <t>DEC 18-19, 2008</t>
  </si>
  <si>
    <t>Norwegian Univ Sci &amp; Technol, Baromed &amp; Evironm Physiol Grp, Trondheim, NORWAY</t>
  </si>
  <si>
    <t>Norwegian Univ Sci &amp; Technol, Baromed &amp; Evironm Physiol Grp</t>
  </si>
  <si>
    <t>MAJOR OIL-SPILL; EXERCISE; DECOMPRESSION; COLD</t>
  </si>
  <si>
    <t>The 2007-2009 International Polar Year (IPY) is a global research effort to better understand the polar regions and their climatic effect on the Earth. IPYs in 1882-1883, 1932-1933, and the International Geophysical Year of 1957-1958 were the precursors to this 4th IPY, the first to use extensive scientific diving techniques for polar underwater research. The science completed above and below the ice during IPY will provide a baseline for understanding future environmental change. Our research methodologies must also advance in the next 50 years, requiring some new approaches to diving physiology, equipment and procedures. Polar diving is one of the more extreme-environment diving modes where parameters such as thermal protection, cold stress as DCS risk, and regulator function require special consideration. Contaminated water diving is another extreme environment of microbiological and chemical nature that requires contaminant and risk assessment. Three illustrative cases review extreme environment diving parameters: the past (Smithsonian Tropical Research Institute Oil Spill Project), present (U.S. Antarctic Program benthic pollution studies), and future (Smithsonian Environmental Research Center Invasive Species Project). A final extreme environment is diving at depth. An advanced scientific diving workshop recently examined diving modes and operational parameters of open-circuit mixed gas scuba, closed-circuit rebreathers, underwater habitats, saturation systems, surface-supplied, and bell diving.</t>
  </si>
  <si>
    <t>Smithsonian Inst, Office Secretary Sci, Washington, DC 20013 USA</t>
  </si>
  <si>
    <t>Smithsonian Institution</t>
  </si>
  <si>
    <t>Lang, MA (corresponding author), Smithsonian Inst, Office Secretary Sci, POB 37012,MRC 009, Washington, DC 20013 USA.</t>
  </si>
  <si>
    <t>SMITHSONIAN INST PRESS</t>
  </si>
  <si>
    <t>900 JEFFERSON DRIVE SW, WASHINGTON, DC 20560 USA</t>
  </si>
  <si>
    <t>978-0-9788460-5-3</t>
  </si>
  <si>
    <t>Oceanography; Sport Sciences</t>
  </si>
  <si>
    <t>BMT94</t>
  </si>
  <si>
    <t>WOS:000273561900029</t>
  </si>
  <si>
    <t>Foote, KG</t>
  </si>
  <si>
    <t>Beamish, RJ; Rothschild, BJ</t>
  </si>
  <si>
    <t>Foote, Kenneth G.</t>
  </si>
  <si>
    <t>Acoustic Methods: Brief Review and Prospects for Advancing Fisheries Research</t>
  </si>
  <si>
    <t>FUTURE OF FISHERIES SCIENCE IN NORTH AMERICA</t>
  </si>
  <si>
    <t>Fish and Fisheries Series</t>
  </si>
  <si>
    <t>Conference on Future of Fishery Science in North America</t>
  </si>
  <si>
    <t>FEB 13-15, 2007</t>
  </si>
  <si>
    <t>Amer Inst Fishery Res Biol, CANADA</t>
  </si>
  <si>
    <t>Amer Inst Fishery Res Biol</t>
  </si>
  <si>
    <t>fish acoustics; fishery acoustics; ecosystem acoustics</t>
  </si>
  <si>
    <t>TARGET STRENGTH; SYNTHETIC-APERTURE; BALAENA-MYSTICETUS; MEGAPTERA-NOVAEANGLIAE; UNDERWATER SOUNDS; MULTIBEAM SONAR; ANTARCTIC KRILL; HUMPBACK WHALES; NEURAL-NETWORK; BOWHEAD WHALE</t>
  </si>
  <si>
    <t>Acoustic methods are widely used in fisheries research, often providing vital information that can be obtained in no other way. In reviewing active methods, phenomena of sound scattering are first described. The means of ensonification and detection, the generic sonar, is described. Examples include the traditional scientific echo Sounder and the following six classes of sonar: multibeam. sidescan, acoustic lens-based, parametric, synthetic aperture, and conventional low-frequency sonars. Methods of data processing, quantification, and data interpretation are addressed. In reviewing passive methods, sounds produced by organisms are exemplified. The traditional means of detecting sound, the hydrophone, is then described together with Various configurations of hydrophones. Methods of data analysis and classification are outlined. Calibration is addressed separately for sonars and hydrophones. Applications of the various methods are cited. Potential applications of new, improved, or refined acoustic methods to outstanding problems in fisheries and fisheries habitat research are indicated.</t>
  </si>
  <si>
    <t>PO BOX 17, 3300 AA DORDRECHT, NETHERLANDS</t>
  </si>
  <si>
    <t>1367-8396</t>
  </si>
  <si>
    <t>978-1-4020-9209-1</t>
  </si>
  <si>
    <t>FISH FISH SER</t>
  </si>
  <si>
    <t>Fish Fisheries Series</t>
  </si>
  <si>
    <t>10.1007/978-1-4020-9210-7_18</t>
  </si>
  <si>
    <t>BJH18</t>
  </si>
  <si>
    <t>WOS:000265786100018</t>
  </si>
  <si>
    <t>Yau, AW; James, HG</t>
  </si>
  <si>
    <t>Hirahara, M; Shinohara, I; Miyoshi, Y; Terada, N; Mukai, T</t>
  </si>
  <si>
    <t>Yau, A. W.; James, H. G.</t>
  </si>
  <si>
    <t>CASSIOPE Enhanced Polar Outflow Probe (e-POP) Small Satellite Mission: Space Plasma Observations and International Collaborations</t>
  </si>
  <si>
    <t>FUTURE PERSPECTIVES OF SPACE PLASMA AND PARTICLE INSTRUMENTATION AND INTERNATIONAL COLLABORATIONS</t>
  </si>
  <si>
    <t>International Conference on Future Perspectives of Space Plasma and Particle Instrumentation and International Collaborations</t>
  </si>
  <si>
    <t>NOV 01-03, 2006</t>
  </si>
  <si>
    <t>Tokyo, JAPAN</t>
  </si>
  <si>
    <t>In-situ observation of the micro-scale characteristics of plasma acceleration and related outflow processes is a primary scientific target of the Canadian Enhanced Polar Outflow Probe (e-POP) small satellite mission. The e-POP instrument payload will include imaging plasma and neutral particle sensors, magnetometers, dual-frequency GPS receivers, CCD cameras, a radio wave receiver and a beacon transmitter. The imaging plasma sensors will measure particle distributions and the magnetometers will measure field-aligned currents on the time scale of 10 ms and spatial scale of similar to 100 m. The CCD cameras will perform auroral imaging on the time scale of 100 ms and at spatial (pixel) resolution up to 0.4 km. The GPS and radio-wave receivers will perform near real-time imaging studies of the ionosphere in conjunction with ground-based radars, and the beacon transmitter in conjunction with ground receiving stations. The e-POP payload will be flown on the Canadian CASSIOPE small satellite, which is scheduled for launch in late 2008 into a polar orbit (325 X 1500 km, 80 degrees inclination). International collaboration is an important and integral part of the e-POP mission strategy. Two of the 8 e-POP science instruments will be contributed by JAXA/ISAS, Japan, and Naval Research Laboratory, USA, respectively. Many of the planned e-POP investigations will entail coordinated observations using Canadian as well as foreign ground facilities, including magnetic and optical observatories, radars and heaters, such as the HAARP facility in Alaska, the EISCAT radar, and the NSF Antarctic facility. International collaboration in these investigations is expected to significantly enhance the science returns of the e-POP mission.</t>
  </si>
  <si>
    <t>[Yau, A. W.] Univ Calgary, Dept Phys &amp; Astron, Calgary, AB T2N 1N4, Canada; [James, H. G.] Commun Res Ctr, Ottawa, ON K2H 8S2, Canada</t>
  </si>
  <si>
    <t>University of Calgary; Communications Research Centre Canada</t>
  </si>
  <si>
    <t>Yau, AW (corresponding author), Univ Calgary, Dept Phys &amp; Astron, Calgary, AB T2N 1N4, Canada.</t>
  </si>
  <si>
    <t>Yau, Andrew W/E-7007-2013</t>
  </si>
  <si>
    <t>Canadian Space Agency; Natural Science and Engineering Research Council Canada</t>
  </si>
  <si>
    <t>Canadian Space Agency(Canadian Space Agency); Natural Science and Engineering Research Council Canada(Natural Sciences and Engineering Research Council of Canada (NSERC))</t>
  </si>
  <si>
    <t>We gratefully acknowledge the funding support for the e-POP project from the Canadian Space Agency and the Natural Science and Engineering Research Council Canada. We also like to thank our industrial partners, MDA, Bristol Aerospace Limited, and COM DEV, for their engineering contributions to the CASSIOPE spacecraft bus and the CASCADE and e-POP payload development, and to all e-POP Science Team members, for their instrument and other scientific contributions.</t>
  </si>
  <si>
    <t>978-0-7354-0681-0</t>
  </si>
  <si>
    <t>BLS33</t>
  </si>
  <si>
    <t>WOS:000270932100031</t>
  </si>
  <si>
    <t>Guglielmin, M; Lewkowicz, AG; French, HM; Strini, A</t>
  </si>
  <si>
    <t>Guglielmin, Mauro; Lewkowicz, Antoni G.; French, Hugh M.; Strini, A.</t>
  </si>
  <si>
    <t>LAKE-ICE BLISTERS, TERRA NOVA BAY AREA, NORTHERN VICTORIA LAND, ANTARCTICA</t>
  </si>
  <si>
    <t>GEOGRAFISKA ANNALER SERIES A-PHYSICAL GEOGRAPHY</t>
  </si>
  <si>
    <t>lake-ice blister; icing blister; seasonal frost mound; permafrost; ice-covered lakes</t>
  </si>
  <si>
    <t>FROST MOUNDS; FORT NORMAN; BEAR ROCK</t>
  </si>
  <si>
    <t>Ice blisters, typically 0.2-0.8 m high and 5-20 m long, develop annually on perennially frozen lakes in Northern Victoria Land. They are believed to be caused by hydrostatic pressures generated through progressive freezing of solute-rich water beneath the lake-ice cover during winter. Lake-ice blisters in the study area differfrom icing blisters described from the northern hemisphere. The latter are caused by hydraulic pressures and are found at locations such as river beds or spring sites on sloping terrain. The Antarctic lake-ice blisters reflect the occurrence of dry-based perennially frozen lakes with high salt contents in an extremely cold and arid environment.</t>
  </si>
  <si>
    <t>[Guglielmin, Mauro] Insubria Univ, DBSF, I-21100 Varese, Italy; [Lewkowicz, Antoni G.; French, Hugh M.] Univ Ottawa, Dept Geog, Ottawa, ON K1N 6N5, Canada; [French, Hugh M.] Univ Ottawa, Dept Earth Sci, Ottawa, ON K1N 6N5, Canada; [Strini, A.] Univ Milan, Dip Sci Terra, Milan, Italy</t>
  </si>
  <si>
    <t>University of Insubria; University of Ottawa; University of Ottawa; University of Milan</t>
  </si>
  <si>
    <t>Guglielmin, M (corresponding author), Insubria Univ, DBSF, Via JH Dunant 3, I-21100 Varese, Italy.</t>
  </si>
  <si>
    <t>mauro.guglielmin@uninsubria.it; alewkowi@uottawa.ca; hmfrench@shaw.ca; andrea.strini@unimi.it</t>
  </si>
  <si>
    <t>Lewkowicz, Antoni G/B-4077-2013</t>
  </si>
  <si>
    <t>0435-3676</t>
  </si>
  <si>
    <t>1468-0459</t>
  </si>
  <si>
    <t>GEOGR ANN A</t>
  </si>
  <si>
    <t>Geogr. Ann. Ser. A-Phys. Geogr.</t>
  </si>
  <si>
    <t>91A</t>
  </si>
  <si>
    <t>10.1111/j.1468-0459.2009.00357.x</t>
  </si>
  <si>
    <t>Geography, Physical; Geology</t>
  </si>
  <si>
    <t>454RO</t>
  </si>
  <si>
    <t>WOS:000266700400004</t>
  </si>
  <si>
    <t>Haussmann, NS; Boelhouwers, JC; McGeoch, MA</t>
  </si>
  <si>
    <t>Haussmann, Natalie S.; Boelhouwers, Jan C.; McGeoch, Melodie A.</t>
  </si>
  <si>
    <t>FINE SCALE VARIABILITY IN SOIL FROST DYNAMICS SURROUNDING CUSHIONS OF THE DOMINANT VASCULAR PLANT SPECIES (AZORELLA SELAGO) ON SUB-ANTARCTIC MARION ISLAND</t>
  </si>
  <si>
    <t>frost heave; Sub-Antacrtic; cushion plant; microclimate</t>
  </si>
  <si>
    <t>NEEDLE ICE GROWTH; FREEZE-THAW CYCLE; SORTED STRIPES; CLIMATE-CHANGE; ECOSYSTEM ENGINEERS; SEDIMENT TRANSPORT; VEGETATION; FEEDBACK; ANDES; COMMUNITIES</t>
  </si>
  <si>
    <t>Through changing soil thermal regimes, soil moisture and affecting weathering and erosion processes plants can have an important effect on the physical properties and structure of soils. Such physical soil changes can in turn lead to biological facilitation, such as vegetation-banked terrace formation or differential seedling establishment. We studied the fine scale variability in soil temperature and moisture parameters, specifically focusing on frost cycle characteristics around cushions of the dominant, vascular plant species, Azorella selago, on sub-Antarctic Marion Island. The frost season was characterised by numerous low intensity and very shallow frost cycles. Soils on eastern cushion sides were found to have lower mean and maximum temperatures in winterthan soils on western cushion sides. In addition, lower variability in temperature was found on eastern cushion sides in winterthan on western cushion sides, probably as a result of higher wind speeds on western cushion sides and/or eastern, lee-side snow accumulation. Despite the mild frost climate, extensive frost heave occurred in the study area, indicating that needle ice forms at temperatures above -2 degrees C. Our results demonstrate the effectiveness of frost pull as a heave mechanism under shallow frost conditions. The results highlight the importance of Azorella cushions in modifying site microclimates and of understanding the consequences of these modifications, such as potentially providing microhabitats. Such potential microhabitats are particularly important in light of current climate change trends on the island, as continued warming and drying will undoubtedly increase the need for thermal and moisture refugia.</t>
  </si>
  <si>
    <t>[Haussmann, Natalie S.] Univ Stellenbosch, Dept Conservat Ecol &amp; Entomol, ZA-7602 Stellenbosch, South Africa; [Boelhouwers, Jan C.] Uppsala Univ, Dept Social &amp; Econ Geog, Uppsala, Sweden; [McGeoch, Melodie A.] DST NRF Ctr Invas Biol, ZA-7947 Steenberg, South Africa; [McGeoch, Melodie A.] Cape Res Ctr, ZA-7947 Steenberg, South Africa</t>
  </si>
  <si>
    <t>Stellenbosch University; Uppsala University; National Research Foundation - South Africa</t>
  </si>
  <si>
    <t>Haussmann, NS (corresponding author), Univ Stellenbosch, Dept Conservat Ecol &amp; Entomol, Private Bag X1, ZA-7602 Stellenbosch, South Africa.</t>
  </si>
  <si>
    <t>nshau@sun.ac.za; jan.boelhouwers@kultgeog.uu.se; MelodieM@sanparks.org</t>
  </si>
  <si>
    <t>Haussmann, Natalie/A-5665-2011; Haussmann, Natalie/AFK-4732-2022; McGeoch, Melodie/F-8353-2011</t>
  </si>
  <si>
    <t>Haussmann, Natalie/0000-0002-0314-0266; McGeoch, Melodie/0000-0003-3388-2241</t>
  </si>
  <si>
    <t>African National Research Foundation (NRF); South African National Antarctic Programme (SANAP); Swedish International Development Cooperation Agency (SIDA)</t>
  </si>
  <si>
    <t>The South African National Research Foundation (NRF), South African National Antarctic Programme (SANAP) and Swedish International Development Cooperation Agency (SIDA) are thanked for financial and logistic support.</t>
  </si>
  <si>
    <t>10.1111/j.1468-0459.2009.00368.x</t>
  </si>
  <si>
    <t>533PM</t>
  </si>
  <si>
    <t>WOS:000272836700003</t>
  </si>
  <si>
    <t>Nel, W; Boelhouwers, JC; Zilindile, MB</t>
  </si>
  <si>
    <t>Nel, Werner; Boelhouwers, Jan C.; Zilindile, Mphumzi B.</t>
  </si>
  <si>
    <t>THE EFFECT OF SYNOPTIC SCALE WEATHER SYSTEMS ON SUB-SURFACE SOIL TEMPERATURES IN A DIURNAL FROST ENVIRONMENT: PRELIMINARY OBSERVATIONS FROM SUB-ANTARCTIC MARION ISLAND</t>
  </si>
  <si>
    <t>Marion Island; synoptic weather; ground temperature; soil frost</t>
  </si>
  <si>
    <t>PERMAFROST; VEGETATION</t>
  </si>
  <si>
    <t>Marion Island in the South Indian Ocean has a maritime climate dominated by diurnal frost processes in the landscape. We test the hypothesis that synoptic time-scale measurements are essential in understanding the drivers of diurnal frost processes. Preliminary results from automated microclimate measurements in a polar desert habitat show that diurnal soil surface temperatures on Marion Island are influenced by a complex interaction of radiation balance, air mass circulation, cloud cover and snow. The passage of synoptic scale weather systems influences soil thermal characteristics through changes in dominance of the radiation budget. Soil frost on Marion appears to be dependent on clear skies, while synoptic weather systems affect the duration and intensity of soil frost processes and non-radiative heat fluxes. Air circulation patterns at Marion Island influence diurnal scale temperature fluctuations and its direct and indirect interactions with ecosystem processes. The data suggest that in a maritime sub-Antarctic environment the climatic drivers of soil frost occur at a finertemporal resolution than for seasonal and permafrost environments and needs to be measured at a diurnal time-scale to be meaningful.</t>
  </si>
  <si>
    <t>[Nel, Werner; Zilindile, Mphumzi B.] Univ Ft Hare, Dept Geog &amp; Environm Sci, ZA-5700 Alice, South Africa; [Boelhouwers, Jan C.] Uppsala Univ, Dept Social &amp; Econ Geog, S-75120 Uppsala, Sweden</t>
  </si>
  <si>
    <t>University of Fort Hare; Uppsala University</t>
  </si>
  <si>
    <t>Nel, W (corresponding author), Univ Ft Hare, Dept Geog &amp; Environm Sci, Private Bag X1314, ZA-5700 Alice, South Africa.</t>
  </si>
  <si>
    <t>wnel@ufh.ac.za; jan.boelhouwers@kultgeog.uu.se</t>
  </si>
  <si>
    <t>Nel, Werner/0000-0002-3769-4937</t>
  </si>
  <si>
    <t>South African National Research Foundation; Directorate: Antarctica and Islands ( Department of Environmental Affairs and Tourism)</t>
  </si>
  <si>
    <t>South African National Research Foundation(National Research Foundation - South Africa); Directorate: Antarctica and Islands ( Department of Environmental Affairs and Tourism)</t>
  </si>
  <si>
    <t>The South African National Research Foundation provide financial support and the Directorate: Antarctica and Islands ( Department of Environmental Affairs and Tourism) provided logistical assistance. Both organisations are gratefully thanked for their contributions.</t>
  </si>
  <si>
    <t>10.1111/j.1468-0459.2009.00372.x</t>
  </si>
  <si>
    <t>WOS:000272836700007</t>
  </si>
  <si>
    <t>Sugden, D</t>
  </si>
  <si>
    <t>Slaymaker, O; Spencer, T; EmbletonHamann, C</t>
  </si>
  <si>
    <t>Sugden, David</t>
  </si>
  <si>
    <t>Ice sheets and ice caps</t>
  </si>
  <si>
    <t>GEOMORPHOLOGY AND GLOBAL ENVIRONMENTAL CHANGE</t>
  </si>
  <si>
    <t>LAST GLACIAL MAXIMUM; CENOZOIC LANDSCAPE EVOLUTION; MARIE-BYRD-LAND; ANTARCTIC ICE; SEA-LEVEL; MASS-BALANCE; EAST ANTARCTICA; GREENLAND; FLOW; DYNAMICS</t>
  </si>
  <si>
    <t>Univ Edinburgh, Inst Geog, Sch Geosci, Edinburgh EH9 3JW, Midlothian, Scotland</t>
  </si>
  <si>
    <t>Sugden, D (corresponding author), Univ Edinburgh, Inst Geog, Sch Geosci, Edinburgh EH9 3JW, Midlothian, Scotland.</t>
  </si>
  <si>
    <t>THE PITT BUILDING, TRUMPINGTON ST, CAMBRIDGE CB2 1RP, CAMBS, ENGLAND</t>
  </si>
  <si>
    <t>978-0-521-87812-8</t>
  </si>
  <si>
    <t>BFU77</t>
  </si>
  <si>
    <t>WOS:000321448100015</t>
  </si>
  <si>
    <t>Ivanova, EV</t>
  </si>
  <si>
    <t>Ivanova, Elena V.</t>
  </si>
  <si>
    <t>The Global Thermohaline Circulation and the Main Stages of Its Development During the Cenozoic</t>
  </si>
  <si>
    <t>GLOBAL THERMOHALINE PALEOCIRCULATION</t>
  </si>
  <si>
    <t>Conveyor belt; Atlantic meridional overturning; Return branch; Heat transfer; North Atlantic Oscillation; El-Nino-Southern Oscillation; Heat transfer; Interoceanic exchange; Ocean-atmosphere interaction; Antarctica; Central American Seaway; Indonesian Passage; Northern Hemisphere glaciation; Tectonic events</t>
  </si>
  <si>
    <t>LAST-GLACIAL-MAXIMUM; SEA-SURFACE-TEMPERATURE; NORTH-ATLANTIC OCEAN; SOUTH-CHINA-SEA; PACIFIC WARM POOL; EASTERN EQUATORIAL PACIFIC; WEICHSELIAN ICE-SHEET; SANTA-BARBARA BASIN; FRANZ-JOSEF-LAND; SOUTHEASTERN BARENTS SEA</t>
  </si>
  <si>
    <t>The concept of the global conveyor suggested in the 1980s evolved in the generally accepted theory of the global thermohaline circulation (THC). One of the major mechanisms driving the THC is the deep convection in the Subpolar North Atlantic due to the high density of the surface waters. However, significant amount of deep, bottom, and intermediate waters are formed in several other areas of the ocean, notably in the Antarctic, providing the large-scale overturning. The large oceanic heat transport, ocean-atmosphere interaction, heat and moisture release and uptake in particular energy-active areas exert a strong control on the global climate. Along with the millennial and longer-term variations linked to the THC, the atmospheric circulation modes are of crucial importance for the inter-annual and decadal-scale variability. The development of the modern THC pattern during the Neogene resulted from several dramatic tectonic and paleogeographic events which contributed to the reduction of interoceanic exchange in low latitudes and its strengthening in high southern latitudes.</t>
  </si>
  <si>
    <t>Russian Acad Sci, PP Shirshov Oceanol Inst, Moscow 117997, Russia</t>
  </si>
  <si>
    <t>Ivanova, EV (corresponding author), Russian Acad Sci, PP Shirshov Oceanol Inst, 36 Nakhimovsky Prospekt, Moscow 117997, Russia.</t>
  </si>
  <si>
    <t>e_v_ivanova@ocean.ru</t>
  </si>
  <si>
    <t>Ivanova, Elena V/B-3775-2016; Ivanova, Elena/AAW-2881-2020</t>
  </si>
  <si>
    <t>Ivanova, Elena/0000-0003-3926-0590</t>
  </si>
  <si>
    <t>233 SPRING STREET, NEW YORK, NY 10013, UNITED STATES</t>
  </si>
  <si>
    <t>978-90-481-2414-5</t>
  </si>
  <si>
    <t>10.1007/978-90-481-2415-2_1</t>
  </si>
  <si>
    <t>10.1007/978-90-481-2415-2</t>
  </si>
  <si>
    <t>Ecology; Oceanography</t>
  </si>
  <si>
    <t>Environmental Sciences &amp; Ecology; Oceanography</t>
  </si>
  <si>
    <t>BMW73</t>
  </si>
  <si>
    <t>WOS:000273748400001</t>
  </si>
  <si>
    <t>Gheen, T; Olmsted, S</t>
  </si>
  <si>
    <t>Farace, DJ; Frantzen, J</t>
  </si>
  <si>
    <t>Gheen, Tina; Olmsted, Sue</t>
  </si>
  <si>
    <t>Digitizing Grey Literature from the Antarctic Bibliography Collection</t>
  </si>
  <si>
    <t>GREY MOSAIC, PIECING IT ALL TOGETHER, CONFERENCE PROCEEDINGS</t>
  </si>
  <si>
    <t>GL Conference Series</t>
  </si>
  <si>
    <t>11th International Conference on Grey Literature</t>
  </si>
  <si>
    <t>DEC 14-15, 2009</t>
  </si>
  <si>
    <t>Lib Congress, Washington, DC</t>
  </si>
  <si>
    <t>Lib Congress</t>
  </si>
  <si>
    <t>In 1962 the National Science Foundation (NSF) created a clearinghouse for Antarctic information intended to foster the global, free exchange of data and publications between scientists and researchers. With funding from NSF, the Library of Congress began assembling the Antarctic Bibliography in 1963, and full-text of the items listed in the bibliography was later captured on microfiche for preservation. The Antarctic Bibliography primarily consists of journal articles, monographs, technical reports and conference proceedings collected by the Library of Congress; however, other polar libraries contributed a generous amount of grey literature material to the bibliography as well. Only a few copies of the microfiche collection were created and distributed, so the full-text version is a rare resource preserved in an increasingly less accessible format. The goal of the Polar Digitization project at the National Science Foundation Library is to make the full-text grey literature materials from the Antarctic Bibliography microfiche collection, including unpublished works, materials from conferences that are not readily available and rare government reports, available to the public electronically on the web through digitization and cataloging. This paper addresses the challenges and importance of making the full text of grey matter from the Antarctic Bibliography accessible in digital form.</t>
  </si>
  <si>
    <t>[Gheen, Tina; Olmsted, Sue] Natl Sci Fdn, Arlington, VA 22230 USA</t>
  </si>
  <si>
    <t>National Science Foundation (NSF)</t>
  </si>
  <si>
    <t>tgheen@nsf.gov</t>
  </si>
  <si>
    <t>TEXTRELEASE</t>
  </si>
  <si>
    <t>GL PROGRAM &amp; CONFERENCE BUREAU, JAVASTRAAT 194-HS, AMSTERDAM, 1095 CP, NETHERLANDS</t>
  </si>
  <si>
    <t>1386-2316</t>
  </si>
  <si>
    <t>978-90-77484-13-5</t>
  </si>
  <si>
    <t>GL CONFERENCE SER</t>
  </si>
  <si>
    <t>Information Science &amp; Library Science</t>
  </si>
  <si>
    <t>Conference Proceedings Citation Index - Social Science &amp; Humanities (CPCI-SSH)</t>
  </si>
  <si>
    <t>BOX92</t>
  </si>
  <si>
    <t>WOS:000277988800010</t>
  </si>
  <si>
    <t>Makarova, LN; Shirochkov, AV</t>
  </si>
  <si>
    <t>Johannson, HE</t>
  </si>
  <si>
    <t>Makarova, L. N.; Shirochkov, A. V.</t>
  </si>
  <si>
    <t>EXPERIMENTAL AND MODELING EVIDENCES OF THE SOLAR WIND ENERGY INFLUENCE ON THE EARTH ATMOSPHERE</t>
  </si>
  <si>
    <t>HANDBOOK ON SOLAR WIND: EFFECTS, DYNAMICS AND INTERACTIONS</t>
  </si>
  <si>
    <t>COSMIC-RAYS; MAGNETOPAUSE; TEMPERATURE; ELECTRONS; IONS</t>
  </si>
  <si>
    <t>So far the solar wind energy contribution to energetic balance of the Earth atmosphere was ignored in any atmospheric and climatic research. However the solar wind is a permanent source of a significant amount of the electromagnetic energy emitted by the Sun which is constantly supplied to the near-Earth space. Traditionally this energy was attributed entirely to sustain a definite level of geomagnetic activity expressed as intensity of the geomagnetic substorms and storms. The authors of this paper found in 1997 after analysis of the data of the Russian rocket sounding in the Arctic that enhancement of the solar wind dynamic pressure do influence thermal regime of the polar middle atmosphere. Similar analysis of the atmospheric balloon sounding data obtained at different stations in both the Arctic and the Antarctica shows that the stratospheric temperature closely correlated with the solar wind electromagnetic energy. After establishing these statistically confident relations it was necessary to find a plausibly reasonable physical mechanism which could explain reality of the found coupling. A concept of the global electric circuit as a physical mechanism for explanation of a direct coupling between the solar wind and the middle atmosphere was suggested. We proposed a new, modified version of the global electric circuit with two Electro-Motive Force (EMF) generators: internal EMF generator driven by the thunderstorm activity of the Earth (a common feature of previous circuit configurations) and an external EMF generator driven by the solar wind energy. The passive elements of this circuit are the ionospheric E-layer (external element of previous version of the circuit), stratospheric conducting layer of heavy ions (h=20-25 km) and conducting layer of the Earth surface. In this configuration a previous scheme of the global electric circuit is a part of the proposed version of it. Numerical evaluation of the electromagnetic energy of the solar wind is a very difficult task. It can be done only approximately. Structure of the Earth magnetosphere is changing constantly upon influence of the solar wind as well as a position of a boundary of the magnetosphere (magnetopause). The problem could be solved if we present boundary of the Earth magnetosphere and the ground surface as a giant capacitor with external and internal plates correspondingly. The external plate of this capacitor (magnetopause) could be moved toward the Earth under the solar wind pressure. The energy of the solar wind roughly can be calculated by estimation of energy which is required to move the magnetopause for a definite distance. The magnetopause is located at similar to 12 Re (were Re is the Earth radius) under a quite condition of the solar wind. During strong disturbances of the solar wind the magnetopause could approach the Earth at distance of approximately similar to 6 Re. Such estimation shows that energy required for movement of magnetopause at a distance of 6 Re is equal to similar to 5 10 15J. Preliminary numerical estimations showed that under typical conditions such amount of the Joule heating dissipated in stratosphere is comparable with a rate of heating of ozone layer by the solar UV radiation. Furthermore, such amount of energy is sufficient for enhancement of cyclonic activity in the Earth atmosphere. As the next step of exploration a numerical calculation scheme was elaborated, which took into account the abovementioned processes. This numerical scheme was successfully used in one of the global dynamical photo-chemical models of the atmospheric circulations. The rsults of these model simulations confirmed all previously made preliminary estimations concerning influence of the solar wind energy on the atmospheric processes. There are the definite plans to improve the effectiveness of the proposed physical mechanism describing interaction of the solar wind with the Earth atmosphere. Evaluation of the effects of different degree of the Earth electric conductivity must be taken into account in the next explorations on the subject.</t>
  </si>
  <si>
    <t>[Makarova, L. N.; Shirochkov, A. V.] Arctic &amp; Antarctic Res Inst, St Petersburg 199397, Russia</t>
  </si>
  <si>
    <t>Makarova, LN (corresponding author), Arctic &amp; Antarctic Res Inst, St Petersburg 199397, Russia.</t>
  </si>
  <si>
    <t>shirmak@aari.nw.ru</t>
  </si>
  <si>
    <t>NOVA SCIENCE PUBLISHERS, INC</t>
  </si>
  <si>
    <t>HAUPPAUGE</t>
  </si>
  <si>
    <t>400 OSER AVE, STE 1600, HAUPPAUGE, NY 11788-3635 USA</t>
  </si>
  <si>
    <t>978-1-60692-572-0</t>
  </si>
  <si>
    <t>Astronomy &amp; Astrophysics; Energy &amp; Fuels</t>
  </si>
  <si>
    <t>BLU99</t>
  </si>
  <si>
    <t>WOS:000271116300004</t>
  </si>
  <si>
    <t>Schumann, G; Lunt, DJ; Valdes, PJ; de Jeu, RAM; Scipal, K; Bates, PD</t>
  </si>
  <si>
    <t>Schumann, G.; Lunt, D. J.; Valdes, P. J.; de Jeu, R. A. M.; Scipal, K.; Bates, P. D.</t>
  </si>
  <si>
    <t>Assessment of soil moisture fields from imperfect climate models with uncertain satellite observations</t>
  </si>
  <si>
    <t>HYDROLOGY AND EARTH SYSTEM SCIENCES</t>
  </si>
  <si>
    <t>LAND-SURFACE SCHEMES; IMPACT; SIMULATION; EUROPE</t>
  </si>
  <si>
    <t>We demonstrate that global satellite products can be used to evaluate climate model soil moisture predictions but conclusions should be drawn with care. The quality of a limited area climate model (LAM) was compared to a general circulation model (GCM) using soil moisture data from two different Earth observing satellites within a model validation scheme that copes with the presence of uncertain data. Results showed that in the face of imperfect models and data, it is difficult to investigate the quality of current land surface schemes in simulating hydrology accurately. Nevertheless, a LAM provides, in general, a better representation of spatial patterns and dynamics of soil moisture compared to a GCM. However, in months when data uncertainty is higher, particularly in colder months and in periods when vegetation cover is too dense (e. g. August in the case of Western Europe), it is not possible to draw firm conclusions about model acceptability. For periods of higher confidence in observation data, our work indicates that a higher resolution LAM has more benefits to soil moisture prediction than are due to the resolution alone and can be attributed to an overall enhanced representation of precipitation relative to the GCM. Consequently, heterogeneity of rainfall patterns is better represented in the LAM and thus adequate representation of wet and dry periods leads to an improved acceptability of soil moisture (with respect to uncertain satellite observations), particularly in spring and early summer. Our results suggest that remote sensing, albeit with its inherent uncertainties, can be used to highlight which model should be preferred and as a diagnostic tool to pinpoint regions where the hydrological budget needs particular attention.</t>
  </si>
  <si>
    <t>[Schumann, G.; Lunt, D. J.; Valdes, P. J.; Bates, P. D.] Univ Bristol, Sch Geog Sci, Bristol BS8 1SS, Avon, England; [Lunt, D. J.] British Antarctic Survey, Geol Sci Div, Cambridge CB3 0ET, England; [de Jeu, R. A. M.] Vrije Univ Amsterdam, Dept Hydrol &amp; Geoenvironm Sci, Amsterdam, Netherlands; [Scipal, K.] Vienna Univ Technol, Inst Photogrammetry &amp; Remote Sensing, A-1040 Vienna, Austria</t>
  </si>
  <si>
    <t>University of Bristol; UK Research &amp; Innovation (UKRI); Natural Environment Research Council (NERC); NERC British Antarctic Survey; Vrije Universiteit Amsterdam; Technische Universitat Wien</t>
  </si>
  <si>
    <t>Schumann, G (corresponding author), Univ Bristol, Sch Geog Sci, Univ Rd, Bristol BS8 1SS, Avon, England.</t>
  </si>
  <si>
    <t>guy.schumann@bristol.ac.uk</t>
  </si>
  <si>
    <t>Valdes, Paul/T-2004-2019; Scipal, Klaus/AAS-9104-2021; Valdes, Paul J/C-4129-2013; Schumann, Guy/F-9760-2011; de Jeu, Richard/AAE-6922-2019; Schumann, Guy/V-8342-2017; Bates, Paul/C-8026-2012; Lunt, Daniel/G-9451-2011</t>
  </si>
  <si>
    <t>Valdes, Paul/0000-0002-1902-3283; Schumann, Guy/0000-0003-0968-7198; Bates, Paul/0000-0001-9192-9963; Lunt, Daniel/0000-0003-3585-6928</t>
  </si>
  <si>
    <t>1027-5606</t>
  </si>
  <si>
    <t>1607-7938</t>
  </si>
  <si>
    <t>HYDROL EARTH SYST SC</t>
  </si>
  <si>
    <t>Hydrol. Earth Syst. Sci.</t>
  </si>
  <si>
    <t>10.5194/hess-13-1545-2009</t>
  </si>
  <si>
    <t>Geosciences, Multidisciplinary; Water Resources</t>
  </si>
  <si>
    <t>Geology; Water Resources</t>
  </si>
  <si>
    <t>500RI</t>
  </si>
  <si>
    <t>WOS:000270321700001</t>
  </si>
  <si>
    <t>Barrett, JE; Gooseff, MN; Takacs-Vesbach, C</t>
  </si>
  <si>
    <t>Barrett, J. E.; Gooseff, M. N.; Takacs-Vesbach, C.</t>
  </si>
  <si>
    <t>Spatial variation in soil active-layer geochemistry across hydrologic margins in polar desert ecosystems</t>
  </si>
  <si>
    <t>MCMURDO DRY VALLEYS; SOUTHERN VICTORIA-LAND; LEVEL ANTARCTIC LAKE; TAYLOR VALLEY; ORGANIC-CARBON; CLIMATE-CHANGE; LANDSCAPE; STREAM; BIODIVERSITY; TERRESTRIAL</t>
  </si>
  <si>
    <t>Polar deserts are characterized by severe spatial-temporal limitations of liquid water. In soil active layers of the Antarctic Dry Valleys, liquid water is infrequently available over most of the arid terrestrial landscape. However, soils on the margins of glacial melt-water streams and lakes are visibly wet during the brief Austral summer when temperatures permit the existence of liquid water. We examined the role of these hydrologic margins as preferential zones for the transformation and transport of nutrient elements and solutes in an environment where geochemical weathering and biological activity is strictly limited by the dearth of liquid water. We report on hydropedological investigations of aquatic-terrestrial transition zones adjacent to 11 stream and lake systems in the Antarctic Dry Valleys. Our results show that wetted zones extended 1-11 m from the edges of lotic and lentic systems. While capillary demand and surface evaporation drive a one-way flux of water through these zones, the scale of these transition zones is determined by the topography and physical characteristics of the surrounding soils. Nutrient concentrations and fluxes appear to be influenced by both the hydrology and microbial-mediated biogeochemical processes. Salt concentrations are enriched near the distal boundary of the wetted fronts due to evapo-concentration of pore water in lake margin soils, while organic matter, ammonium and phosphate concentrations are highest in stream channel sediments where potential for biological activity is greatest. Thus, in the Antarctic Dry Valleys, intermittently wet soils on the margins of streams and lakes are important zones of both geochemical cycling and biological activity.</t>
  </si>
  <si>
    <t>[Barrett, J. E.] Virginia Polytech Inst &amp; State Univ, Dept Biol Sci, Blacksburg, VA 24061 USA; [Gooseff, M. N.] Penn State Univ, Dept Civil &amp; Environm Engn, University Pk, PA 16802 USA; [Takacs-Vesbach, C.] Univ New Mexico, Dept Biol, Albuquerque, NM 87131 USA</t>
  </si>
  <si>
    <t>Virginia Polytechnic Institute &amp; State University; Pennsylvania Commonwealth System of Higher Education (PCSHE); Pennsylvania State University; Pennsylvania State University - University Park; University of New Mexico</t>
  </si>
  <si>
    <t>Barrett, JE (corresponding author), Virginia Polytech Inst &amp; State Univ, Dept Biol Sci, Blacksburg, VA 24061 USA.</t>
  </si>
  <si>
    <t>jebbare@vt.edu</t>
  </si>
  <si>
    <t>Gooseff, Michael/B-9273-2008; Gooseff, Michael N/N-6087-2015; Barrett, John/D-5851-2016</t>
  </si>
  <si>
    <t>Gooseff, Michael N/0000-0003-4322-8315; Barrett, John/0000-0002-7610-0505</t>
  </si>
  <si>
    <t>National Science Foundation [0338174]; McMurdo Dry Valleys Long Term Ecological Research program</t>
  </si>
  <si>
    <t>National Science Foundation(National Science Foundation (NSF)); McMurdo Dry Valleys Long Term Ecological Research program</t>
  </si>
  <si>
    <t>This work was funded by a National Science Foundation grant (#0338174) and the McMurdo Dry Valleys Long Term Ecological Research program. Logistical support for field work was provided by Raytheon Polar Services and Petroleum Helicopters Inc. We are grateful to Brad Bate who processed the samples and to Paul Zietz, Robert VanTreese and Bobbie Niederliener who provided invaluable analytical support.</t>
  </si>
  <si>
    <t>10.5194/hess-13-2349-2009</t>
  </si>
  <si>
    <t>536QW</t>
  </si>
  <si>
    <t>WOS:000273059900006</t>
  </si>
  <si>
    <t>Rapp, D</t>
  </si>
  <si>
    <t>Rapp, Donald</t>
  </si>
  <si>
    <t>Life and climate in an ice age</t>
  </si>
  <si>
    <t>ICE AGES AND INTERGLACIALS: MEASUREMENTS, INTERPRETATION, AND MODELS</t>
  </si>
  <si>
    <t>Springer-Praxis Books in Environmental Sciences</t>
  </si>
  <si>
    <t>SOLAR-RADIATION VARIATIONS; ANTARCTIC SEA-ICE; COSMIC-RAY FLUX; EPICA DOME-C; NORTH-ATLANTIC; ATMOSPHERIC CO2; THERMOHALINE CIRCULATION; DEVILS-HOLE; CORE RECORDS; ASYNCHRONOUS GLACIATION</t>
  </si>
  <si>
    <t>SPRINGER-VERLAG LONDON LTD</t>
  </si>
  <si>
    <t>GODALMING</t>
  </si>
  <si>
    <t>SWEETAPPLE HOUSE CATTESHALL RD FARNCOMBE, GODALMING GU7 1NH, SURREY, ENGLAND</t>
  </si>
  <si>
    <t>978-3-540-89679-1</t>
  </si>
  <si>
    <t>S-P B ENVIRON SCI</t>
  </si>
  <si>
    <t>10.1007/978-3-540-89680-7</t>
  </si>
  <si>
    <t>BKK81</t>
  </si>
  <si>
    <t>WOS:000268395800001</t>
  </si>
  <si>
    <t>Suparta, W</t>
  </si>
  <si>
    <t>Suparta, Wayan</t>
  </si>
  <si>
    <t>GPS Water Vapour Project Associated with Global Solar Radiation at Scott Base Station Antarctica</t>
  </si>
  <si>
    <t>ICICI-BME: 2009 INTERNATIONAL CONFERENCE ON INSTRUMENTATION, COMMUNICATION, INFORMATION TECHNOLOGY, AND BIOMEDICAL ENGINEERING</t>
  </si>
  <si>
    <t>International Conference on Instrumentation, Communication, Information Technology and Biomedical Engineering</t>
  </si>
  <si>
    <t>NOV 23-25, 2009</t>
  </si>
  <si>
    <t>Bandung, INDONESIA</t>
  </si>
  <si>
    <t>Antarctica; Association; GPS PWV; Solar radiation</t>
  </si>
  <si>
    <t>The project conducted is due to the contribution of Malaysian scientist to the Antarctic research. Using ground-based GPS and surface meteorological measurements, the atmospheric precipitable water vapour (PWV) circulation from Scott Base Antarctica (77.85 degrees S, 166.76 degrees E) are observed. As the Sun plays a significant role in the hydrological cycle and precipitation, the association between water vapour and solar radiation has been investigated to understand the current global climate change. Our analyses from the processing of data collected from 2003 to 2008 showed that the observation between PWV and the global solar radiation was revealed a strong positive correlation with a mean correlation coefficient of 0.81, calculated at the 99% confidence level. The associations between PWV and solar radiation and its physical processes are further discussed in this paper.</t>
  </si>
  <si>
    <t>Univ Kebangsaan Malaysia, Inst Space Sci ANGKASA, Bangi 43600, Selangor Darul, Malaysia</t>
  </si>
  <si>
    <t>Universiti Kebangsaan Malaysia</t>
  </si>
  <si>
    <t>Suparta, W (corresponding author), Univ Kebangsaan Malaysia, Inst Space Sci ANGKASA, Bangi 43600, Selangor Darul, Malaysia.</t>
  </si>
  <si>
    <t>SUPARTA, WAYAN/K-3110-2013</t>
  </si>
  <si>
    <t>SUPARTA, WAYAN/0000-0002-6193-1867</t>
  </si>
  <si>
    <t>978-1-4244-4999-6</t>
  </si>
  <si>
    <t>Engineering, Biomedical; Instruments &amp; Instrumentation; Telecommunications</t>
  </si>
  <si>
    <t>Engineering; Instruments &amp; Instrumentation; Telecommunications</t>
  </si>
  <si>
    <t>BPV98</t>
  </si>
  <si>
    <t>WOS:000280118800005</t>
  </si>
  <si>
    <t>Xia, YF; Linxin; Linfu</t>
  </si>
  <si>
    <t>Xia Yafang; Linxin; Linfu</t>
  </si>
  <si>
    <t>Research and Development of Cable Used in Polar Region and Its Quality Control</t>
  </si>
  <si>
    <t>ICPADM 2009: PROCEEDINGS OF THE 9TH INTERNATIONAL CONFERENCE ON PROPERTIES AND APPLICATIONS OF DIELECTRIC MATERIALS, VOLS 1-3</t>
  </si>
  <si>
    <t>9th International Conference on Properties and Applications of Dielectric Materials</t>
  </si>
  <si>
    <t>JUL 19-23, 2009</t>
  </si>
  <si>
    <t>Harbin Univ Sci &amp; Technol, Harbin, PEOPLES R CHINA</t>
  </si>
  <si>
    <t>Harbin Univ Sci &amp; Technol</t>
  </si>
  <si>
    <t>cold-resistance cable; mathematics statistics; Quality Control</t>
  </si>
  <si>
    <t>Investigating in polar region needs the outdoor cable to have good performance of cold resistant. In order to meet the power supply requirements of Antarctic expedition team, a flexible low-temperature resistant outdoor cable was developed. While developing, dielectric analysis was used to choose lower glass-transition temperature material. That ensures the insulation can work in high elasticity stage which improve the cold resistant performance of the material. During the process of manufacture, we improve control precision of conduct diameter and diameter over the cable. Then Statistics Process Control was used to improve the quality of products. Our products have been used for Chinese Antarctic expedition team. In the Antarctic Pole, our products resist the cold weather, did not have any quality problems, and get consumer's favorable comment.</t>
  </si>
  <si>
    <t>[Linxin] Chinese Acad Sci, Shanghai Inst Micro Syst &amp; Informat Technol, Beijing 100864, Peoples R China; [Xia Yafang] Wuxi Jiangnan Cable Co Ltd, Yixing, Jiangsu, Peoples R China; [Linxin] Shanghai Jiao Tong Univ, Shanghai, Peoples R China; [Linfu] Harbin Univ Science &amp; Technol, Coll Elect &amp; Elect Engn, Harbin, Heilongjiang, Peoples R China</t>
  </si>
  <si>
    <t>Chinese Academy of Sciences; Shanghai Jiao Tong University</t>
  </si>
  <si>
    <t>Xia, YF (corresponding author), Wuxi Jiangnan Cable Co Ltd, Yixing, Jiangsu, Peoples R China.</t>
  </si>
  <si>
    <t>xyf@jncable.com.cn</t>
  </si>
  <si>
    <t>978-1-4244-4366-6</t>
  </si>
  <si>
    <t>10.1109/ICPADM.2009.5252452</t>
  </si>
  <si>
    <t>Engineering, Electrical &amp; Electronic; Materials Science, Multidisciplinary; Physics, Applied</t>
  </si>
  <si>
    <t>Engineering; Materials Science; Physics</t>
  </si>
  <si>
    <t>BNV27</t>
  </si>
  <si>
    <t>WOS:000275656500265</t>
  </si>
  <si>
    <t>Dou, YK; Chang, XM; Qin, JM</t>
  </si>
  <si>
    <t>Long, B; Li, W</t>
  </si>
  <si>
    <t>Dou, Yin-ke; Chang, Xiao-min; Qin, Jian-Min</t>
  </si>
  <si>
    <t>The research and application of the electric capacitor detecting sea ice thickness and its detecting system</t>
  </si>
  <si>
    <t>IEEE CIRCUITS AND SYSTEMS INTERNATIONAL CONFERENCE ON TESTING AND DIAGNOSIS</t>
  </si>
  <si>
    <t>IEEE Circuits and Systems International Conference on Testing and Diagnosis</t>
  </si>
  <si>
    <t>APR 28-29, 2009</t>
  </si>
  <si>
    <t>Chengdu, PEOPLES R CHINA</t>
  </si>
  <si>
    <t>Sea ice; Capacity; Thickness of Sea ice; Sensor</t>
  </si>
  <si>
    <t>This paper introduced a type of automate monitor sea-ice thickness sensor and its system With some sampling sea water used as the medium of the metal parallel plate capacitor, the capacity of the parallel plate capacitor will be changed significantly in the freezing process from sea water into sea ice (or from solid into liquid). Based on the different characteristics of the capacitor in the different mediums such as in the air, sea water and sea ice, the contacting sensor used for detecting the thickness of sea ice layers and the water level under sea ice, and the sensor detection system, are designed respectively. Experiments prove that this method of monitoring the sea-ice thicness is an advanced. The paper also describes the application of the system to the investigation of the Antarctic sea ice.</t>
  </si>
  <si>
    <t>[Dou, Yin-ke] Taiyuan Univ Technol, Coll Elect &amp; Power Engn, Taiyuan, Peoples R China; [Chang, Xiao-min; Qin, Jian-Min] Taiyuan Univ Technol, Measurement &amp; Control Technol Inst, Taiyuan, Peoples R China</t>
  </si>
  <si>
    <t>Taiyuan University of Technology; Taiyuan University of Technology</t>
  </si>
  <si>
    <t>Dou, YK (corresponding author), Taiyuan Univ Technol, Coll Elect &amp; Power Engn, Taiyuan, Peoples R China.</t>
  </si>
  <si>
    <t>Douyk8888cn@yahoo.com.cn</t>
  </si>
  <si>
    <t>Min, Qin/HPD-0743-2023</t>
  </si>
  <si>
    <t>Min, Qin/0009-0001-3239-3377</t>
  </si>
  <si>
    <t>Shanxi youth natural science foundation [2007021017]; Shanxi Colleges and Universities science and technology development project [200611008]</t>
  </si>
  <si>
    <t>Shanxi youth natural science foundation; Shanxi Colleges and Universities science and technology development project</t>
  </si>
  <si>
    <t>Sponsored by Shanxi youth natural science foundation (No.2007021017),Shanxi Colleges and Universities science and technology development project (No.200611008)</t>
  </si>
  <si>
    <t>978-1-4244-2586-0</t>
  </si>
  <si>
    <t>BMR34</t>
  </si>
  <si>
    <t>WOS:000273389100015</t>
  </si>
  <si>
    <t>Victoria, FD; Pereira, AB; da Costa, DP</t>
  </si>
  <si>
    <t>Victoria, Filipe de Carvalho; Pereira, Antonio Batista; da Costa, Denise Pinheiro</t>
  </si>
  <si>
    <t>Composition and distribution of moss formations in the ice-free areas adjoining the Arctowski region, Admiralty Bay, King George Island, Antarctica</t>
  </si>
  <si>
    <t>IHERINGIA SERIE BOTANICA</t>
  </si>
  <si>
    <t>Antarctic plant communities; Bryophyta; Phytosociology</t>
  </si>
  <si>
    <t>The phytosociology of moss vegetation in the ice-free areas adjoining Polish Antarctic Station Henrik Arctowski. located at Admiralty Bay, inside the King George Island, was investigated during the 2002/2003 and 2003/2004 summer season. The most representative families had been Bryaceae, Polytrichaceae, Andreaeaceae and Pottiaceae. The most frequent species had been Sanionia uncinata (Hedw.) Loeske and Polytrichum juniperinum Hedw. Was possible to describe the associations of mosses in the region of Arctowski, being evidenced the occurrences of seven main formations, which it have been recognized and described twelve associations between the frequent and abundant species in the area. Here they are described along with their distribution in the area, their species richness and the diversity index for each formation found during this Study.</t>
  </si>
  <si>
    <t>[Victoria, Filipe de Carvalho] NEVA, Pelotas, RS, Brazil; [Pereira, Antonio Batista] Univ Fed Pampa UNIPAMPA, Inst Nacl Ciencia &amp; Tecnol Antartico Pesquisas Am, Sao Gabriel, RS, Brazil; [da Costa, Denise Pinheiro] Inst Pesquisas Jardim Bot Rio de Jeneiro, Rio De Janeiro, Brazil</t>
  </si>
  <si>
    <t>Instituto Nacional de Pesquisas Espaciais (INPE); Universidade Federal do Pampa</t>
  </si>
  <si>
    <t>Victoria, FD (corresponding author), NEVA, Goncalves Chaves St 412-503, Pelotas, RS, Brazil.</t>
  </si>
  <si>
    <t>filipevictoria@gmail.com; anbatistape@unipampa.edu.br; dcosta@jbrj.gov.br</t>
  </si>
  <si>
    <t>Victoria, Filipe C/E-1890-2012; costa, denise/HGU-5419-2022; Costa, Denise P/B-5727-2011; Victoria, Filipe/F-6066-2013; costa, denise/AAB-1696-2020; Pereira, Antonio B/I-8201-2014</t>
  </si>
  <si>
    <t>Victoria, Filipe/0000-0002-8580-1813; costa, denise/0000-0001-9495-3029; Pereira, Antonio B/0000-0003-0368-4594</t>
  </si>
  <si>
    <t>Ministerio Brasil,; CAPES; CNPq</t>
  </si>
  <si>
    <t>Ministerio Brasil,; CAPES(Coordenacao de Aperfeicoamento de Pessoal de Nivel Superior (CAPES)); CNPq(Conselho Nacional de Desenvolvimento Cientifico e Tecnologico (CNPQ))</t>
  </si>
  <si>
    <t>The field activities of this study were only possible with the support of the Secretaria da Comissao Interministerial para os Recursos do Mar (SECIRM), from the Ministerio Brasil, institution that manages Brazilian research activities in the Antarctic continent through the Brazilian Antarctic Program (PROANTAR). We would like to thank the research funding agencies, CAPES and CNPq, for the fellowhip grant given to the first author of this study and for their support in this research. We would also like to thank the coordination of the National School of Tropical Botany, and to the Instituto de Pcsquisas Jardim Botanico do Rio do Janeiro For their support to the Master dissertation in which this work is included.</t>
  </si>
  <si>
    <t>FUNDACAO ZOOBOTANICA RIO GRANDE SUL, MUSEU CIENCIAS NATURAIS</t>
  </si>
  <si>
    <t>PORTO ALEGRE</t>
  </si>
  <si>
    <t>CAIXA POSTAL 1188, PORTO ALEGRE, RS 00000, BRAZIL</t>
  </si>
  <si>
    <t>2446-8231</t>
  </si>
  <si>
    <t>IHERINGIA SER BOT</t>
  </si>
  <si>
    <t>Iheringia Ser. Bot.</t>
  </si>
  <si>
    <t>JAN-JUN</t>
  </si>
  <si>
    <t>507JD</t>
  </si>
  <si>
    <t>WOS:000270848400009</t>
  </si>
  <si>
    <t>Albers, A; Lauretta, JR; Leslabay, P</t>
  </si>
  <si>
    <t>ASME</t>
  </si>
  <si>
    <t>Albers, Albert; Lauretta, Juan Ricardo; Leslabay, Pablo</t>
  </si>
  <si>
    <t>ELECTROLYTIC REACTORS FOR HIGH PRESSURE HYDROGEN GENERATION. DESIGN AND SIMULATION</t>
  </si>
  <si>
    <t>IMECE 2008: PROCEEDINGS OF THE ASME INTERNATIONAL MECHANICAL ENGINEERING CONGRESS AND EXPOSITION - 2008, VOL 8</t>
  </si>
  <si>
    <t>ASME International Mechanical Engineering Congress and Exposition</t>
  </si>
  <si>
    <t>OCT 31-NOV 06, 2008</t>
  </si>
  <si>
    <t>The implementation of hydrogen as a mass scale energy vector requires the development of simple, cheap and efficient technologies for its production, storage and transportation. Generating hydrogen through electrolysis of alkali Solution directly under pressures LIP to 700bar without the intervention of any mechanical gas compression systems and the direct storage of the gases in appropriate tanks is a viable example of Such a technology. The present Study introduces the advantages of this production scheme and the major technical difficulties to be overcame on the design of a high pressure operating electrolytic reactor. In order to Study the general system's behavior,, a numerical simulation method that includes all the relevant components is developed. To reduce the complexity of the initial model, the details of the electrochemical reaction taking place on each electrolytic cell is not covered and its effect is replaced with an energy efficiency Curve derived from experimental observations. Despite this simplification, the characteristics of the system remain very complex and require the use Of multi-physics simulation tools to describe the interactions between solids, liquid and gas, the temperature distribution and pressure, and the production of gas and heat in the reactor. In spite of the Multiple coupling possibilities within the multiphysics software, the interaction of the modules proved challenging and required the manual introduction of further differential equations and physical expressions, along with auxiliary routines, to allow the convergence of the Solution. The simulation method developed is validated by modeling a test reactor designed and constructed in the Instituto Tecnologico de Buenos Aires for its installation in the Argentinean Antarctic, for which different test-run results are available for comparison.</t>
  </si>
  <si>
    <t>[Albers, Albert; Leslabay, Pablo] Univ Karlsruhe TH, Inst Prod Dev, D-76131 Karlsruhe, Germany</t>
  </si>
  <si>
    <t>Helmholtz Association; Karlsruhe Institute of Technology</t>
  </si>
  <si>
    <t>Albers, A (corresponding author), Univ Karlsruhe TH, Inst Prod Dev, Kaiserstr 10, D-76131 Karlsruhe, Germany.</t>
  </si>
  <si>
    <t>albers@ipek.uni-karlsruhe.de</t>
  </si>
  <si>
    <t>Albers, Albert/0000-0001-5432-704X</t>
  </si>
  <si>
    <t>AMER SOC MECHANICAL ENGINEERS</t>
  </si>
  <si>
    <t>THREE PARK AVENUE, NEW YORK, NY 10016-5990 USA</t>
  </si>
  <si>
    <t>978-0-7918-4869-2</t>
  </si>
  <si>
    <t>Thermodynamics; Energy &amp; Fuels; Engineering, Mechanical</t>
  </si>
  <si>
    <t>Thermodynamics; Energy &amp; Fuels; Engineering</t>
  </si>
  <si>
    <t>BJG88</t>
  </si>
  <si>
    <t>WOS:000265684200062</t>
  </si>
  <si>
    <t>Goyet, C; Touratier, F</t>
  </si>
  <si>
    <t>Wiggert, JD; Hood, RR; Naqvi, SWA; Brink, KH; Smith, SL</t>
  </si>
  <si>
    <t>Goyet, C.; Touratier, F.</t>
  </si>
  <si>
    <t>Challenges for Present and Future Estimates of Anthropogenic Carbon in the Indian Ocean</t>
  </si>
  <si>
    <t>INDIAN OCEAN BIOGEOCHEMICAL PROCESSES AND ECOLOGICAL VARIABILITY</t>
  </si>
  <si>
    <t>Geophysical Monograph Book Series</t>
  </si>
  <si>
    <t>ANTARCTIC MODE; RED-SEA; CO2; DIOXIDE; WATERS; SINK; CIRCULATION; SECTOR; DEEP</t>
  </si>
  <si>
    <t>One of the main challenges we face today is to determine the evolution of the penetration of anthropogenic CO2 into the Indian Ocean and its impacts on marine and human life. Anthropogenic CO2 reaches the ocean via air-sea interactions as well as riverine inputs. It is then stored in the ocean and follows the oceanic circulation. As the carbon dioxide from the atmosphere penetrates into the sea, it reacts with water and acidifies the ocean. Consequently, the whole marine ecosystem is perturbed, thus potentially affecting the food web, which has, in turn, a direct impact on seafood supply for humans. Naturally, this will mainly affect the growing number of people living in coastal areas. Although anthropogenic CO2 in the ocean is identical with natural CO2 and therefore cannot be detected alone, many approaches are available today to estimate it. Since most of the results of these methods are globally in agreement, here we chose one of these methods, the tracer using oxygen, total inorganic carbon, and total alkalinity (TrOCA) approach, to compute the 3-D distribution of the anthropogenic CO2 concentrations throughout the Indian Ocean. The results of this distribution clearly illustrate the contrast between the Arabian Sea and the Bay of Bengal. They further show the importance of the southern part of this ocean that carries some anthropogenic CO2 at great depths. In order to determine the future anthropogenic impacts on the Indian Ocean, it is urgent and necessary to understand the present state. As the seawater temperature increases, how and how fast will the ocean circulation change? What will the impacts on seawater properties be? Many people are living on the bordering coasts, how will they be affected?</t>
  </si>
  <si>
    <t>[Goyet, C.; Touratier, F.] Univ Perpignan, IMAGES, F-66860 Perpignan, France</t>
  </si>
  <si>
    <t>Universite Perpignan Via Domitia</t>
  </si>
  <si>
    <t>Goyet, C (corresponding author), Univ Perpignan, IMAGES, 52 Ave Paul Alduy, F-66860 Perpignan, France.</t>
  </si>
  <si>
    <t>cgoyet@univ-perp.fr</t>
  </si>
  <si>
    <t>0065-8448</t>
  </si>
  <si>
    <t>978-0-87590-475-7</t>
  </si>
  <si>
    <t>GEOPHYS MONOGR SER</t>
  </si>
  <si>
    <t>10.1029/2008GM000754</t>
  </si>
  <si>
    <t>10.1029/GM185</t>
  </si>
  <si>
    <t>Geochemistry &amp; Geophysics; Marine &amp; Freshwater Biology; Oceanography</t>
  </si>
  <si>
    <t>BUI23</t>
  </si>
  <si>
    <t>WOS:000289442900014</t>
  </si>
  <si>
    <t>Grobbelaar, JU; Smith, VR</t>
  </si>
  <si>
    <t>Jones, J</t>
  </si>
  <si>
    <t>Grobbelaar, Johan U.; Smith, Valdon R.</t>
  </si>
  <si>
    <t>Chemical and biological properties of glacial lakes on sub-Antarctic Marion Island: Comparing data spanning 35 years</t>
  </si>
  <si>
    <t>INTERNATIONAL ASSOCIATION OF THEORETICAL AND APPLIED LIMNOLOGY, VOL 30, PT. 7, PROCEEDINGS</t>
  </si>
  <si>
    <t>International Association of Theoretical and Applied Limnology Proceedings</t>
  </si>
  <si>
    <t>30th Congress of the International-Association-of-Theoretical-and-Applied-Limnology</t>
  </si>
  <si>
    <t>AUG 12-18, 2007</t>
  </si>
  <si>
    <t>Montreal, CANADA</t>
  </si>
  <si>
    <t>chemical composition; chlorophyll fluorescence; climate change; Marion Island; sub-Antarctic</t>
  </si>
  <si>
    <t>[Grobbelaar, Johan U.] Univ Free State, Dept Plant Sci, ZA-9300 Bloemfontein, South Africa; [Smith, Valdon R.] Univ Stellenbosch, Dept Bot &amp; Zool, ZA-7602 Matieland, South Africa</t>
  </si>
  <si>
    <t>University of the Free State; Stellenbosch University</t>
  </si>
  <si>
    <t>Grobbelaar, JU (corresponding author), Univ Free State, Dept Plant Sci, ZA-9300 Bloemfontein, South Africa.</t>
  </si>
  <si>
    <t>grobbeju.sci@ufs.ac.za</t>
  </si>
  <si>
    <t>South African National Antarctic Programme; University of the Free State; Stellenbosch University</t>
  </si>
  <si>
    <t>The South African National Antarctic Programme, the University of the Free State and Stellenbosch University provided logistic and financial support for this study.</t>
  </si>
  <si>
    <t>E SCHWEIZERBART'SCHE VERLAGSBUCHHANDLUNG</t>
  </si>
  <si>
    <t>JOHANNESTRASSE 3, W-7000 STUTTGART, GERMANY</t>
  </si>
  <si>
    <t>0368-0770</t>
  </si>
  <si>
    <t>978-3-510-54078-5</t>
  </si>
  <si>
    <t>INT VER THEOR ANGEW</t>
  </si>
  <si>
    <t>Int. Assoc. Theor. Appl. Limnol. Proc.</t>
  </si>
  <si>
    <t>Limnology</t>
  </si>
  <si>
    <t>BKR97</t>
  </si>
  <si>
    <t>WOS:000269050500033</t>
  </si>
  <si>
    <t>Vineesh, TC; Nath, B; Banerjee, R; Jaisankar, S; Lekshmi, V</t>
  </si>
  <si>
    <t>Vineesh, T. C.; Nagender Nath, B.; Banerjee, R.; Jaisankar, S.; Lekshmi, V.</t>
  </si>
  <si>
    <t>Manganese nodule morphology as indicators for oceanic processes in the Central Indian Basin</t>
  </si>
  <si>
    <t>INTERNATIONAL GEOLOGY REVIEW</t>
  </si>
  <si>
    <t>polymetallic nodules; morphology; Central Indian Basin; Antarctic Bottom Water</t>
  </si>
  <si>
    <t>FERROMANGANESE DEPOSITS; SEAMOUNTS; GEOCHEMISTRY; SEDIMENTS; PUMICE</t>
  </si>
  <si>
    <t>In order to understand the role of geological features in the depositional environment and the prevailing oceanic processes on the formation and characteristics of manganese nodules, a detailed morphological study of the manganese nodules was undertaken on 23,000 nodules from 194 locations (including 801 substations) in a nodule-rich area covering about 150,000km2 in the Central Indian Basin (CIB). Nodules with rough surface texture dominate most of the area except the south-eastern part of the basin, which is floored more by the smooth nodules. Smaller nodules (4cm) are common and are dominant both in density and mass in the south-eastern part of the basin, whereas the north-western part and the central part show dominance of larger rough nodules with higher density and mass. Smooth nodules are also found at shallower depth (5000m), on the seamount tops and along the slopes, whereas the rough nodules mostly occur in deeper areas. Significantly, the eastern part of the basin show smooth nodules with smaller size. Smooth nodules 4cm diameter are rare and show low oxide layer thickness and low bio-sediment remnants compared to rough surfaced nodules. Large variation in morphological types of nodules are found in the CIB with spheroidal, oblong, triangular, rounded, sub-rounded or irregular shapes, with irregular nodules being most common. The most common nucleus is altered basalt, while pumice, shark teeth, clay and older nodule nuclei are also present. Water currents and seafloor topography seem to play a major role in defining the nodule morphology. Results of the study show the abundance of smaller nodules with smooth surface texture towards the eastern side of the study area. These features are probably responding to bottom current activity. Inasmuch as the eastern part of the study area is closer to saddles in the Ninety East Ridge (which is the entry point of the Antarctic Bottom Water (AABW) currents into the CIB), the influence of AABW is reflected in the shape and size of the nodules in this area.</t>
  </si>
  <si>
    <t>[Vineesh, T. C.; Nagender Nath, B.; Banerjee, R.; Jaisankar, S.; Lekshmi, V.] CSIR, Natl Inst Oceanog, Geol Oceanog Div, Panaji, Goa, India</t>
  </si>
  <si>
    <t>Vineesh, TC (corresponding author), CSIR, Natl Inst Oceanog, Geol Oceanog Div, Panaji, Goa, India.</t>
  </si>
  <si>
    <t>cvineesh@nio.org</t>
  </si>
  <si>
    <t>banerjee, RANADIP/B-9442-2009; Chacko, Vineesh/C-9171-2019</t>
  </si>
  <si>
    <t>Chacko, Vineesh/0000-0002-9576-1384</t>
  </si>
  <si>
    <t>Ministry of Earth Sciences (formerly DOD), Government of India</t>
  </si>
  <si>
    <t>Ministry of Earth Sciences (formerly DOD), Government of India(Ministry of Earth Science (MoES), Government of India)</t>
  </si>
  <si>
    <t>Our sincere thanks to the Director, NIO, for permission to publish this work, and M. Shyam Prasad for his encouragement and constant support. The Ministry of Earth Sciences (formerly DOD), Government of India, is thanked for ship time and funding the project Polymettallic Nodules Surveys. This is NIO contribution No. 4436.</t>
  </si>
  <si>
    <t>0020-6814</t>
  </si>
  <si>
    <t>1938-2839</t>
  </si>
  <si>
    <t>INT GEOL REV</t>
  </si>
  <si>
    <t>Int. Geol. Rev.</t>
  </si>
  <si>
    <t>PII 907859491</t>
  </si>
  <si>
    <t>10.1080/00206810802622773</t>
  </si>
  <si>
    <t>428BZ</t>
  </si>
  <si>
    <t>WOS:000264824300002</t>
  </si>
  <si>
    <t>Cousins, CR; Smellie, JL; Jones, AP; Crawford, IA</t>
  </si>
  <si>
    <t>Cousins, Claire R.; Smellie, John L.; Jones, Adrian P.; Crawford, Ian A.</t>
  </si>
  <si>
    <t>A comparative study of endolithic microborings in basaltic lavas from a transitional subglacial-marine environment</t>
  </si>
  <si>
    <t>3rd Conference of the Astrobiology-Society-of-Britain</t>
  </si>
  <si>
    <t>JUL 01-04, 2008</t>
  </si>
  <si>
    <t>Univ Glamorgan, Glamorgan, WALES</t>
  </si>
  <si>
    <t>Univ Glamorgan</t>
  </si>
  <si>
    <t>Antarctica; bioalteration; endolithic; freshwater; glaciovolcanism; hyaloclastite; Mars</t>
  </si>
  <si>
    <t>ANTARCTIC PENINSULA; VOLCANIC GLASS; MARS; OPHIOLITE; DIVERSITY; DEPOSITS; REGION; FLOOR; DEEP; LIFE</t>
  </si>
  <si>
    <t>Subglacially erupted Neogene basaltic hyaloclastites in lava-red deltas ill Antarctica were round to contain putative endolithic microborings preserved in fresh glass along hydrous alteration boundaries. The location and existence over the past 6 Ma of these lava deltas has exposed them to Successive interglacials and subsequent percolation of the hyaloclastite with marine water. A statistical Study of the hyaloclastites has Found that endolithic microborings are distinctly more abundant within samples that show evidence for marine alteration, compared with those that have remained in a strictly freshwater (glacial) environment. Additionally, correlation between elevation and the abundance of microborings shows endolithic activity to be more prolific within lower elevation samples, where the hyaloclastites were influenced by marine fluids. Our Study Strongly Suggests that endolithic microborings form more readily in marine-influenced, rather than freshwater environments. Indeed, marine fluids may be it necessary precondition for the microbial activity responsible. Thus, we Suggest that the chemistry and origin of alteration fluids are controlling factors oil the Formation or endolithic microborings ill basaltic glass. The Study also contributes to the understanding of how endolithic microborings Could be used as a biosignature oil Mars. where basaltic lavas and aqueous alteration are known to have existed ill the past.</t>
  </si>
  <si>
    <t>[Cousins, Claire R.; Jones, Adrian P.; Crawford, Ian A.] UCL, Ctr Planetary Sci, Birkbeck Res Sch Earth Sci, London WC1E 6BT, England; [Smellie, John L.] British Antarctic Survey, Cambridge CB3 0ET, England</t>
  </si>
  <si>
    <t>University of London; University College London; UK Research &amp; Innovation (UKRI); Natural Environment Research Council (NERC); NERC British Antarctic Survey</t>
  </si>
  <si>
    <t>Cousins, CR (corresponding author), UCL, Ctr Planetary Sci, Birkbeck Res Sch Earth Sci, Gower St, London WC1E 6BT, England.</t>
  </si>
  <si>
    <t>c.cousins@ucl.ac.uk</t>
  </si>
  <si>
    <t>Jones, Adrian P/D-4896-2013; Crawford, Ian/H-7510-2012</t>
  </si>
  <si>
    <t>Cousins, Claire/0000-0002-3954-8079; Crawford, Ian/0000-0001-5661-7403</t>
  </si>
  <si>
    <t>10.1017/S1473550408004369</t>
  </si>
  <si>
    <t>540KR</t>
  </si>
  <si>
    <t>WOS:000273330800006</t>
  </si>
  <si>
    <t>Izumi, R; Niihori, M; Takeoka, H; Ohshima, H; Tanaka, K; Mukai, C</t>
  </si>
  <si>
    <t>Izumi, Ryutaro; Niihori, Maki; Takeoka, Hajime; Ohshima, Hiroshi; Tanaka, Kazunari; Mukai, Chiaki</t>
  </si>
  <si>
    <t>Current Status of Space Medicine Research in Japan and the Activities of the JAXA Space Biomedical Research Office</t>
  </si>
  <si>
    <t>INTERNATIONAL JOURNAL OF MICROGRAVITY SCIENCE AND APPLICATION</t>
  </si>
  <si>
    <t>This paper introduces the current status of space medicine research in Japan, especially the activities of the JAXA Space Biomedical Research Office (J-SBRO). This includes ongoing medical research on the International Space Station and joint research with the Antarctic Expedition Team. It also explains J-SBRO's goals, philosophy, highly prioritized research themes, and process for conducting research, as well as some topics on space medicine research targeting astronauts. Finally, we express our opinion for establishing the fundamentals of space biomedical research in Japan, based on the financial and social frameworks.</t>
  </si>
  <si>
    <t>[Izumi, Ryutaro; Niihori, Maki; Takeoka, Hajime; Ohshima, Hiroshi; Tanaka, Kazunari; Mukai, Chiaki] JAXA Space Biomed Res Off, 2-1-1 Sengen, Tsukuba, Ibaraki 3058505, Japan</t>
  </si>
  <si>
    <t>Izumi, R (corresponding author), JAXA Space Biomed Res Off, 2-1-1 Sengen, Tsukuba, Ibaraki 3058505, Japan.</t>
  </si>
  <si>
    <t>JSBRO@jaxa.jp</t>
  </si>
  <si>
    <t>JAPAN SOC MICROGRAVITY APPLICATION</t>
  </si>
  <si>
    <t>TOKYP</t>
  </si>
  <si>
    <t>JAPAN SOC MICROGRAVITY APPLICATION, TOKYP, 00000, JAPAN</t>
  </si>
  <si>
    <t>0915-3616</t>
  </si>
  <si>
    <t>2188-9783</t>
  </si>
  <si>
    <t>INT J MICROGRAVITY S</t>
  </si>
  <si>
    <t>Int. J. Microgravity Sci. Appl.</t>
  </si>
  <si>
    <t>Physics, Applied</t>
  </si>
  <si>
    <t>V6V1V</t>
  </si>
  <si>
    <t>WOS:000420644200003</t>
  </si>
  <si>
    <t>Prabhu, A; Mahajan, P; Khaladkar, R; Bawiskar, S</t>
  </si>
  <si>
    <t>Prabhu, Amita; Mahajan, Pramod; Khaladkar, Rambhau; Bawiskar, Sanjay</t>
  </si>
  <si>
    <t>Connection between Antarctic sea-ice extent and Indian summer monsoon rainfall</t>
  </si>
  <si>
    <t>INTERNATIONAL JOURNAL OF REMOTE SENSING</t>
  </si>
  <si>
    <t>PREDICTION; CONVECTION</t>
  </si>
  <si>
    <t>Antarctic sea-ice extent (AnSIE) is an important parameter influencing global climate. The present study is carried out to find whether any connection between the AnSIE and the Indian summer monsoon rainfall (ISMR) exists. Temporal cross-correlations between the anomalies of the ISMR and AnSIE as a whole and its different sectors are computed for the period 1988 to 2005. A coherent propagating pattern is clearly evident between the AnSIE and ISMR, as well as the rainfall over most of the homogeneous geographical regions of India. Furthermore, this study reveals that the sea-ice extent (SIE) of the western Pacific Ocean sector in the month of March has a strong association with that of the ISMR in the same year. Year 2002 was a major drought year, which none of the regional or general circulation models could simulate. AnSIE variation has provided a strong signal to imply that 2002 would be a deficit monsoon year.</t>
  </si>
  <si>
    <t>[Prabhu, Amita; Mahajan, Pramod; Khaladkar, Rambhau; Bawiskar, Sanjay] Indian Inst Trop Meteorol, Pune 411008, Maharashtra, India</t>
  </si>
  <si>
    <t>Ministry of Earth Sciences (MoES) - India; Indian Institute of Tropical Meteorology (IITM)</t>
  </si>
  <si>
    <t>Prabhu, A (corresponding author), Indian Inst Trop Meteorol, Pune 411008, Maharashtra, India.</t>
  </si>
  <si>
    <t>amitaprabhu@tropmet.res.in</t>
  </si>
  <si>
    <t>Prabhu, Amita/0000-0002-2474-6195</t>
  </si>
  <si>
    <t>Indian Institute of Tropical Meteorology</t>
  </si>
  <si>
    <t>The authors wish to acknowledge the support of the Director of the Indian Institute of Tropical Meteorology. Thanks are due to Dr P. C. Pandey, Dr N. K. Vyas and Dr S. M. Bhandari for their encouragement in the polar studies. Authors are grateful to the National Snow Ice Data Centre (NSIDC) for making available SSM/I SIC data. Thanks are also due to the anonymous referees for their useful comments and suggestions.</t>
  </si>
  <si>
    <t>0143-1161</t>
  </si>
  <si>
    <t>1366-5901</t>
  </si>
  <si>
    <t>INT J REMOTE SENS</t>
  </si>
  <si>
    <t>Int. J. Remote Sens.</t>
  </si>
  <si>
    <t>PII 913236672</t>
  </si>
  <si>
    <t>10.1080/01431160802562248</t>
  </si>
  <si>
    <t>Remote Sensing; Imaging Science &amp; Photographic Technology</t>
  </si>
  <si>
    <t>474IS</t>
  </si>
  <si>
    <t>WOS:000268277600011</t>
  </si>
  <si>
    <t>Cracknell, AP; Varotsos, CA</t>
  </si>
  <si>
    <t>Cracknell, Arthur P.; Varotsos, Costas A.</t>
  </si>
  <si>
    <t>The contribution of remote sensing to the implementation of the Montreal Protocol and the monitoring of its success</t>
  </si>
  <si>
    <t>GLOBAL OZONE DYNAMICS; ATMOSPHERIC OZONE; INSITU OBSERVATIONS; ANTARCTIC OZONE; CHLORINE; STRATOSPHERE; OXYGEN; VARIABILITY; MINIMUM; SINK</t>
  </si>
  <si>
    <t>This paper presents the background to the special issue of the International Journal of Remote Sensing which is being published to celebrate the 20(th) anniversary of the coming into effect in January 1989 of the Montreal Protocol on substances that damage the amospheric ozone layer. Starting from the discovery of ozone and the ozone layer, we recall the proposition of Molina and Rowland that man-made CFCs pose a major threat to the ozone layer. This was followed by about 15 years of scientific research, scientific discussion, intense political discussions and international negotiations which led to the formulation of the Montreal Protocol that prohibits the manufacture and use of ozone-destroying substances. The papers in this special issue of the Journal are concerned with addressing the role of remote sensing in monitoring and assessing the success, or otherwise, of the Montreal Protocol.</t>
  </si>
  <si>
    <t>[Varotsos, Costas A.] Univ Athens, Dept Appl Phys, Athens 15784, Greece; [Cracknell, Arthur P.] Univ Dundee, Div Elect Engn &amp; Phys, Dundee DD1 4HN, Scotland</t>
  </si>
  <si>
    <t>National &amp; Kapodistrian University of Athens; University of Dundee</t>
  </si>
  <si>
    <t>Varotsos, CA (corresponding author), Univ Athens, Dept Appl Phys, Panepistimioupolis Bldg 5, Athens 15784, Greece.</t>
  </si>
  <si>
    <t>covarots@gmail.com</t>
  </si>
  <si>
    <t>Varotsos, Costas/H-6257-2013</t>
  </si>
  <si>
    <t>Varotsos, Costas/0000-0001-7215-3610</t>
  </si>
  <si>
    <t>15-16</t>
  </si>
  <si>
    <t>10.1080/01431160902821999</t>
  </si>
  <si>
    <t>483WV</t>
  </si>
  <si>
    <t>WOS:000269004200001</t>
  </si>
  <si>
    <t>Chubachi, S</t>
  </si>
  <si>
    <t>Chubachi, S.</t>
  </si>
  <si>
    <t>Seasonal start of the Antarctic ozone hole derived from observations with Dobson spectrophotometers</t>
  </si>
  <si>
    <t>SYOWA</t>
  </si>
  <si>
    <t>The Antarctic ozone hole appears in the Antarctic spring, just after the polar night period when sunlight is not available on the surface. Because it is not possible to have a large solar elevation angle in the Antarctic winter and spring, it is hard to make observations of total ozone amounts with TOMS or Dobson spectrophotometers using sunlight. Because of this there is not enough information about the total ozone amounts over the Antarctic just before and after the seasonal appearance of the Antarctic ozone hole. We have made an analysis of the total ozone amounts with a Dobson spectrophotometer, using moonlight as well as sunlight at the three Antarctic stations and Macquarie Island. The results derived from the analysis are as follows: (1) The decrease of the total ozone amounts leading to the Antarctic ozone hole started at the beginning of August at around 69 degrees south and then took place at the higher latitudes later in the period from 1993 to 2005: (2) The total ozone amounts at the higher latitudes in the Antarctic show the smaller value as a latitudinal gradient of about 1.6 DU per degree in the period from 1993 to 2005. The author hopes that these results will be useful for better understanding of the Antarctic ozone hole.</t>
  </si>
  <si>
    <t>Chiba Inst Sci, Choshi, Chiba 2880025, Japan</t>
  </si>
  <si>
    <t>Chubachi, S (corresponding author), Chiba Inst Sci, 3 Shiomicho, Choshi, Chiba 2880025, Japan.</t>
  </si>
  <si>
    <t>schubachi@cis.ac.jp</t>
  </si>
  <si>
    <t>10.1080/01431160902821957</t>
  </si>
  <si>
    <t>WOS:000269004200005</t>
  </si>
  <si>
    <t>Yang, SK; Long, CS; Miller, AJ; He, XM; Yang, YW; Wuebbles, DJ; Tiao, G</t>
  </si>
  <si>
    <t>Yang, Shi-King; Long, C. S.; Miller, A. J.; He, Xuming; Yang, Yunwen; Wuebbles, D. J.; Tiao, George</t>
  </si>
  <si>
    <t>Modulation of natural variability on a trend analysis of the updated cohesive SBUV(/2) total ozone</t>
  </si>
  <si>
    <t>OSCILLATION; RECOVERY</t>
  </si>
  <si>
    <t>Utilizing the series of Solar Backscattered Ultraviolet (SBUV) instruments, total ozone measurements from the NASA/Nimbus-7 and the operational NOAA polar orbiting satellites, the NOAA/Climate Prediction Center has compiled a long term 'cohesive' SBUV(/2) total ozone dataset. The compilations are aimed at achieving a level of quality suitable for trend analysis. The zonal dataset starts in 1979, and extends to 2007. This paper provides an update of the statistical analysis of the above dataset to examine the impact of the Montreal Protocol and its later revisions. The traditional statistical time series trend, or hockey-stick algorithm, is applied to this cohesive total ozone dataset. The algorithm allows for a change in trend in January 1996. Specifically, we examine the net slope post 1996 to see if it is both positive and statistically significant at the 95% confidence level. Our results indicate the following: (1) For 45 degrees N the net slope after 1996, while positive, is not statistically significant at the 95% level of confidence. Thus, we cannot state that the ozone is actually increasing in this area. (2) For 45 degrees S the net slope remains negative, but not statistically significant at the 95% level of confidence. For this region it appears that the best we can state is that the ozone may be levelling off. Our results do indicate, however, that the ozone variability in the southern hemisphere is impacted by the Antarctic oscillation much like the northern hemisphere is impacted by the Arctic oscillation, suggesting a real linkage of these terms. (3) For the integrated domain of 50 degrees N-50 degrees S, the averaging process diminishes greatly the standard errors of the terms. The result is that the net slope for the integrated domain is + 1.24% per decade and is statistically significant at the 95% confidence level. Also, the solar coefficient is statistically significant indicating a tropical dominance of this effect.</t>
  </si>
  <si>
    <t>[Yang, Shi-King] Wyle Informat Syst, Mclean, VA 22102 USA; [Yang, Shi-King; Long, C. S.; Miller, A. J.] NOAA, Climate Predict Ctr, Camp Springs, MD 20746 USA; [He, Xuming; Yang, Yunwen; Wuebbles, D. J.] Univ Illinois, Urbana, IL 61801 USA; [Tiao, George] Univ Chicago, Chicago, IL 60637 USA</t>
  </si>
  <si>
    <t>National Oceanic Atmospheric Admin (NOAA) - USA; University of Illinois System; University of Illinois Urbana-Champaign; University of Chicago</t>
  </si>
  <si>
    <t>Yang, SK (corresponding author), Wyle Informat Syst, Mclean, VA 22102 USA.</t>
  </si>
  <si>
    <t>sk.yang@noaa.gov</t>
  </si>
  <si>
    <t>Keyes, Dennis/AAZ-9285-2021</t>
  </si>
  <si>
    <t>NASA [L16260]; NSF [DMS-0724752]</t>
  </si>
  <si>
    <t>NASA(National Aeronautics &amp; Space Administration (NASA)); NSF(National Science Foundation (NSF))</t>
  </si>
  <si>
    <t>The authors would like to thank Dr Airong Cai for assisting with the algorithm, and Dr Shuntai Zhou and Mr Roger Lin for providing ancillary data. The comments from the reviewers are appreciated. SKY is partially supported by NASA CERES-II Project-L16260. XH, YY, and DJW are partially supported by NSF Grant DMS-0724752.</t>
  </si>
  <si>
    <t>10.1080/01431160902821924</t>
  </si>
  <si>
    <t>WOS:000269004200012</t>
  </si>
  <si>
    <t>Kravchenko, V; Evtushevsky, A; Grytsai, A; Milinevsky, G; Shanklin, J</t>
  </si>
  <si>
    <t>Kravchenko, V.; Evtushevsky, A.; Grytsai, A.; Milinevsky, G.; Shanklin, J.</t>
  </si>
  <si>
    <t>Total ozone dependence of the difference between the empirically corrected EP-TOMS and high-latitude station datasets</t>
  </si>
  <si>
    <t>DOBSON; VALIDATION; ANTARCTICA; GOME</t>
  </si>
  <si>
    <t>A comparison was made of the ground-based and satellite total ozone content (TOC) measurements in the atmosphere over the Antarctic stations Vernadsky, Halley and Amundsen-Scott and the Arctic station Barrow. A similar discrepancy analysis was performed using the global network of ground-based ozonometric stations from the beginning of regular satellite observations in 1978. Slowing of the long-term global ozone losses has been observed during the past decade and a recovery of the ozone layer is forecast for the coming decades. Therefore, the accuracy requirements for ozone measurements are increasing, which, in turn, requires corresponding analysis of the measurement errors. In this work, the Earth Probe Total Ozone Mapping Spectrometer (EP-TOMS) satellite data from 1996 to 2005 were used. Satellite daily TOC values were taken using version 8 of the algorithm introduced in 2004 and empirically corrected in 2007. The most persistent features of the relative EP-TOMS-Dobson difference are: (1) a significant increase in dispersion during the period of the spring Antarctic ozone hole and (2) a differing dependence on total ozone in the trend tendency and significance for EP-TOMS and Dobson datasets. The results indicate the influence of the specific conditions during the Antarctic ozone hole on the possible precision that could be achieved in assessments of Montreal Protocol effects in the ozone layer over this region.</t>
  </si>
  <si>
    <t>[Kravchenko, V.; Evtushevsky, A.; Grytsai, A.; Milinevsky, G.] Natl Taras Shevchenko Univ Kyiv, Astron &amp; Space Phys Dept, UA-03680 Kiev, Msp, Ukraine; [Shanklin, J.] British Antarctic Survey, Cambridge CB3 0ET, England</t>
  </si>
  <si>
    <t>Ministry of Education &amp; Science of Ukraine; Taras Shevchenko National University of Kyiv; UK Research &amp; Innovation (UKRI); Natural Environment Research Council (NERC); NERC British Antarctic Survey</t>
  </si>
  <si>
    <t>Milinevsky, G (corresponding author), Natl Taras Shevchenko Univ Kyiv, Astron &amp; Space Phys Dept, 2 Akad Glushkov Av,Bldg 1, UA-03680 Kiev, Msp, Ukraine.</t>
  </si>
  <si>
    <t>genmilinevsky@gmail.com</t>
  </si>
  <si>
    <t>Grytsai, Asen/AAS-7114-2020; Evtushevsky, Oleksandr O.M./F-2065-2017; Milinevsky, Gennadi/AAD-8801-2019</t>
  </si>
  <si>
    <t>Evtushevsky, Oleksandr O.M./0000-0003-0582-559X; Milinevsky, Gennadi/0000-0002-2342-2615; Grytsai, Asen/0000-0002-2545-9833</t>
  </si>
  <si>
    <t>National Taras Shevchenko University of Kyiv [06BF051-12]; ORACLE-O3 IPY; Natural Environment Research Council [bas0100023] Funding Source: researchfish; NERC [bas0100023] Funding Source: UKRI</t>
  </si>
  <si>
    <t>National Taras Shevchenko University of Kyiv; ORACLE-O3 IPY; Natural Environment Research Council(UK Research &amp; Innovation (UKRI)Natural Environment Research Council (NERC)); NERC(UK Research &amp; Innovation (UKRI)Natural Environment Research Council (NERC))</t>
  </si>
  <si>
    <t>Earth Probe TOMS daily total ozone data were provided by the Ozone Processing Team, NASA Goddard Space Flight Center, USA, from their website at http://toms.gsfc.nasa.gov/eptoms/ep_v8.html. Ground-based daily total ozone data were provided by the British Antarctic Survey, UK (www.antarctica.ac.uk/met/jds/ozone) and the Global Monitoring Division, NOAA Earth System Research Laboratory, USA (www.esrl.noaa.gov/gmd/ozwv/dobson). This work was partly supported by the National Taras Shevchenko University of Kyiv, project 06BF051-12, and was partly undertaken in the framework of the ORACLE-O3 IPY project. We thank two anonymous referees for their useful comments.</t>
  </si>
  <si>
    <t>10.1080/01431160902825008</t>
  </si>
  <si>
    <t>WOS:000269004200036</t>
  </si>
  <si>
    <t>Rafanelli, C; De Simone, S; Damiani, A; Myhre, CL; Edvardsen, K; Svenoe, T; Benedetti, E</t>
  </si>
  <si>
    <t>Rafanelli, C.; De Simone, S.; Damiani, A.; Myhre, C. Lund; Edvardsen, K.; Svenoe, T.; Benedetti, E.</t>
  </si>
  <si>
    <t>Stratospheric ozone during the arctic winter: Brewer measurements in Ny-Alesund</t>
  </si>
  <si>
    <t>APE-GAIA; VARIABILITY; RADIATION; DEPLETION; EVENTS; SPLIT</t>
  </si>
  <si>
    <t>To restrict the human impact on the environment, many preventive actions have been adopted in recent decades e. g. the Vienna Convention (1985) and the Montreal Protocol (1987). So monitoring of the atmosphere assumes the important purpose to check the effectiveness of mitigation strategies. The studies on stratospheric ozone are relevant because of its filtering action for UV and its high sensitivity to CFC. During the past 20 years the trend of ozone depletion has been strongly negative, particularly in Polar Regions. Recently weak signals indicate that a recovery has started, even if to disguise anthropogenic impact from natural trend is difficult. So studies on stratospheric ozone during the polar night are important to understand the chemistry involved. This paper shows the results of a first polar winter campaign (September 2007 to March 2008) by Brewer spectrophotometer in Ny-Alesund, Norway, using solar UV reflected by the Moon. TOMS, MLS-AURA and SCIAMACHY data are also shown.</t>
  </si>
  <si>
    <t>[Rafanelli, C.; De Simone, S.; Damiani, A.; Benedetti, E.] ICES Grp, CNR, Inst Acoust OM Corbino, I-00133 Rome, Italy; [Myhre, C. Lund] Norwegian Inst Air Res NILU, N-2027 Kjeller, Norway; [Edvardsen, K.] Norwegian Inst Air Res NILU, N-9296 Tromso, Norway; [Svenoe, T.] Norwegian Polar Inst NP, N-9005 Tromso, Norway</t>
  </si>
  <si>
    <t>Consiglio Nazionale delle Ricerche (CNR); NILU; NILU; Norwegian Polar Institute</t>
  </si>
  <si>
    <t>Rafanelli, C (corresponding author), ICES Grp, CNR, Inst Acoust OM Corbino, Via Fosso Cavaliere, I-00133 Rome, Italy.</t>
  </si>
  <si>
    <t>c.rafanelli@e-ices.eu</t>
  </si>
  <si>
    <t>Myhre, Cathrine L Lund/M-4508-2014; Damiani, Alessandro/X-4677-2019</t>
  </si>
  <si>
    <t>Myhre, Cathrine L Lund/0000-0003-3587-5926; Damiani, Alessandro/0000-0003-3014-6193</t>
  </si>
  <si>
    <t>PNRA; CNR</t>
  </si>
  <si>
    <t>PNRA; CNR(Consiglio Nazionale delle Ricerche (CNR))</t>
  </si>
  <si>
    <t>This work is under the PNRA Italian Antarctic Program and the CNR Arctic Project, which funded the research. The authors are grateful to NILU and NP personnel in Ny-Alesund since, without their collaboration in logistics and in management of scientific instruments, the activities would not have been carried out. The SCHIAMACHY satellite data are provided through the PROMOTE ozone service (www.gse-promote.org) project, and we acknowledge the European Space Agency for making these data available through this project.</t>
  </si>
  <si>
    <t>10.1080/01431160902825065</t>
  </si>
  <si>
    <t>WOS:000269004200038</t>
  </si>
  <si>
    <t>Sonbawne, SM; Raj, PE; Devara, PCS; Dani, KK</t>
  </si>
  <si>
    <t>Sonbawne, S. M.; Raj, P. Ernest; Devara, P. C. S.; Dani, K. K.</t>
  </si>
  <si>
    <t>Variability in sun photometer derived summertime total column ozone over the Indian station Maitri in the Antarctic region</t>
  </si>
  <si>
    <t>BOUND FLUORINE MOTION; MATCH OBSERVATIONS; HOLE SPLIT; EVENTS; CHLORINE; TRENDS; IMPACT; SINK</t>
  </si>
  <si>
    <t>Extensive observations of total column ozone (TCO) made over the Antarctic region at the Indian station 'Maitri' (70.76oS, 11.74oE) during two summer periods of 2004-2005 and 2006-2007 using a ground-based optical remote sensing instrument (ozonometer) have been examined to study the short-term variations. Mean TCO during 2004-05 summer was 288.7 DU with a variability of 8% and the corresponding values during 2006-2007 summer were 280.4 DU and 11%. Both ozonometer and Dobson spectrophotometer measurements at this Antarctic station during January 2005 showed a short-term decrease in TCO by about 70 DU before regaining original value. Simultaneous changes in precipitable water and surface temperature points to a possible interplay of chemistry and meteorological conditions. Occurrence of an intense solar proton event in January 2005 also suggests the possible role of precipitating charged particles in causing short-lived ozone decrease through production of OH radical.</t>
  </si>
  <si>
    <t>[Sonbawne, S. M.; Raj, P. Ernest; Devara, P. C. S.; Dani, K. K.] Indian Inst Trop Meteorol, Pune 411008, Maharashtra, India</t>
  </si>
  <si>
    <t>Raj, PE (corresponding author), Indian Inst Trop Meteorol, Pashan Rd, Pune 411008, Maharashtra, India.</t>
  </si>
  <si>
    <t>ernest@tropmet.res.in</t>
  </si>
  <si>
    <t>National Center for Antartic and Ocean Research (NCAOR), Goa; Department of Ocean Development/Ministry of Earth Sciences, Government of India</t>
  </si>
  <si>
    <t>The authors are grateful to the Director of the Indian Institute of Tropical Meteorology, Pune for support and encouragement. Support received from the scientists of National Center for Antartic and Ocean Research (NCAOR), Goa and from the Department of Ocean Development/Ministry of Earth Sciences, Government of India by facilitating participation of one of the authors (SMS) in two Indian summer expeditions to Antarctica is gratefully acknowledged.</t>
  </si>
  <si>
    <t>10.1080/01431160902826592</t>
  </si>
  <si>
    <t>WOS:000269004200039</t>
  </si>
  <si>
    <t>Lucieer, A; Veen, L</t>
  </si>
  <si>
    <t>Lucieer, Arko; Veen, Lourens</t>
  </si>
  <si>
    <t>Interactive exploration of uncertainty in fuzzy classifications by isosurface visualization of class clusters</t>
  </si>
  <si>
    <t>ANTARCTIC MACQUARIE ISLAND; REMOTELY-SENSED IMAGERY; LAND-COVER; VEGETATION</t>
  </si>
  <si>
    <t>Uncertainty and vagueness are important concepts when dealing with transition zones between vegetation communities or land-cover classes. In this study, classification uncertainty is quantified by applying a supervised fuzzy classification algorithm. New visualization techniques are proposed and presented in order to come to a better understanding of the relationship between uncertainty in the spatial extent of image classes and their thematic uncertainty. The thematic extent of a class is visualized as a three-dimensional (3D) class cluster shape in a feature-space plot, and the spatial extent of the class is highlighted in an image display based on a user-defined uncertainty threshold. Changing this threshold updates both visualizations, showing the effect of uncertainty on the spatial extent of a class and its shape in feature space. Spheres, ellipsoids, convex hulls, alpha-shapes and isosurfaces are compared for visualization of 3D class clusters. Isosurfaces are implemented to facilitate real-time rendering and interaction with class clusters in feature space. The visualization tool is illustrated with a fuzzy classification of a Quickbird image of Macquarie Island, one of the unique sub-Antarctic World Heritage Areas that is characterized by vegetation transition zones. This study shows that visualization techniques are valuable for the interpretation and exploration of image classification results and associated uncertainty.</t>
  </si>
  <si>
    <t>[Lucieer, Arko] Univ Tasmania, Sch Geog &amp; Environm Studies, Hobart, Tas 7001, Australia; [Veen, Lourens] Univ Amsterdam, Inst Biodivers &amp; Ecosyst Dynam, NL-1018 WV Amsterdam, Netherlands</t>
  </si>
  <si>
    <t>University of Tasmania; University of Amsterdam</t>
  </si>
  <si>
    <t>Lucieer, A (corresponding author), Univ Tasmania, Sch Geog &amp; Environm Studies, Private Bag 76, Hobart, Tas 7001, Australia.</t>
  </si>
  <si>
    <t>Arko.Lucieer@utas.edu.au</t>
  </si>
  <si>
    <t>Lucieer, Arko/F-1247-2013</t>
  </si>
  <si>
    <t>Lucieer, Arko/0000-0002-9468-4516</t>
  </si>
  <si>
    <t>10.1080/01431160802651942</t>
  </si>
  <si>
    <t>500KW</t>
  </si>
  <si>
    <t>WOS:000270299300004</t>
  </si>
  <si>
    <t>Oh, HM; Lee, K; Cho, JC</t>
  </si>
  <si>
    <t>Oh, Hyun-Myung; Lee, Kiyoung; Cho, Jang-Cheon</t>
  </si>
  <si>
    <t>Lewinella antarctica sp nov., a marine bacterium isolated from Antarctic seawater</t>
  </si>
  <si>
    <t>BERMUDENSIS GEN. NOV.; PHYLUM; HERPETOSIPHON; NIGRICANS; COHAERENS; TREES</t>
  </si>
  <si>
    <t>A marine bacterium, designated IMCC3223(T), was isolated from Antarctic coastal seawater and subjected to a polyphasic taxonomic investigation. Cells of the strain were Gram-negative, short to elongated rods that were orange-coloured but negative for flexirubin-type pigments, obligately aerobic, chemoheterotrophic and devoid of gliding or flagellar motility. On the basis of 16S rRNA gone sequence comparisons, the strain was closely related to members of the genus Lewinella (86.3-93.1%) of the family 'Saprospiraceae' in the phylum Bacteroidetes; the most closely related species was Lewinella lutea (93.1% similarity to the type strain). The DNA G + C content of the strain was 50.3 mol% and the major respiratory quinone was MK-7. The predominant cellular fatty acids were C-16:1 omega 7c/iso-C-15:0 2-OH (39.4%), iso-C-15:0 (15.9%), C-17:1 omega 7c (10.5%) and C-15:1 omega 6c (8.9%). 16S rRNA gene sequence analyses and the phenotypic and chemotaxonomic tests allowed the differentiation of strain IMCC3223(T) from all recognized species of the genus Lewinella. Therefore, strain IMCC3223(T) represents a novel species of the genus Lewinella, for which the name Lewinella antarctica sp. nov. is proposed. The type strain is IMCC3223(T) (=KCCM 42688(T) -NBRC 103142(T)).</t>
  </si>
  <si>
    <t>[Oh, Hyun-Myung; Lee, Kiyoung; Cho, Jang-Cheon] Inha Univ, Div Biol &amp; Ocean Sci, Inchon 402751, South Korea</t>
  </si>
  <si>
    <t>Inha University</t>
  </si>
  <si>
    <t>Cho, JC (corresponding author), Inha Univ, Div Biol &amp; Ocean Sci, Inchon 402751, South Korea.</t>
  </si>
  <si>
    <t>chojc@inha.ac.kr</t>
  </si>
  <si>
    <t>Cho, Jang-Cheon/B-4676-2013</t>
  </si>
  <si>
    <t>Cho, Jang-Cheon/0000-0002-0666-3791</t>
  </si>
  <si>
    <t>Korea Polar Research Institute (KOPRI) [PE07050]; 21C Frontier Program of Microbial Genomics and Applications from the MEST, Korea</t>
  </si>
  <si>
    <t>Korea Polar Research Institute (KOPRI); 21C Frontier Program of Microbial Genomics and Applications from the MEST, Korea(Ministry of Education, Science &amp; Technology (MEST), Republic of Korea)</t>
  </si>
  <si>
    <t>We are grateful to Dr Soon-Gyu Hong and Dr II-Chan Kim for providing Antarctic seawater samples. This research was supported by a research grant (PE07050) from the Korea Polar Research Institute (KOPRI) and by the 21C Frontier Program of Microbial Genomics and Applications from the MEST, Korea.</t>
  </si>
  <si>
    <t>CHARLES DARWIN HOUSE, 12 ROGER ST, LONDON WC1N 2JU, ERKS, ENGLAND</t>
  </si>
  <si>
    <t>10.1099/ijs.0.000794-0</t>
  </si>
  <si>
    <t>407ZZ</t>
  </si>
  <si>
    <t>WOS:000263404100012</t>
  </si>
  <si>
    <t>Leu, MT; Keyser, LF</t>
  </si>
  <si>
    <t>Leu, Ming-Taun; Keyser, Leon F.</t>
  </si>
  <si>
    <t>Vapor-deposited water and nitric acid ices: Physical and chemical properties</t>
  </si>
  <si>
    <t>INTERNATIONAL REVIEWS IN PHYSICAL CHEMISTRY</t>
  </si>
  <si>
    <t>water ice; nitric acid ice; vapor deposition; physical and chemical properties; heterogeneous reactions; satellite surface</t>
  </si>
  <si>
    <t>REAL-TIME KINETICS; HETEROGENEOUS REACTIONS; HYDROGEN-CHLORIDE; SULFURIC-ACID; INFRARED-SPECTRA; SURFACE-AREAS; AMORPHOUS ICE; HCL; CLONO2; HNO3</t>
  </si>
  <si>
    <t>Ices formed by vapor deposition have been the subject of numerous laboratory investigations in connection with snow and glaciers on the ground, ice clouds in the terrestrial atmosphere, surfaces of other planets and their satellites, and the interstellar medium. In this review we will focus on these specific subjects: (1) heterogeneous chemistry on the surfaces of polar stratospheric clouds (PSCs) and (2) surfaces of satellites of the outer planets in our solar system. Stratospheric ozone provides a protective shield for mankind and the global biosphere from harmful ultraviolet solar radiation. In past decades, theoretical atmospheric models for the calculation of ozone balance frequently used only homogeneous gas-phase reactions in their studies. Since the discovery of the Antarctic ozone hole in 1985, however, it has been demonstrated that knowledge of heterogeneous reactions on the surface of PSCs is definitely needed to understand this significant natural event due to the anthropogenic emission of chlorofluorocarbons (CFCs). We will briefly discuss the experimental techniques for the investigation of heterogeneous chemistry on ice surfaces carried out in our laboratories. The experimental apparatus used include: several flow-tube reactors, an electron-impact ionization mass spectrometer, a Fourier transform infrared spectrometer, a BET adsorption apparatus, and a scanning environmental electron microscope. The adsorption experiments and electron microscopic work have demonstrated that the vapor-deposited ices are highly porous. Therefore, it is necessary to develop theoretical models for the elucidation of the uptake and reactivity of trace gases in porous ice substrates. Several measurements of uptake and reaction probabilities of these trace gases on water ices and nitric acid ices have been performed under ambient conditions in the upper troposphere and lower stratosphere, mainly in the temperature range 180-220 K. The trace gases of atmospheric importance in heterogeneous chemistry include: ClONO2, HCl, HOCl, and HNO3. In addition, recent interest in the possible landing of a robotic spacecraft on the surface of Europa, one of the Galilean satellites of Jupiter, and ground based telescopic observations demand detailed knowledge of the physical properties of the icy surfaces of the outer planets and their satellites. Lower temperature studies in the range 77-150 K using both electron microscopy and adsorption isotherms (BET surface area measurements) have revealed some intriguing observations that may provide some insights for remote sensing of these satellite surfaces. Finally, we will attempt to summarize our recent results and suggest future research directions in both theoretical and laboratory investigations.</t>
  </si>
  <si>
    <t>[Leu, Ming-Taun; Keyser, Leon F.] CALTECH, Jet Prop Lab, Div Sci, Pasadena, CA 91109 USA</t>
  </si>
  <si>
    <t>California Institute of Technology; National Aeronautics &amp; Space Administration (NASA); NASA Jet Propulsion Laboratory (JPL)</t>
  </si>
  <si>
    <t>Leu, MT (corresponding author), CALTECH, Jet Prop Lab, Div Sci, 4800 Oak Grove Dr, Pasadena, CA 91109 USA.</t>
  </si>
  <si>
    <t>Ming-Taun.Leu@jpl.nasa.gov</t>
  </si>
  <si>
    <t>National Aeronautics and Space Administration; NASA-JPL</t>
  </si>
  <si>
    <t>National Aeronautics and Space Administration(National Aeronautics &amp; Space Administration (NASA)); NASA-JPL(National Aeronautics &amp; Space Administration (NASA))</t>
  </si>
  <si>
    <t>This work was performed at the Jet Propulsion Laboratory, California Institute of Technology, under a contract with the National Aeronautics and Space Administration. We are grateful to our former colleagues, L. T. Chu, S. B. Moore, R. S. Timonen, T. L. Tso, R. H. Smith, C. S. Boxe, B. R. Bodsgard, and R. Zhang who have made important contributions to this work while they visited NASA-JPL.</t>
  </si>
  <si>
    <t>0144-235X</t>
  </si>
  <si>
    <t>1366-591X</t>
  </si>
  <si>
    <t>INT REV PHYS CHEM</t>
  </si>
  <si>
    <t>Int. Rev. Phys. Chem.</t>
  </si>
  <si>
    <t>PII 909655620</t>
  </si>
  <si>
    <t>10.1080/01442350802617129</t>
  </si>
  <si>
    <t>Chemistry, Physical; Physics, Atomic, Molecular &amp; Chemical</t>
  </si>
  <si>
    <t>Chemistry; Physics</t>
  </si>
  <si>
    <t>421CU</t>
  </si>
  <si>
    <t>WOS:000264336300003</t>
  </si>
  <si>
    <t>Bonadonna, F</t>
  </si>
  <si>
    <t>Finger, TE</t>
  </si>
  <si>
    <t>Bonadonna, Francesco</t>
  </si>
  <si>
    <t>Olfaction in Petrels From Homing to Self-Odor Avoidance</t>
  </si>
  <si>
    <t>INTERNATIONAL SYMPOSIUM ON OLFACTION AND TASTE</t>
  </si>
  <si>
    <t>Annals of the New York Academy of Sciences</t>
  </si>
  <si>
    <t>15th International Symposium on Olfaction and Taste</t>
  </si>
  <si>
    <t>JUL 21-26, 2008</t>
  </si>
  <si>
    <t>petrel; olfaction; individual recognition; major histocompatibility complex</t>
  </si>
  <si>
    <t>MAJOR HISTOCOMPATIBILITY COMPLEX; STORM-PETREL; PUFFINUS-PUFFINUS; BLUE PETRELS; RECOGNITION; BURROW; NEST; PROCELLARIIFORM; SIGNATURE; DISCRIMINATION</t>
  </si>
  <si>
    <t>In the 1960s, Betsy Bang unraveled the complexity of the olfactory apparatus of procel-lariiform seabirds (petrels and albatrosses), suggesting an important role for olfaction in their ecology. Shortly thereafter, Prof. B. Wenzel continued the investigations on petrels' well-developed olfactory neuroanatomy as well as their sensitivity to food-related scents. Later studies demonstrated further that the sense of smell is also critical to these birds when homing to their burrow. Building on these findings, we have demonstrated in several petrel species the importance of the burrow olfactory signature in homing. The nature of this olfactory signature relies predominantly on their mate's odor. Indeed, in our Y-maze experiments, Antarctic prions (Pachyptila desolata) and blue petrels (Halobaena caerulea) could discriminate between their own and their mates' odors. However, although they are attracted by their mate odor, they prefer the odor of a con-specific bird to their own. These results have drawn attention to the possible use of chemical signals in birds' social behaviors, such as individual recognition and/or mate choice. Indeed, petrel life history traits suggest that olfactory-mediated mate choice may have evolved in this group to ensure genetic compatibility between mates. We have recently shown that a bird's semiochemical profile is more similar to itself, year after year, than to that of a conspecific. As a result, a novel function of olfaction emerges in petrels: the perception of a chemical signal that may broadcast individuals' identity and quality, thereby contributing to an optimal mate choice.</t>
  </si>
  <si>
    <t>CNRS, CEFE, Behav Ecol Grp, F-34293 Montpellier, France</t>
  </si>
  <si>
    <t>Universite PSL; Ecole Pratique des Hautes Etudes (EPHE); Institut Agro; Montpellier SupAgro; CIRAD; Centre National de la Recherche Scientifique (CNRS); Institut de Recherche pour le Developpement (IRD); Universite Paul-Valery; Universite de Montpellier</t>
  </si>
  <si>
    <t>Bonadonna, F (corresponding author), CNRS, CEFE, Behav Ecol Grp, 1919 Route dc Mende, F-34293 Montpellier, France.</t>
  </si>
  <si>
    <t>Institut Polaire Francais Paul Emile Victor [354]</t>
  </si>
  <si>
    <t>Institut Polaire Francais Paul Emile Victor</t>
  </si>
  <si>
    <t>This work was supported by Institut Polaire Francais Paul Emile Victor (IPEV, Program no. 354). I thank all collaborators, including ProEJM. Bessiere, Dr. Pjouventin, ProE G.A. Nevitt, Mr. B. Buatois, and all students, including C. Bajzak, E Hesters, J. Mardon, E. Miguel, and M. Villafane. Without their collaboration, this work would not have been possible. I give special thanks to Dr.j. Hagelin and Prof. G.A. Nevitt for organizing the symposium on avian olfaction in honor of B. Bang and Prof. B. Wenzel at the International Symposium on Olfaction &amp; Taste 2008.</t>
  </si>
  <si>
    <t>111 RIVER STREET, HOBOKEN, NJ, UNITED STATES</t>
  </si>
  <si>
    <t>0077-8923</t>
  </si>
  <si>
    <t>978-1-57331-738-2</t>
  </si>
  <si>
    <t>ANN NY ACAD SCI</t>
  </si>
  <si>
    <t>Ann.NY Acad.Sci.</t>
  </si>
  <si>
    <t>10.1111/j.1749-6632.2009.03890.x</t>
  </si>
  <si>
    <t>Behavioral Sciences; Cell Biology; Multidisciplinary Sciences; Neurosciences; Physiology</t>
  </si>
  <si>
    <t>Conference Proceedings Citation Index - Science (CPCI-S); Science Citation Index Expanded (SCI-EXPANDED)</t>
  </si>
  <si>
    <t>Behavioral Sciences; Cell Biology; Science &amp; Technology - Other Topics; Neurosciences &amp; Neurology; Physiology</t>
  </si>
  <si>
    <t>BLL92</t>
  </si>
  <si>
    <t>WOS:000270495700076</t>
  </si>
  <si>
    <t>Ituarte, C</t>
  </si>
  <si>
    <t>Ituarte, Cristian</t>
  </si>
  <si>
    <t>Unusual modes of oogenesis and brooding in bivalves: the case of Gaimardia trapesina (Mollusca: Gaimardiidae)</t>
  </si>
  <si>
    <t>INVERTEBRATE BIOLOGY</t>
  </si>
  <si>
    <t>reproduction; follicular oogenesis; brooding</t>
  </si>
  <si>
    <t>FOLLICLE CELLS; GAMETOGENESIS; REPRODUCTION; GASTROPOD; OCEAN</t>
  </si>
  <si>
    <t>I describe an unusual case of follicular oogenesis in a bivalve, Gaimardia trapesina, a common marine bivalve from the Magellan Region and adjacent Sub-Antarctic waters, whose members brood their developing larvae. The gonad in G. trapesina is an acinus organ that infiltrates the perivisceral connective tissue; the walls of the acini are formed by tall, slender cells with distal nuclei, supported by a thin conjunctive tissue layer. At the onset of vitellogenesis, each developing oocyte becomes surrounded by a one-cell-thick layer of follicle cells, which may originate from the wall of the acinus. The cells form a follicle that completely encompasses single oocytes, except at the basal zone, where oocytes are in contact with the acinus wall. The follicle persists beyond the end of vitellogenesis and spawning. After gamete release, the persistent follicle participates in the attachment of ova and developing embryos to the interfilamental junctions of the inner and outer demibranchs of the gill, where embryos are incubated until hatching as late-stage pediveliger larvae. Ripe eggs are large (similar to 250 mu m diameter), suggesting that development is entirely lecithotrophic. The follicle cells that mediate connections between developing embryos and the maternal individual probably have a mechanical role only, providing support and possibly facilitating the accommodation of a large number of embryos to maximize the branchial space available for brooding.</t>
  </si>
  <si>
    <t>Argentine Museum Nat Sci, Div Invertebrate Zool, Buenos Aires, DF, Argentina</t>
  </si>
  <si>
    <t>Museo Argentino de Ciencias Naturales Bernardino Rivadavia (MACN)</t>
  </si>
  <si>
    <t>Ituarte, C (corresponding author), Argentine Museum Nat Sci, Div Invertebrate Zool, Buenos Aires, DF, Argentina.</t>
  </si>
  <si>
    <t>ituarte@mail.retina.ar</t>
  </si>
  <si>
    <t>ANPCyT [PICT2005 38015]</t>
  </si>
  <si>
    <t>ANPCyT(ANPCyT)</t>
  </si>
  <si>
    <t>I wish to thank the staff of the CADIC (Centro Austral de Investigaciones Cientificas) in Ushuaia, J. Calvo and E. Morriconi for kindly allowing access to laboratory facilities for the preliminary processing of samples, and G. Deferrari for his assistance in making possible much the field work. P. Penchaszadeh allowed access to the Zeiss AxioImager Z1 microscope (Carl Zeiss Microimagin GmbH, Germany) at his laboratory. The transmission electron microscopy unit (LANAIS de Microscopia Electronica) at the Facultad de Ciencias Medicas, Universidad de Buenos Aires, helped with TEM work. This research was supported by grant PICT2005 38015 from ANPCyT. The author is a member of the Consejo Nacional de Investigaciones Cientificas y Tecnicas (CONICET).</t>
  </si>
  <si>
    <t>1077-8306</t>
  </si>
  <si>
    <t>INVERTEBR BIOL</t>
  </si>
  <si>
    <t>Invertebr. Biol.</t>
  </si>
  <si>
    <t>10.1111/j.1744-7410.2009.00171.x</t>
  </si>
  <si>
    <t>494IP</t>
  </si>
  <si>
    <t>WOS:000269806200005</t>
  </si>
  <si>
    <t>Buonocore, F; Randelli, E; Scala, V; Belardinelli, MC; Casani, D; Facchiano, AM; Costantini, S; Scapigliati, G</t>
  </si>
  <si>
    <t>Buonocore, F.; Randelli, E.; Scala, V.; Belardinelli, M. C.; Casani, D.; Facchiano, A. M.; Costantini, S.; Scapigliati, G.</t>
  </si>
  <si>
    <t>Evolution of cell-mediated immune defences: Cloning and structural characterisation of the T cell receptor beta chain from the icefish Chionodraco hamatus (Perciformes: Channichthyidae)</t>
  </si>
  <si>
    <t>ITALIAN JOURNAL OF ZOOLOGY</t>
  </si>
  <si>
    <t>Icefish; Chionodraco hamatus; T cell receptor; cloning; real-time PCR; 3D structure</t>
  </si>
  <si>
    <t>TELEOST TREMATOMUS-BERNACCHII; DICENTRARCHUS-LABRAX L.; ANTIGEN RECEPTOR; TCR-ALPHA; ANTARCTIC TELEOST; SEQUENCE ALIGNMENT; MOLECULAR-CLONING; EXPRESSION; FISH; PROTEIN</t>
  </si>
  <si>
    <t>Studies on the immune defence system of Antarctic fishes are of interest to investigate the presence of evolutionary adaptations to low temperature seawater. In the present paper, primers designed to conserved regions of TR beta were used for the homology cloning of the icefish Chionodraco hamatus TR beta chain cDNA. The full-length cDNA consists of 1219 nucleotides that translates in a single reading frame to give a predicted 304-amino acid molecule. The sequence shows highest nucleotide and amino acid identity with the sea bream (Sparus aurata) TR beta. A multiple alignment with other known TR beta molecules evidenced the presence of conserved amino acid residues involved in structural and functional domains within most teleost species. Real-time PCR analysis was used to investigate TR beta basal expression, which was maximal in the thymus, followed by gills and spleen. Finally, the 3D structure of the icefish TR beta was predicted by homology modelling and compared to Sparus aurata, a Teleost living in more temperate environmental conditions. The comparison of these two models suggests that the icefish TR beta may be more flexible, as a consequence of a less compact structure and a lower number of H-bonds.</t>
  </si>
  <si>
    <t>[Buonocore, F.; Randelli, E.; Scala, V.; Belardinelli, M. C.; Casani, D.; Scapigliati, G.] Univ Tuscia, Dipartimento Sci Ambientali, I-01100 Viterbo, Italy; [Facchiano, A. M.; Costantini, S.] CNR, Ist Sci Alimentaz, Lab Bioinformat &amp; Biol Computaz, Avellino, Italy</t>
  </si>
  <si>
    <t>Tuscia University; Consiglio Nazionale delle Ricerche (CNR); Istituto di Scienze dell' Alimentazione (ISA-CNR)</t>
  </si>
  <si>
    <t>Buonocore, F (corresponding author), Univ Tuscia, Dipartimento Sci Ambientali, Largo Univ Snc, I-01100 Viterbo, Italy.</t>
  </si>
  <si>
    <t>fbuono@unitus.it</t>
  </si>
  <si>
    <t>Facchiano, Angelo/K-3375-2012; Facchiano, Angelo/IVH-4978-2023; Costantini, Susan/J-9914-2018; Buonocore, Francesco/AAA-5236-2020</t>
  </si>
  <si>
    <t>Facchiano, Angelo/0000-0002-7077-4912; Buonocore, Francesco/0000-0001-8045-5651; Costantini, Susan/0000-0002-7538-4657</t>
  </si>
  <si>
    <t>Italian Program of Antarctic Research</t>
  </si>
  <si>
    <t>The authors are grateful to the Italian Program of Antarctic Research, which supported the research and allowed fish collection.</t>
  </si>
  <si>
    <t>1125-0003</t>
  </si>
  <si>
    <t>1748-5851</t>
  </si>
  <si>
    <t>ITAL J ZOOL</t>
  </si>
  <si>
    <t>Ital. J. Zoolog.</t>
  </si>
  <si>
    <t>10.1080/11250000802364632</t>
  </si>
  <si>
    <t>480SW</t>
  </si>
  <si>
    <t>WOS:000268758100004</t>
  </si>
  <si>
    <t>Motta, CM; Avallone, B; Balassone, G; Balsamo, G; Fascio, U; Simoniello, P; Tammaro, S; Marmo, F</t>
  </si>
  <si>
    <t>Motta, Chiara Maria; Avallone, Bice; Balassone, Giuseppina; Balsamo, Giuseppe; Fascio, Umberto; Simoniello, Palma; Tammaro, Stefania; Marmo, Francesco</t>
  </si>
  <si>
    <t>Morphological and biochemical analyses of otoliths of the ice-fish Chionodraco hamatus confirm a common origin with red-blooded species</t>
  </si>
  <si>
    <t>JOURNAL OF ANATOMY</t>
  </si>
  <si>
    <t>calcium-binding proteins; confocal laser scanning microscopy; crystalline morph; matrix protein composition; Trematomus bernacchii</t>
  </si>
  <si>
    <t>LIZARD PODARCIS-SICULA; INNER-EAR; VATERITE OTOLITHS; ONCORHYNCHUS-TSHAWYTSCHA; MEMBRANOUS LABYRINTH; CRYSTALLINE OTOLITHS; VESTIBULAR ORGAN; CALBINDIN D28K; PROTEIN; MATRIX</t>
  </si>
  <si>
    <t>The morphology and composition of the three otoliths of the Antarctic ice-fish Chionodraco hamatus were studied by scanning electron microscopy and X-ray diffraction. The composition of the sagitta, lapillus and asteriscus protein matrices was also analysed by sodium dodecyl sulphate-polyacrylamide gel electrophoresis, western blots and confocal laser scanning microscopy to reveal the presence of and to localize the calcium-binding proteins calmodulin, calbindin and S-100. Morphological results indicated that the otoliths in this ice-fish were similar to those of Trematomus bernacchii, a red-blooded Antarctic species [B. Avallone et al. (2003) J. Submicrosc. Cytol. Pathol. 35, 69-76], but rather different from those of other teleosts. These two Antarctic species possessed a completely vateritic asteriscus, whereas their sagitta and lapillus were made mostly of aragonite. Parallel analysis of protein patterns in C. hamatus and T. bernacchii revealed that the sagitta significantly differed from the lapillus and asteriscus in both species. The sagitta did not contain the S-100 protein and showed calmodulin and calbindin located in discontinuous or incremental zones, respectively. These results demonstrate that the otoliths of C. hamatus and T. bernacchii share more resemblances than differences and support the idea of a common origin of these species.</t>
  </si>
  <si>
    <t>[Motta, Chiara Maria] Univ Naples Federico II, Dept Biol Sci, Sez Biol Evolut &amp; Comparata, I-80134 Naples, Italy; [Balassone, Giuseppina] Univ Naples Federico II, Dept Earth Sci, I-80134 Naples, Italy; [Fascio, Umberto] Univ Milan, CIMA, I-20122 Milan, Italy</t>
  </si>
  <si>
    <t>University of Naples Federico II; University of Naples Federico II; University of Milan</t>
  </si>
  <si>
    <t>Motta, CM (corresponding author), Univ Naples Federico II, Dept Biol Sci, Sez Biol Evolut &amp; Comparata, Via Mezzocannone 8, I-80134 Naples, Italy.</t>
  </si>
  <si>
    <t>mottacm@unina.it</t>
  </si>
  <si>
    <t>maria, Motta chiara/K-1426-2019; Marmo, Francesco/C-9825-2013; Avallone, Bice/ABB-3425-2020</t>
  </si>
  <si>
    <t>Marmo, Francesco/0000-0002-3456-2867; Avallone, Bice/0000-0002-5355-1557; motta, chiara maria/0000-0003-1035-0664; Simoniello, Palma/0000-0003-2888-2642</t>
  </si>
  <si>
    <t>Progetto Nazionale Ricerche in Antartide</t>
  </si>
  <si>
    <t>This work was financed by the Progetto Nazionale Ricerche in Antartide. All materials were collected during the 14th Italian Expedition by C.M.M. The scanning electron microscopy studies were carried out at the Centro Servizi di Microscopia Elettronica (CISME) of the University of Naples Federico II. The authors thank Dr Edward Howell for critical reading of the manuscript.</t>
  </si>
  <si>
    <t>0021-8782</t>
  </si>
  <si>
    <t>1469-7580</t>
  </si>
  <si>
    <t>J ANAT</t>
  </si>
  <si>
    <t>J. Anat.</t>
  </si>
  <si>
    <t>10.1111/j.1469-7580.2008.01003.x</t>
  </si>
  <si>
    <t>Anatomy &amp; Morphology</t>
  </si>
  <si>
    <t>389YF</t>
  </si>
  <si>
    <t>WOS:000262130800011</t>
  </si>
  <si>
    <t>Eichhorn, G; Drent, RH; Stahl, J; Leito, A; Alerstam, T</t>
  </si>
  <si>
    <t>Eichhorn, Goetz; Drent, Rudolf H.; Stahl, Julia; Leito, Aivar; Alerstam, Thomas</t>
  </si>
  <si>
    <t>Skipping the Baltic: the emergence of a dichotomy of alternative spring migration strategies in Russian barnacle geese</t>
  </si>
  <si>
    <t>JOURNAL OF ANIMAL ECOLOGY</t>
  </si>
  <si>
    <t>arctic breeding; geolocation; global change; migratory timing; tracking</t>
  </si>
  <si>
    <t>BODY CONDITION; CONSEQUENCES; REPRODUCTION; SCHEDULES; FITNESS; ANSER; ACCUMULATION; RESIGHTINGS; COMPONENTS; GROWTH</t>
  </si>
  <si>
    <t>Since the early 1990s, an increasing proportion of barnacle geese, Branta leucopsis, bound for breeding sites in the Russian Arctic delay their departure from the wintering quarters in the Wadden Sea by 4 weeks. These late-migrating geese skip spring stopover sites in the Baltic traditionally used by the entire population. Individual geese from an arctic colony tracked by satellite or light-level geolocators during spring migration in 2004 and 2005 predominantly followed the new strategy, but a minority still maintained the traditional pattern. Despite a spread of more than 50 days in departure date from the Wadden Sea, both early and late departing females laid their eggs within the short time-window conferring breeding success. The spread of these new migration routines coincided with a strong increase of overall numbers and the exploitation of new spring staging resources in the Wadden Sea. Counts from Estonia demonstrate that numbers have levelled off recently at the Baltic staging sites, suggesting that the capacity of these staging sites in spring has been reached. Although onset of spring affects migratory timing in barnacle geese, it cannot explain the observed delay in departure from the wintering grounds. We hypothesize that the new migratory strategy has evolved in response to increased competition for food at spring staging sites in the Baltic. According to an analytical model of optimal migration, the geese should skip the Baltic whenever the energy deposition rate falls below 88% of the Wadden Sea value.</t>
  </si>
  <si>
    <t>[Eichhorn, Goetz; Drent, Rudolf H.] Univ Groningen, Anim Ecol Grp, Ctr Ecol &amp; Evolutionary Studies, NL-9750 AA Haren, Netherlands; [Stahl, Julia] Carl von Ossietzky Univ Oldenburg, Landscape Ecol Grp, D-26111 Oldenburg, Germany; [Leito, Aivar] Estonian Univ Life Sci, Inst Agr &amp; Environm Sci, EE-51014 Tartu, Estonia; [Alerstam, Thomas] Lund Univ, Dept Anim Ecol, S-22362 Lund, Sweden</t>
  </si>
  <si>
    <t>University of Groningen; Carl von Ossietzky Universitat Oldenburg; Estonian University of Life Sciences; Lund University</t>
  </si>
  <si>
    <t>Eichhorn, G (corresponding author), Univ Groningen, Anim Ecol Grp, Ctr Ecol &amp; Evolutionary Studies, POB 14, NL-9750 AA Haren, Netherlands.</t>
  </si>
  <si>
    <t>g.eichhorn@rug.nl</t>
  </si>
  <si>
    <t>Eichhorn, Götz/R-8136-2016</t>
  </si>
  <si>
    <t>Eichhorn, Götz/0000-0003-2151-8856</t>
  </si>
  <si>
    <t>Institute of Biology in Syktyvkar; Nenets Autonomous District and the State Nature reserve Nenetskiy; Russian Hunters Association; Dutch Institute RIZA; Schure-Beijerink-Popping Fonds; University of Groningen; Deutsche Forschungsgemeinschaft; NWO; Marianne und Dr. Fritz Walter-Fischer Stiftung, Germany</t>
  </si>
  <si>
    <t>Institute of Biology in Syktyvkar; Nenets Autonomous District and the State Nature reserve Nenetskiy; Russian Hunters Association; Dutch Institute RIZA; Schure-Beijerink-Popping Fonds; University of Groningen; Deutsche Forschungsgemeinschaft(German Research Foundation (DFG)); NWO(Netherlands Organization for Scientific Research (NWO)); Marianne und Dr. Fritz Walter-Fischer Stiftung, Germany</t>
  </si>
  <si>
    <t>We thank all collaborators of the Dutch-Russian expeditions to Tobseda, and Konstantin Litvin in particular for his unflagging efforts at capturing geese. Mennobart van Eerden played an important role in the organization of these expeditions. Support by the Institute of Biology in Syktyvkar, by the Nenets Autonomous District and the State Nature reserve Nenetskiy, and by the Russian Hunters Association is gratefully acknowledged. Petteri Tolvanen and Anders Hedenstrom helped to retrieve data on goose passage over Finland and Ottenby, respectively. GLS loggers were developed at the British Antarctic Survey and we thank Vsevolod Afanasyev in particular. Financial assistance came from the Dutch Institute RIZA, the Schure-Beijerink-Popping Fonds, the University of Groningen, the Deutsche Forschungsgemeinschaft and The Netherlands Arctic Programme of NWO. GE was supported by ESF travel grants and scholarships from the Marianne und Dr. Fritz Walter-Fischer Stiftung, Germany, and the Ubbo Emmius Programme of Groningen University. Helpful comments by Jesper Madsen and one anonymous referee improved the manuscript.</t>
  </si>
  <si>
    <t>0021-8790</t>
  </si>
  <si>
    <t>1365-2656</t>
  </si>
  <si>
    <t>J ANIM ECOL</t>
  </si>
  <si>
    <t>J. Anim. Ecol.</t>
  </si>
  <si>
    <t>10.1111/j.1365-2656.2008.01485.x</t>
  </si>
  <si>
    <t>382QP</t>
  </si>
  <si>
    <t>WOS:000261620800008</t>
  </si>
  <si>
    <t>Papa, R; Parrilli, E; Sannia, G</t>
  </si>
  <si>
    <t>Papa, R.; Parrilli, E.; Sannia, G.</t>
  </si>
  <si>
    <t>Engineered marine Antarctic bacterium Pseudoalteromonas haloplanktis TAC125: a promising micro-organism for the bioremediation of aromatic compounds</t>
  </si>
  <si>
    <t>Antarctic psychrophilic bacterium; aromatic compounds degradation; copper-inducible oxidase; marine bioremediation; Pseudoalteromonas haloplanktis TAC125</t>
  </si>
  <si>
    <t>PSEUDOMONAS-STUTZERI OX1; TOLUENE/O-XYLENE MONOOXYGENASE; RESISTANCE DETERMINANT PCO; ESCHERICHIA-COLI; MOLECULAR CHARACTERIZATION; EXPRESSION; CLONING; PROMOTERS; PROTEINS</t>
  </si>
  <si>
    <t>The recombinant Antarctic Pseudoalteromonas haloplanktis TAC125 (P. haloplanktis TAC/tou) expressing toluene-o-xylene monooxygenase (ToMO) can efficiently convert several aromatic compounds into their corresponding catechols in a broad range of temperature. When the genome of P. haloplanktis TAC125 was analysed in silico, the presence of a DNA sequence coding for a putative laccase-like protein was revealed. It is well known that bacterial laccases are able to oxidize dioxygenated aromatic compounds such as catechols. We analysed the catabolic features, conferred by recombinant ToMO activity and the endogenous laccase enzymatic activity, of P. haloplanktis TAC/tou engineered strain and its ability to grow on aromatic compounds as sole carbon and energy sources. Results presented highlight the broad potentiality of P. haloplanktis TAC/tou cells expressing recombinant ToMO in bioremediation and suggest the use of this engineered Antarctic bacterium in the bioremediation of chemically contaminated marine environments and/or cold effluents. This paper demonstrates the possibility to confer new and specific degradative capabilities to a bacterium isolated from an unpolluted environment (Antarctic seawater) transforming it into a bacterium able to grow on phenol as sole carbon and energy source.</t>
  </si>
  <si>
    <t>[Papa, R.; Parrilli, E.; Sannia, G.] Complesso Univ Monte S Angelo, Dipartimento Chim Organ &amp; Biochim, I-80126 Naples, Italy</t>
  </si>
  <si>
    <t>Sannia, G (corresponding author), Complesso Univ Monte S Angelo, Dipartimento Chim Organ &amp; Biochim, Via Cinthia, I-80126 Naples, Italy.</t>
  </si>
  <si>
    <t>sannia@unina.it</t>
  </si>
  <si>
    <t>parrilli, ermenegilda/JAZ-0586-2023; parrilli, ermenegilda/K-4616-2016</t>
  </si>
  <si>
    <t>parrilli, ermenegilda/0000-0002-9002-5409; SANNIA, Giovanni/0000-0002-7986-6223</t>
  </si>
  <si>
    <t>Dipartimento di Chimica Organica e Biochimica, Universita degli Studi di Napoli 'Federico II' Napoli, Italy</t>
  </si>
  <si>
    <t>The authors are grateful to Prof. M.L. Tutino and Prof. G. Marino (Dipartimento di Chimica Organica e Biochimica, Universita degli Studi di Napoli 'Federico II' Napoli, Italy) for helpful discussions.</t>
  </si>
  <si>
    <t>10.1111/j.1365-2672.2008.03971.x</t>
  </si>
  <si>
    <t>394UK</t>
  </si>
  <si>
    <t>WOS:000262475600006</t>
  </si>
  <si>
    <t>Blagoveshchenskaya, NF; Borisov, TD; Kornienko, VA; Kalishin, AS; Robinson, TR; Yeoman, TK; Wright, DM; Baddeley, LJ</t>
  </si>
  <si>
    <t>Blagoveshchenskaya, N. F.; Borisov, T. D.; Kornienko, V. A.; Kalishin, A. S.; Robinson, T. R.; Yeoman, T. K.; Wright, D. M.; Baddeley, L. J.</t>
  </si>
  <si>
    <t>SPEAR-induced field-aligned irregularities observed from bi-static HF radio scattering in the polar ionosphere</t>
  </si>
  <si>
    <t>Ionosphere; Nonlinear phenomena; Powerful HF radio wave; Field-aligned irregularities</t>
  </si>
  <si>
    <t>E-REGION IRREGULARITIES; RADAR OBSERVATIONS; MAGNETIC ZENITH; OPTICAL-EMISSIONS; INDUCED AIRGLOW; SPORADIC-E; BACKSCATTER; STRIATIONS; CUTLASS; TROMSO</t>
  </si>
  <si>
    <t>Experimental results from SPEAR HF heating experiments in the polar ionosphere are examined. Bi-static scatter measurements of HF diagnostic signals were carried out on the Pori (Finland)-SPEAR-St. Petersburg path at operational frequencies of 11,755 and 15,400kHz and the London-SPEAR-St. Petersburg path at frequencies of 12,095 and 17,700 kHz, using a Doppler spectral method. The SPEAR HF heating facility generates heater-induced artificial field-aligned small-scale irregularities (AFAIS), which can be detected by HF diagnostic bi-static radio scatter techniques at St. Petersburg at a distance of about 2000km. In accordance with the Bragg condition, HF bi-static backscatters were sensitive to small-scale irregularities having spatial sizes of the order of 9-13 m across the geomagnetic field line. The properties and behaviour of AFAIs have been considered in the winter and summer seasons under quiet magnetic conditions and under various status of the polar ionosphere (the presence of thick and thin sporadic Es layers, different structures of the F2 layer). The experimental results obtained have shown that AFAIs can be excited in the F as well as in the E regions of the polar ionosphere. The excitation of a very intense wide-band spectral component with an abrupt increase in the spectral width up to 16-20 Hz has been found in the signals scattered from striations. Along with a wide-band component. a narrow-band spectral component can be also seen in the Doppler sonograms and in the average spectra of the signals scattered from the SPEAR-induced striations. AFAIs were excited even when the HF heater frequency was up to 0.5 MHz larger than the critical frequency. A simulation of the ray geometry for the diagnostic HF radio waves scattered from AFAIs in the polar ionosphere has been made for the geophysical conditions prevailing during experiments carried out in both the winter and summer seasons, (C) 2008 Elsevier Ltd. All rights reserved.</t>
  </si>
  <si>
    <t>[Blagoveshchenskaya, N. F.; Borisov, T. D.; Kornienko, V. A.; Kalishin, A. S.] Arctic &amp; Antarctic Res Inst, St Petersburg 199397, Russia; [Robinson, T. R.; Yeoman, T. K.; Wright, D. M.] Univ Leicester, Dept Phys &amp; Astron, Leicester LE1 7RH, Leics, England; [Baddeley, L. J.] EISCAT Sci Assoc, SE-98123 Kiruna, Sweden</t>
  </si>
  <si>
    <t>Arctic &amp; Antarctic Research Institute; University of Leicester</t>
  </si>
  <si>
    <t>Blagoveshchenskaya, NF (corresponding author), Arctic &amp; Antarctic Res Inst, 38 Bering Str, St Petersburg 199397, Russia.</t>
  </si>
  <si>
    <t>Yeoman, Timothy k/L-9105-2014; Blagoveshchenskaya, Nataly/AAE-4093-2022; Blagoveshchenskaya, Nataly F./S-4342-2017; Baddeley, Lisa/ABD-4414-2020; Borisova, Tatiana/AAK-7698-2020</t>
  </si>
  <si>
    <t>Yeoman, Timothy k/0000-0002-8434-4825; Blagoveshchenskaya, Nataly/0000-0003-1752-3273; Blagoveshchenskaya, Nataly F./0000-0003-1752-3273; Baddeley, Lisa/0000-0003-1246-0488; Borisova, Tatiana/0000-0003-1727-5310; Kalishin, Alexey/0000-0001-7299-6546</t>
  </si>
  <si>
    <t>Russian Foundation for Basic Researches [07-05-00167, 07-05-13516]; STFC [PP/E000983/1] Funding Source: UKRI; Science and Technology Facilities Council [PP/E000983/1] Funding Source: researchfish</t>
  </si>
  <si>
    <t>Russian Foundation for Basic Researches(Russian Foundation for Basic Research (RFBR)); STFC(UK Research &amp; Innovation (UKRI)Science &amp; Technology Facilities Council (STFC)); Science and Technology Facilities Council(UK Research &amp; Innovation (UKRI)Science &amp; Technology Facilities Council (STFC))</t>
  </si>
  <si>
    <t>We would like to thank the Staff of the SPEAR heating facility. SPEAR was supported by PPARC grant PP/E002544/1. The work of Russian authors is supported by the Russian Foundation for Basic Researches, Grants 07-05-00167 and 07-05-13516.</t>
  </si>
  <si>
    <t>10.1016/j.jastp.2008.09.026</t>
  </si>
  <si>
    <t>405BG</t>
  </si>
  <si>
    <t>WOS:000263196500002</t>
  </si>
  <si>
    <t>Merzlyakov, EG; Murphy, DJ; Vincent, RA; Portnyagin, YI</t>
  </si>
  <si>
    <t>Merzlyakov, E. G.; Murphy, D. J.; Vincent, R. A.; Portnyagin, Yu I.</t>
  </si>
  <si>
    <t>Long-term tendencies in the MLT prevailing winds and tides over Antarctica as observed by radars at Molodezhnaya, Mawson and Davis</t>
  </si>
  <si>
    <t>Radar wind measurements; Long-term trends; Structural changes; Antarctica</t>
  </si>
  <si>
    <t>LOWER THERMOSPHERE REGIONS; ARCTIC MESOSPHERE; MIDDLE ATMOSPHERE; PLANETARY-WAVES; MEAN WINDS; DYNAMICS; TRENDS</t>
  </si>
  <si>
    <t>Long-term tendencies in horizontal neutral wind parameters in the southern polar mesosphere/lower thermosphere are presented. The wind data analyzed were obtained from meteor and MF radars situated at Molodezhnaya (45.9 degrees E, 67.7 degrees S), Mawson (62.9 degrees E, 67.6 degrees S) and Davis (78.0 degrees E, 68.6 degrees S). The composite dataset covers years from 1970 to 2006. A Bayesian approach in the form proposed by Wang and Zivot [2000. A Bayesian time series model of multiple structural changes in level, trend and variance. Journal of Business and Economic Statistics 8, 374-386] is used for the trend assessment. This approach allows structural breaks to be identified in the trend parameters (slope, mean or variance of residuals) or demonstrates their absence. The results of our analysis have shown persistence through such structural breaks in trends of the winter and summer prevailing winds and in meridional tidal components. It is demonstrated that the wind parameters exhibit different stable states with transitions between the states. Correlations between the southern polar MLT wind and indices of atmospheric variability (Northern annular mode, Southern annular mode, Multivariate El-Ni (n) over tildeo/Southern Oscillation Index) were then considered. The results show that statistically significant correlations exist during some periods of observations that do not exist during others. (C) 2008 Elsevier Ltd. All rights reserved.</t>
  </si>
  <si>
    <t>[Merzlyakov, E. G.; Portnyagin, Yu I.] Inst Expt Meteorl, Obninsk 249038, Russia; [Murphy, D. J.] Australian Antarctic Div, Kingston, Tas, Australia; [Vincent, R. A.] Univ Adelaide, Sch Chem &amp; Phys, Adelaide, SA, Australia</t>
  </si>
  <si>
    <t>Australian Antarctic Division; University of Adelaide</t>
  </si>
  <si>
    <t>Merzlyakov, EG (corresponding author), Inst Expt Meteorl, Lenin St 82, Obninsk 249038, Russia.</t>
  </si>
  <si>
    <t>eugmer@typhoon.obninsk.ru</t>
  </si>
  <si>
    <t>Merzlyakov, E G/U-5443-2017; Vincent, Robert A/E-5450-2013</t>
  </si>
  <si>
    <t>Merzlyakov, E G/0000-0001-8344-5491; Vincent, Robert A/0000-0001-6559-6544</t>
  </si>
  <si>
    <t>Australian Antarctic Science Advisory Committee [674, 2668]; Russian Foundation for Basic Research [08-05-91950]</t>
  </si>
  <si>
    <t>Australian Antarctic Science Advisory Committee; Russian Foundation for Basic Research(Russian Foundation for Basic Research (RFBR)Spanish Government)</t>
  </si>
  <si>
    <t>We are grateful to Dr. Andrew Klekociuk for conversations that enhanced the discussion of ozone trends. The Davis MF and meteor radar operation is supported under Australian Antarctic Science Advisory Committee Projects 674 and 2668, respectively. E.G.M. and Yu.I.P. have been Supported by the Russian Foundation for Basic Research under Grant 08-05-91950.</t>
  </si>
  <si>
    <t>10.1016/j.jastp.2008.09.024</t>
  </si>
  <si>
    <t>WOS:000263196500003</t>
  </si>
  <si>
    <t>Griffiths, HJ; Barnes, DKA; Linse, K</t>
  </si>
  <si>
    <t>Griffiths, Huw J.; Barnes, David K. A.; Linse, Katrin</t>
  </si>
  <si>
    <t>Towards a generalized biogeography of the Southern Ocean benthos</t>
  </si>
  <si>
    <t>Antarctic; Bryozoa; continental shelf; continental slope; endemism; Magellanic; Mollusca; Pycnogonida; richness; zoogeography</t>
  </si>
  <si>
    <t>SPECIES RICHNESS; POLAR BRYOZOANS; NEW-CALEDONIA; BIODIVERSITY; DIVERSITY; ANTARCTICA; MOLLUSKS; FAUNA; SEA; EVOLUTION</t>
  </si>
  <si>
    <t>To investigate whether the biogeographical regions proposed by J. W. Hedgpeth and widely adopted by other authors hold true, are an oversimplification or with further data might show a unified Antarctic province. Southern Hemisphere. The distributions of 1318 species of bivalves, 4656 species of gastropods, 1465 species of cheilostome and 167 species of cyclostome bryozoans were analysed for 29 regions in the Southern Hemisphere, including South American, South African, Tasmanian, New Zealand, sub-Antarctic and Antarctic regions. We present data on species richness, rates of endemism, patterns of radiation, faunal similarities and multivariate biogeographical analyses. The most striking pattern to emerge from our data set of species counts per region was a strong east-west hemispheric asymmetry, with high species numbers in New Zealand, Tasmania and South Africa and low numbers in South America. In contrast, no difference was found in richness between the east and west parts of the Southern Ocean. We compared findings in our model taxa with published data on ascidians, cephalopods and pycnogonids. Further evidence of strong faunal links between the Antarctic and South America is reported in this study, although we found little evidence for a biogeographical relationship between the Antarctic or South America and New Zealand/Tasmania. Strong evidence exists for a long-term influence of the Antarctic Circumpolar Current upon the distribution of Southern Ocean benthos. This is demonstrated by the reduced prevalence of South American species in the Antarctic and sub-Antarctic with increasing distance from South America in the direction of the current. Three of our four study taxa (bivalves, cheilostomes and cyclostomes) show the Southern Ocean as a 'single functional unit' with no evidence for a biogeographical split between east and west. Unlike the biogeographical schemes previously proposed, we show that biogeographical regions in the Southern Ocean differ depending upon the class of animals being considered. Despite this we suggest that some general rules are viable, including species endemism rates of around 50%, a single Antarctic province and a definite distinction between the sub-Antarctic islands influenced by South America and those of New Zealand.</t>
  </si>
  <si>
    <t>[Griffiths, Huw J.; Barnes, David K. A.; Linse, Katrin] NERC, Cambridge CB3 0ET, England</t>
  </si>
  <si>
    <t>Griffiths, HJ (corresponding author), NERC, Madingley Rd, Cambridge CB3 0ET, England.</t>
  </si>
  <si>
    <t>hjg@bas.ac.uk</t>
  </si>
  <si>
    <t>Griffiths, Huw J/0000-0003-1764-223X; Linse, Katrin/0000-0003-3477-3047</t>
  </si>
  <si>
    <t>British Antarctic Survey; BIOPEARL: BIOdiversity dynamics: Phylogeography, Evolution And Radiation of Life; Natural Environment Research Council [bas010015] Funding Source: researchfish; NERC [bas010015] Funding Source: UKRI</t>
  </si>
  <si>
    <t>British Antarctic Survey; BIOPEARL: BIOdiversity dynamics: Phylogeography, Evolution And Radiation of Life; Natural Environment Research Council(UK Research &amp; Innovation (UKRI)Natural Environment Research Council (NERC)); NERC(UK Research &amp; Innovation (UKRI)Natural Environment Research Council (NERC))</t>
  </si>
  <si>
    <t>The authors would like to thank Lloyd Peck, Stefanie Kaiser, Stephen Roberts and Lucy Wilson for their constructive comments. We thank Simon J. Grove, Ron C. Kershaw, Brian J. Smith and Elizabeth Turner for providing an electronic version of their mollusc species list for Tasmania. Thanks to Phil Bock for allowing and aiding access to Australian bryozoan data bases and distribution records. This paper is a contribution to British Antarctic Survey core project, BIOPEARL: BIOdiversity dynamics: Phylogeography, Evolution And Radiation of Life.</t>
  </si>
  <si>
    <t>10.1111/j.1365-2699.2008.01979.x</t>
  </si>
  <si>
    <t>382QL</t>
  </si>
  <si>
    <t>WOS:000261620400015</t>
  </si>
  <si>
    <t>Romano, P; Feletti, M; Mariottini, GL; Pane, L</t>
  </si>
  <si>
    <t>Romano, P.; Feletti, M.; Mariottini, G. L.; Pane, L.</t>
  </si>
  <si>
    <t>Ultrastructural Evidence of Luminescent Gland Openings in Metridia gerlachei Giesbrecht, 1902 (Copepoda: Calanoida)</t>
  </si>
  <si>
    <t>JOURNAL OF BIOLOGICAL RESEARCH-BOLLETTINO DELLA SOCIETA ITALIANA DI BIOLOGIA SPERIMENTALE</t>
  </si>
  <si>
    <t>Zooplankton; Copepods; Metridia gerlachei; Antarctica; Luminescence</t>
  </si>
  <si>
    <t>The luminescence is a feature of several marine planktonic organisms, such as bacteria, algae, cnidaria, ctenophores, crustaceans and pyrosomes; in particular, a lot of pelagic crustacea have got luminescent organs (Ghirardelli, 198 1, Gruner, 1994) useful for trophic, reproductive or defense purposes. Several calanoid copepods are luminescent and possess variously distributed epidermal glands. In this paper the occurrence of luminescent gland openings in adults and copepodids of Metridia gerlachei sampled during the Italian Oceanographic Campaign in Antarctica 1987-88 in Terra Nova Bay (Ross Sea) is described by using scanning electron microscopy (SEM) techniques. The openings of cephalothorax luminescent gland has been observed and described with the aim to complete what is known about this subject (Pihiero de Verdinelli, 198 1); the occurrence of a gland opening, not previously described, has been reported. Considering the extreme characteristics of the environment in which Metridia gerlachei lives and considering also that this species seems to prefer to live in low-light waters (Carli et al., 1990, 1992a) as the constant light conditions during the Antarctic summer restrict its occurrence in surface waters, luminescent structures could have an adaptive significance both for reproduction and defence.</t>
  </si>
  <si>
    <t>[Romano, P.] Univ Genoa, Dipartimento Med Sperimentale, I-16132 Genoa, Italy; [Feletti, M.] Dipartimento Agr Protez Civile Ufficio Prod Agroa, I-16100 Genoa, Regione Liguria, Italy; [Mariottini, G. L.] Univ Genoa, Dipartimento Biol, I-16132 Genoa, Italy</t>
  </si>
  <si>
    <t>University of Genoa; University of Genoa</t>
  </si>
  <si>
    <t>Romano, P (corresponding author), Univ Genoa, Dipartimento Med Sperimentale, I-16132 Genoa, Italy.</t>
  </si>
  <si>
    <t>Italian PNRA (Programma Nazionale di Ricerche in Antartide)</t>
  </si>
  <si>
    <t>Italian PNRA (Programma Nazionale di Ricerche in Antartide)(Ministry of Education, Universities and Research (MIUR))</t>
  </si>
  <si>
    <t>This research was supported by the Italian PNRA (Programma Nazionale di Ricerche in Antartide).</t>
  </si>
  <si>
    <t>PAGEPRESS PUBL</t>
  </si>
  <si>
    <t>PAVIA</t>
  </si>
  <si>
    <t>MEDITGROUP, VIA G BELLI, 4, PAVIA, 27100, ITALY</t>
  </si>
  <si>
    <t>1826-8838</t>
  </si>
  <si>
    <t>2284-0230</t>
  </si>
  <si>
    <t>J BIOL RES-BOLL SOC</t>
  </si>
  <si>
    <t>J. Biol. Res.-Boll. Soc. Biol. Sper.</t>
  </si>
  <si>
    <t>10.4081/jbr.2009.4792</t>
  </si>
  <si>
    <t>V1O8T</t>
  </si>
  <si>
    <t>WOS:000217100200018</t>
  </si>
  <si>
    <t>Ummenhofer, CC; Sen Gupta, A; England, MH</t>
  </si>
  <si>
    <t>Ummenhofer, Caroline C.; Sen Gupta, Alexander; England, Matthew H.</t>
  </si>
  <si>
    <t>Causes of Late Twentieth-Century Trends in New Zealand Precipitation</t>
  </si>
  <si>
    <t>HEMISPHERE ATMOSPHERIC CIRCULATION; SOUTHERN ANNULAR MODE; NCEP-NCAR REANALYSIS; ANTARCTIC OSCILLATION; MEAN STATE; EXTRATROPICAL CIRCULATION; EXTENDED RECONSTRUCTION; AUSTRALIAN RAINFALL; CLIMATE; TEMPERATURE</t>
  </si>
  <si>
    <t>Late twentieth-century trends in New Zealand precipitation are examined using observations and reanalysis data for the period 1979-2006. One of the aims of this study is to investigate the link between these trends and recent changes in the large-scale atmospheric circulation in the Southern Hemisphere. The contributions from changes in Southern Hemisphere climate modes, particularly the El Nino-Southern Oscillation (ENSO) and the southern annular mode (SAM), are quantified for the austral summer season, December-February (DJF). Increasingly drier conditions over much of New Zealand can be partially explained by the SAM and ENSO. Especially over wide parts of the North Island and western regions of the South Island, the SAM potentially contributes up to 80% and 20%-50% to the overall decline in DJF precipitation, respectively. Over the North Island, the contribution of the SAM and ENSO to precipitation trends is of the same sign. In contrast, over the southwest of the South Island the two climate modes act in the opposite sense, though the effect of the SAM seems to dominate there during austral summer. The leading modes of variability in summertime precipitation over New Zealand are linked to the large-scale atmospheric circulation. The two dominant modes, explaining 64% and 9% of the overall DJF precipitation variability respectively, can be understood as local manifestations of the large-scale climate variability associated with the SAM and ENSO.</t>
  </si>
  <si>
    <t>[Ummenhofer, Caroline C.; Sen Gupta, Alexander; England, Matthew H.] Univ New S Wales, Climate Change Res Ctr, Sydney, NSW 2052, Australia</t>
  </si>
  <si>
    <t>Ummenhofer, CC (corresponding author), Univ New S Wales, Climate Change Res Ctr, Sydney, NSW 2052, Australia.</t>
  </si>
  <si>
    <t>c.ummenhofer@unsw.edu.au</t>
  </si>
  <si>
    <t>England, Matthew/A-7539-2011; Sen Gupta, Alexander/B-7995-2011</t>
  </si>
  <si>
    <t>England, Matthew/0000-0001-9696-2930; Sen Gupta, Alexander/0000-0001-5226-871X</t>
  </si>
  <si>
    <t>National Center for Atmospheric Research; National Center for Environmental Prediction; NOAA Climate Diagnostics Center; European Centre for Medium-Range Weather Forecasts; University of New South Wales under a University International Postgraduate Award; Australian Research Council</t>
  </si>
  <si>
    <t>National Center for Atmospheric Research; National Center for Environmental Prediction; NOAA Climate Diagnostics Center(National Oceanic Atmospheric Admin (NOAA) - USA); European Centre for Medium-Range Weather Forecasts; University of New South Wales under a University International Postgraduate Award; Australian Research Council(Australian Research Council)</t>
  </si>
  <si>
    <t>We thank the National Institute of Water and Atmospheric Research in New Zealand for providing the precipitation data set used in this study. Use of reanalysis data from the National Center for Atmospheric Research, jointly developed with the National Center for Environmental Prediction and provided through the NOAA Climate Diagnostics Center (http://www.cdc.noaa.gov), and the ERA-40 data by the European Centre for Medium-Range Weather Forecasts is gratefully acknowledged. We are grateful to Andrea Taschetto for help with some of the statistical analyses employed. The comments of three anonymous reviewers helped improve the original manuscript. CCU and ASG were supported by the University of New South Wales under a University International Postgraduate Award, and MHE was supported by the Australian Research Council.</t>
  </si>
  <si>
    <t>10.1175/2008JCLI2323.1</t>
  </si>
  <si>
    <t>392VA</t>
  </si>
  <si>
    <t>WOS:000262329100001</t>
  </si>
  <si>
    <t>Shukor, MY; Hassan, NAA; Jusoh, AZ; Perumal, N; Shamaan, NA; MacCormack, WP; Syed, MA</t>
  </si>
  <si>
    <t>Shukor, M. Y.; Hassan, N. A. A.; Jusoh, A. Z.; Perumal, N.; Shamaan, N. A.; MacCormack, W. P.; Syed, M. A.</t>
  </si>
  <si>
    <t>Isolation and characterization of a Pseudomonas diesel-degrading strain from Antarctica</t>
  </si>
  <si>
    <t>JOURNAL OF ENVIRONMENTAL BIOLOGY</t>
  </si>
  <si>
    <t>Pseudomonas; Diesel degradation; Antarctica</t>
  </si>
  <si>
    <t>KING-GEORGE-ISLAND; PETROLEUM-HYDROCARBONS; ARCTOWSKI-STATION; N-HEXADECANE; OIL; BIODEGRADATION; BACTERIA; SOIL; DEGRADATION; BIOREMEDIATION</t>
  </si>
  <si>
    <t>A diesel-degrading bacterium from Antarctica has been isolated. The isolate was tentatively identified as Pseudomonas sp. strain DRYJ3 based on partial 16S rDNA molecular phylogeny and Biolog (R) GN microplate panels and Microlog (R) database. Growth on diesel was supported optimally by ammonium sulphate, nitrate and nitrite. The bacterium grew optimally in between 10 and 15 degrees C pH 7.0 and 3.5% (v/v) diesel. The biodegradation of diesel oil by the strain increased in efficiency from the second to the sixth day of incubation from 1.4 to 18.8% before levelling off on the eighth day n-alkane oxidizing and aldehyde reductase activities were detected in the crude enzyme preparation suggesting the existence of terminal n-alkane oxidizing activity in this bacterium.</t>
  </si>
  <si>
    <t>[Shukor, M. Y.; Hassan, N. A. A.; Perumal, N.; Shamaan, N. A.; Syed, M. A.] Univ Putra Malaysia, Fac Biotechnol &amp; Biomol Sci, Dept Biochem, Serdang 43400, Selangor, Malaysia; [Jusoh, A. Z.] Food Technol Res Ctr, Malaysian Agr &amp; Res Dev Inst, Kuala Lumpur 50774, Malaysia; [MacCormack, W. P.] Inst Antartico Argentino, RA-1010 Buenos Aires, DF, Argentina</t>
  </si>
  <si>
    <t>Universiti Putra Malaysia; Institute Penyelidikan Dan Kemajuan Pertanian; Instituto Antartico Argentino</t>
  </si>
  <si>
    <t>Shukor, MY (corresponding author), Univ Putra Malaysia, Fac Biotechnol &amp; Biomol Sci, Dept Biochem, Serdang 43400, Selangor, Malaysia.</t>
  </si>
  <si>
    <t>yunus@biotech.upm.edu.my</t>
  </si>
  <si>
    <t>shukor, yunus/AAB-7087-2020</t>
  </si>
  <si>
    <t>shukor, yunus/0000-0002-6150-2114; Mac Cormack, Walter/0000-0002-5280-5463</t>
  </si>
  <si>
    <t>Ministry of Science, Technology and Innovation (MOSTI); Academy Science of Malaysia (ASM)</t>
  </si>
  <si>
    <t>Ministry of Science, Technology and Innovation (MOSTI)(Ministry of Energy, Science, Technology, Environment and Climate Change (MESTECC), Malaysia); Academy Science of Malaysia (ASM)</t>
  </si>
  <si>
    <t>This paper is dedicated to late Mr. Omar Pozan and Assoc. Prof Dr. Zainol Abidin Abdul Rashid, both members of the Malaysian Antarctic Research Programme (MARP). This work was supported by the research grants from Ministry of Science, Technology and Innovation (MOSTI) and Academy Science of Malaysia (ASM). We thank The Argentinean Institute of Antarctica (IAA) for providing logistics support during the expedition to Antarctica.</t>
  </si>
  <si>
    <t>TRIVENI ENTERPRISES</t>
  </si>
  <si>
    <t>LUCKNOW</t>
  </si>
  <si>
    <t>C/O KIRAN DALELA, 1/206 VIKAS NAGAR, KURSI RD, LUCKNOW 226 022, INDIA</t>
  </si>
  <si>
    <t>0254-8704</t>
  </si>
  <si>
    <t>J ENVIRON BIOL</t>
  </si>
  <si>
    <t>J.Environ.Biol.</t>
  </si>
  <si>
    <t>398BS</t>
  </si>
  <si>
    <t>WOS:000262706900001</t>
  </si>
  <si>
    <t>Shukor, MY; Gusmanizar, N; Ramli, J; Shamaan, NA; MacCormack, WP; Syed, MA</t>
  </si>
  <si>
    <t>Shukor, M. Y.; Gusmanizar, N.; Ramli, J.; Shamaan, N. A.; MacCormack, W. P.; Syed, M. A.</t>
  </si>
  <si>
    <t>Isolation and characterization of an acrylamide-degrading Antarctic bacterium</t>
  </si>
  <si>
    <t>Acrylamide; Biodegradation; Pseudomonas sp.; Antarctica</t>
  </si>
  <si>
    <t>PSEUDOMONAS-AERUGINOSA; IMMOBILIZED CELLS; RHODOCOCCUS SP; AMIDASE; PURIFICATION; DEGRADATION; WATER; BIODEGRADATION; PH; PIPERAZINE-2-TERT-BUTYLCARBOXAMIDE</t>
  </si>
  <si>
    <t>The presence of acrylamide in the environment poses a threat due to its well known neurotoxic, carcinogenic and teratogenic properties. Human activities in various geographical areas are the main anthropogenic source of acrylamide pollution. In this work, an acrylamide-degrading bacterium was isolated from Antarctic soil. The physiological characteristics and optimum growth conditions of the acrylamide-degrading bacteria were investigated. The isolate was tentatively identified as Pseudomonas sp. strain DRYJ7 based on carbon utilization profiles using Biolog GN plates and partial 16S rDNA molecular phylogeny The results showed that the best carbon sources for growth was glucose and sucrose with no significant difference in terms of cellular growth between the two carbon sources (p&gt;0.05). This was followed by fructose and maltose with fructose giving significantly higher cellular growth compared to maltose (p&lt;0.05). Lactose and citric acid did not support growth. The optimum acrylamide concentration as a nitrogen source for cellular growth was at 500 mgl(-1). At this concentration, bacterial growth showed a 2-day lag phase before degradation took place concomitant with an increase in cellular growth. The isolate exhibited optimum growth in between pH 7.5 and 8.5. The effect of incubation temperature on the growth of this isolate showed an optimum growth at 15 degrees C. The characteristics of this isolate suggest that it would be useful in the bioremediation of acrylamide.</t>
  </si>
  <si>
    <t>[Shukor, M. Y.; Ramli, J.; Shamaan, N. A.; Syed, M. A.] Univ Putra Malaysia, Fac Biotechnol &amp; Biomol Sci, Dept Biochem, Serdang 43400, Selangor, Malaysia; [Gusmanizar, N.] Andalas Univ, Fac Anim Husb, Padang, Indonesia; [MacCormack, W. P.] Inst Antartico Argentino, RA-1010 Buenos Aires, DF, Argentina</t>
  </si>
  <si>
    <t>Universiti Putra Malaysia; Universitas Andalas; Instituto Antartico Argentino</t>
  </si>
  <si>
    <t>Ministry of Science, Technology and Innovation (MOSTI); Academy Science of Malaysia (ASM); Institute of Antarctica (IAA)</t>
  </si>
  <si>
    <t>Ministry of Science, Technology and Innovation (MOSTI)(Ministry of Energy, Science, Technology, Environment and Climate Change (MESTECC), Malaysia); Academy Science of Malaysia (ASM); Institute of Antarctica (IAA)</t>
  </si>
  <si>
    <t>This paper is dedicated to the late Mr Omar Pozan and Associate Prof. Dr. Zainol Abidin Abdul Rashid, both members of the Malaysian Antarctic Research Programme (MARP). This work was supported by the research grants from the Ministry of Science, Technology and Innovation (MOSTI) and Academy Science of Malaysia (ASM). We thank The Argentinean Institute of Antarctica (IAA) for providing logistics supportcluring the expedition toAntarctica.</t>
  </si>
  <si>
    <t>WOS:000262706900017</t>
  </si>
  <si>
    <t>Zhu, RB; Liu, YS; Sun, HJ; Sun, LG; Geng, JJ</t>
  </si>
  <si>
    <t>Zhu Renbin; Liu Yashu; Sun Hanjun; Sun Liguang; Geng Jinju</t>
  </si>
  <si>
    <t>Stimulation of gaseous phosphine production from Antarctic seabird guanos and ornithogenic soils</t>
  </si>
  <si>
    <t>JOURNAL OF ENVIRONMENTAL SCIENCES</t>
  </si>
  <si>
    <t>phosphine; matrix-bound phosphine; ornithogenic soil; Antarctica; penguin guano</t>
  </si>
  <si>
    <t>MATRIX-BOUND PHOSPHINE; METHANE</t>
  </si>
  <si>
    <t>Matrix-bound phosphine (MBP) is a general term used to indicate non-gaseous reduced phosphorus compounds that are transformed into phosphine gas upon reaction with bases or acids. Antarctic seabird guanos and ornithogenic soils were used as materials to compare the different digestion methods for transforming matrix-bound phosphine into phosphine gas. The results demonstrated that more phosphine gas in most of Antarctic environmental materials was formed of matrix-bound phosphine by caustic digestion than by acidic digestion. The comparative study on different digestion methods also revealed that the fraction of MBP converted to gaseous phosphine during the digestion depended on the temperature. The optimal digestion temperature was close to 70 degrees C and the optimal digestion time was about 20 min. Acidic conditions were more favorable for the release of matrix-bound phosphine compared to the neutral conditions. A proper water dilution can increase the production and emission of phosphine from the Antarctic penguin guanos.</t>
  </si>
  <si>
    <t>[Zhu Renbin; Liu Yashu; Sun Hanjun; Sun Liguang] Univ Sci &amp; Technol China, Inst Polar Environm, Hefei 230026, Peoples R China; [Geng Jinju] Nanjing Univ, State Key Lab Pollut Control &amp; Resource Reuse, Nanjing 210093, Peoples R China</t>
  </si>
  <si>
    <t>Chinese Academy of Sciences; University of Science &amp; Technology of China, CAS; Nanjing University</t>
  </si>
  <si>
    <t>Zhu, RB (corresponding author), Univ Sci &amp; Technol China, Inst Polar Environm, Hefei 230026, Peoples R China.</t>
  </si>
  <si>
    <t>National Natural Science Foundation of China [40676005]</t>
  </si>
  <si>
    <t>National Natural Science Foundation of China(National Natural Science Foundation of China (NSFC))</t>
  </si>
  <si>
    <t>This work was supported by the National Natural Science Foundation of China (No. 40676005). We thank Polar Office of National Ocean Bureau of China and the members of the 22nd Chinese Antarctic Research Expedition for their support. Kong Deming took part in the part laboratory experiments.</t>
  </si>
  <si>
    <t>1001-0742</t>
  </si>
  <si>
    <t>1878-7320</t>
  </si>
  <si>
    <t>J ENVIRON SCI</t>
  </si>
  <si>
    <t>J. Environ. Sci.</t>
  </si>
  <si>
    <t>10.1016/S1001-0742(08)62243-3</t>
  </si>
  <si>
    <t>408LF</t>
  </si>
  <si>
    <t>WOS:000263435800003</t>
  </si>
  <si>
    <t>Podrabsky, JE</t>
  </si>
  <si>
    <t>Podrabsky, Jason E.</t>
  </si>
  <si>
    <t>GENE DUPLICATION UNDERLIES COLD ADAPTATION IN ANTARCTIC FISH</t>
  </si>
  <si>
    <t>Portland State Univ, Portland, OR 97207 USA</t>
  </si>
  <si>
    <t>Portland State University</t>
  </si>
  <si>
    <t>Podrabsky, JE (corresponding author), Portland State Univ, Portland, OR 97207 USA.</t>
  </si>
  <si>
    <t>jpod@pdx.edu</t>
  </si>
  <si>
    <t>Podrabsky, Jason/0000-0003-1411-8547</t>
  </si>
  <si>
    <t>COMPANY BIOLOGISTS LTD</t>
  </si>
  <si>
    <t>BIDDER BUILDING, STATION RD, HISTON, CAMBRIDGE CB24 9LF, ENGLAND</t>
  </si>
  <si>
    <t>1477-9145</t>
  </si>
  <si>
    <t>V</t>
  </si>
  <si>
    <t>VI</t>
  </si>
  <si>
    <t>10.1242/jeb.021493</t>
  </si>
  <si>
    <t>384RX</t>
  </si>
  <si>
    <t>WOS:000261763000007</t>
  </si>
  <si>
    <t>Genceli, FE; Horikawa, S; Iizuka, Y; Sakurai, T; Hondoh, T; Kawamura, T; Witkamp, GJ</t>
  </si>
  <si>
    <t>Genceli, F. Elif; Horikawa, Shinichirou; Iizuka, Yoshinori; Sakurai, Toshimitsu; Hondoh, Takeo; Kawamura, Toshiyuki; Witkamp, Geert-Jan</t>
  </si>
  <si>
    <t>Meridianiite detected in ice</t>
  </si>
  <si>
    <t>JOURNAL OF GLACIOLOGY</t>
  </si>
  <si>
    <t>POLAR ICE; SOLUBLE IMPURITIES; CORE; CLIMATE; ANTARCTICA; MARS</t>
  </si>
  <si>
    <t>Inclusions affect the behavior of ice, and their characteristics help us understand the formation history of the ice. Recently, a low-temperature magnesium sulfate salt was discovered. This paper describes this naturally occurring MgSO4 center dot 11H(2)O mineral, meridianiite, derived from salt inclusions in sea ice of Lake Saroma, Japan and in Antarctic continental core ice. Its occurrence is confirmed by using micro-Raman spectroscopy to compare Raman spectra of synthetic MgSO4 center dot 11H(2)O with those of the inclusions.</t>
  </si>
  <si>
    <t>[Genceli, F. Elif; Witkamp, Geert-Jan] Delft Univ Technol, Proc Equipment Sect, NL-2628 CA Delft, Netherlands; [Horikawa, Shinichirou; Iizuka, Yoshinori; Sakurai, Toshimitsu; Hondoh, Takeo; Kawamura, Toshiyuki] Hokkaido Univ, Inst Low Temp Sci, Sapporo, Hokkaido 0600819, Japan</t>
  </si>
  <si>
    <t>Delft University of Technology; Hokkaido University</t>
  </si>
  <si>
    <t>Genceli, FE (corresponding author), Delft Univ Technol, Proc Equipment Sect, Leeghwaterstr 44, NL-2628 CA Delft, Netherlands.</t>
  </si>
  <si>
    <t>e.genceli@hotmail.com</t>
  </si>
  <si>
    <t>Guner, Fatma Elif Genceli/A-3795-2014; HONDOH, Takeo/E-7551-2011; Iizuka, Yoshinori/D-9112-2012</t>
  </si>
  <si>
    <t>Guner, Fatma Elif Genceli/0000-0001-6201-6719; Witkamp, Geert-Jan/0000-0002-4394-9713; HONDOH, Takeo/0000-0003-4129-022X; Sakurai, Toshimitsu/0000-0002-9943-361X; Iizuka, Yoshinori/0000-0001-7241-6062</t>
  </si>
  <si>
    <t>0022-1430</t>
  </si>
  <si>
    <t>1727-5652</t>
  </si>
  <si>
    <t>J GLACIOL</t>
  </si>
  <si>
    <t>J. Glaciol.</t>
  </si>
  <si>
    <t>10.3189/002214309788608921</t>
  </si>
  <si>
    <t>469RP</t>
  </si>
  <si>
    <t>WOS:000267918200011</t>
  </si>
  <si>
    <t>Wuite, J; Jezek, KC</t>
  </si>
  <si>
    <t>Wuite, J.; Jezek, K. C.</t>
  </si>
  <si>
    <t>Evidence of past fluctuations on Stancomb-Wills Ice Tongue, Antarctica, preserved by relict flow stripes</t>
  </si>
  <si>
    <t>MASS-BALANCE; SURFACE VELOCITY; SHELF; STREAM</t>
  </si>
  <si>
    <t>This paper presents a newly derived velocity field of the Brunt Ice Shelf and Stancomb-Wills Ice Tongue in East Antarctica. Velocity is derived using automated feature-tracking techniques on RADARSAT-1 imagery from the 1997 Antarctic Mapping Mission-1 (AMM-1) and 2000 Modified Antarctic Mapping Mission (MAMM). We measure velocities up to 1350 m a(-1) at the ice front. Closer investigation of the velocity field and radar images reveals an obvious divergence of contemporary flowlines from relict flow stripes along a portion of Stancomb-Wills Ice Tongue. Analysis of relict flow stripes can reveal glacial events in the past. Assuming relatively steady flow since the event occurred, we utilize the current velocity field to reconstruct former stripe configuration. We believe the flowline deviation points to a change in dynamics that occurred approximately 140 years ago, perhaps due to thinning and an associated shift in grounding-line position. This seems to be supported by historic observations and bottom topography data.</t>
  </si>
  <si>
    <t>[Wuite, J.; Jezek, K. C.] Ohio State Univ, Byrd Polar Res Ctr, Columbus, OH 43210 USA</t>
  </si>
  <si>
    <t>University System of Ohio; Ohio State University</t>
  </si>
  <si>
    <t>Wuite, J (corresponding author), Univ Luxembourg, Fac Sci Technol &amp; Commun, 6 Rue Richard Coudenhove Kalergi, L-1359 Luxembourg, Luxembourg.</t>
  </si>
  <si>
    <t>jan.wuite@uni.lu</t>
  </si>
  <si>
    <t>Wuite, Jan/0000-0001-9333-1586</t>
  </si>
  <si>
    <t>NASA's Polar Oceans; Ice Sheets Program; NASA Headquarters under the Earth System Science Fellowship [NGT5-30533]</t>
  </si>
  <si>
    <t>NASA's Polar Oceans; Ice Sheets Program; NASA Headquarters under the Earth System Science Fellowship(National Aeronautics &amp; Space Administration (NASA))</t>
  </si>
  <si>
    <t>This work was supported by a grant from NASA's Polar Oceans and Ice Sheets Program and by NASA Headquarters under the Earth System Science Fellowship Grant NGT5-30533.</t>
  </si>
  <si>
    <t>10.3189/002214309788608732</t>
  </si>
  <si>
    <t>544RK</t>
  </si>
  <si>
    <t>WOS:000273676500005</t>
  </si>
  <si>
    <t>Joughin, I; Tulaczyk, S; Bamber, JL; Blankenship, D; Holt, JW; Scambos, T; Vaughan, DG</t>
  </si>
  <si>
    <t>Joughin, Ian; Tulaczyk, Slawek; Bamber, Jonathan L.; Blankenship, Don; Holt, John W.; Scambos, Ted; Vaughan, David G.</t>
  </si>
  <si>
    <t>Basal conditions for Pine Island and Thwaites Glaciers, West Antarctica, determined using satellite and airborne data</t>
  </si>
  <si>
    <t>ICE STREAM-B; SURFACE TEMPERATURES; SHEAR-STRESS; FLOW; BENEATH; SHEET; VELOCITY; BALANCE; SHELF; VARIABILITY</t>
  </si>
  <si>
    <t>We use models constrained by remotely sensed data from Pine Island and Thwaites Glaciers, West Antarctica, to infer basal properties that are difficult to observe directly. The results indicate strong basal melting in areas upstream of the grounding lines of both glaciers, where the ice flow is fast and the basal shear stress is large. Farther inland, we find that both glaciers have 'mixed' bed conditions, with extensive areas of both bedrock and weak till. In particular, there are weak areas along much of Pine Island Glacier's main trunk that could prove unstable if it retreats past the band of strong bed just above its current grounding line. in agreement with earlier studies, our forward ice-stream model shows a strong sensitivity to small perturbations in the grounding line position. These results also reveal a large sensitivity to the assumed bed (sliding or deforming) model, with non-linear sliding laws producing substantially greater dynamic response than earlier simulations that assume a linear-viscous till rheology. Finally, comparison indicates that our results using a plastic bed are compatible with the limited observational constraints and theoretical work that suggests an upper bound exists on maximum basal shear stress.</t>
  </si>
  <si>
    <t>[Joughin, Ian] Univ Washington, Appl Phys Lab, Polar Sci Ctr, Seattle, WA 98105 USA; [Tulaczyk, Slawek] Univ Calif Santa Cruz, Dept Earth Sci, Santa Cruz, CA 95064 USA; [Bamber, Jonathan L.] Univ Bristol, Sch Geog Sci, Ctr Polar Observat &amp; Modelling, Bristol BS8 1SS, Avon, England; [Blankenship, Don; Holt, John W.] Univ Texas Austin, Jackson Sch Geosci, Austin, TX 78758 USA; [Scambos, Ted] Univ Colorado, CIRES, Natl Snow &amp; Ice Data Ctr, Boulder, CO 80309 USA; [Vaughan, David G.] British Antarctic Survey, NERC, Cambridge CB3 0ET, England</t>
  </si>
  <si>
    <t>University of Washington; University of Washington Seattle; University of California System; University of California Santa Cruz; University of Bristol; University of Texas System; University of Texas Austin; University of Colorado System; University of Colorado Boulder; UK Research &amp; Innovation (UKRI); Natural Environment Research Council (NERC); NERC British Antarctic Survey</t>
  </si>
  <si>
    <t>Joughin, I (corresponding author), Univ Washington, Appl Phys Lab, Polar Sci Ctr, 1013 NE 40th St, Seattle, WA 98105 USA.</t>
  </si>
  <si>
    <t>ian@apl.washington.edu</t>
  </si>
  <si>
    <t>Blankenship, Donald D./G-5935-2010; Holt, John W/C-4896-2009; Vaughan, David/C-8348-2011; Bamber, Jonathan/C-7608-2011; Scambos, Ted A/B-1856-2009; Joughin, Ian R/A-2998-2008; Joughin, Ian/AAR-7778-2021; Tulaczyk, Slawek/O-7375-2018</t>
  </si>
  <si>
    <t>Bamber, Jonathan/0000-0002-2280-2819; Joughin, Ian R/0000-0001-6229-679X; Joughin, Ian/0000-0001-6229-679X; Vaughan, David/0000-0002-9065-0570; Tulaczyk, Slawek/0000-0002-9711-4332; SCAMBOS, Ted A./0000-0003-4268-6322</t>
  </si>
  <si>
    <t>NASA [NNG05G009G, NNG06GG25G]; NERC [bas0100027] Funding Source: UKRI; Natural Environment Research Council [bas0100027] Funding Source: researchfish</t>
  </si>
  <si>
    <t>NASA(National Aeronautics &amp; Space Administration (NASA)); NERC(UK Research &amp; Innovation (UKRI)Natural Environment Research Council (NERC)); Natural Environment Research Council(UK Research &amp; Innovation (UKRI)Natural Environment Research Council (NERC))</t>
  </si>
  <si>
    <t>NASA grants NNG05G009G and NNG06GG25G supported I.J.'s contribution. We acknowledge D.R. MacAyeal's generous support in providing early versions of ice-stream and inverse model code and his subsequent guidance. Comments by M. Maki, S. Price and two anonymous reviewers resulted in substantial improvement in the final manuscript.</t>
  </si>
  <si>
    <t>10.3189/002214309788608705</t>
  </si>
  <si>
    <t>WOS:000273676500006</t>
  </si>
  <si>
    <t>Gudmundsson, GH; Jenkins, A</t>
  </si>
  <si>
    <t>Gudmundsson, G. H.; Jenkins, A.</t>
  </si>
  <si>
    <t>Ice-flow velocities on Rutford Ice Stream, West Antarctica, are stable over decadal timescales</t>
  </si>
  <si>
    <t>RADAR INTERFEROMETRY; GPS DATA; SURFACE; SHELF</t>
  </si>
  <si>
    <t>Surface ice-flow velocities measured at stakes on Rutford Ice Stream, West Antarctica, covering a period of similar to 25 years are analysed for evidence of temporal variations in flow. No indications of significant long-term changes in flow are found. Earlier observations have shown significant tidally related variations in flow speed. We conclude that temporal variability on Rutford Ice Stream, West Antarctica, appears limited to tidal periods of days and weeks, and weaker interannual variation, possibly related to long-period tides or seasonal effects, while long-term (decadal) changes in flow speed are either absent or smaller than similar to 0.1 % a(-1).</t>
  </si>
  <si>
    <t>[Gudmundsson, G. H.; Jenkins, A.] British Antarctic Survey, NERC, Cambridge CB3 0ET, England</t>
  </si>
  <si>
    <t>Gudmundsson, GH (corresponding author), British Antarctic Survey, NERC, Madingley Rd, Cambridge CB3 0ET, England.</t>
  </si>
  <si>
    <t>h.gudmundsson@bas.ac.uk</t>
  </si>
  <si>
    <t>Gudmundsson, Gudmundur Hilmar/F-6499-2012; Jenkins, Adrian/IUN-2406-2023; Gudmundsson, Gudmundur Hilmar/AAU-5987-2020; Facility, NERC Geophysical Equipment/G-5260-2010</t>
  </si>
  <si>
    <t>Gudmundsson, Gudmundur Hilmar/0000-0003-4236-5369; Gudmundsson, Gudmundur Hilmar/0000-0003-4236-5369; Jenkins, Adrian/0000-0002-9117-0616</t>
  </si>
  <si>
    <t>UK Natural Environment Research Council (NERC) Global Environment Facility (GEF) [711, 785]; Natural Environment Research Council [bas0100027, GEF010002] Funding Source: researchfish; NERC [GEF010002, bas0100027] Funding Source: UKRI</t>
  </si>
  <si>
    <t>UK Natural Environment Research Council (NERC) Global Environment Facility (GEF)(UK Research &amp; Innovation (UKRI)Natural Environment Research Council (NERC)); Natural Environment Research Council(UK Research &amp; Innovation (UKRI)Natural Environment Research Council (NERC)); NERC(UK Research &amp; Innovation (UKRI)Natural Environment Research Council (NERC))</t>
  </si>
  <si>
    <t>We thank D. Routledge, D. Cameron and R. Marchant for their help in collecting the data. D. Vaughan, M. King and three anonymous reviewers made valuable comments that significantly improved an earlier version of the manuscript. This study was supported by the UK Natural Environment Research Council (NERC) Global Environment Facility (GEF) grant Nos. 711 and 785.</t>
  </si>
  <si>
    <t>10.3189/002214309788608697</t>
  </si>
  <si>
    <t>WOS:000273676500013</t>
  </si>
  <si>
    <t>Mager, S; Fitzsimons, S; Frew, R; Samyn, D; Lorrain, R</t>
  </si>
  <si>
    <t>Mager, Sarah; Fitzsimons, Sean; Frew, Russell; Samyn, Denis; Lorrain, Reginald</t>
  </si>
  <si>
    <t>Composition and origin of amber ice and its influence on the behaviour of cold glaciers in the McMurdo Dry Valleys, Antarctica</t>
  </si>
  <si>
    <t>BASAL ICE; VICTORIA-LAND; ISOTOPIC COMPOSITION; FACIES; WATER; DEFORMATION; ONLINE</t>
  </si>
  <si>
    <t>This paper examines the basal ice sequence of Rhone Glacier, a cold-based glacier in the McMurdo Dry Valleys, Antarctica, using isotopic and solute chemistry data. Three different ice facies are identified: englacial, amber and stratified. The englacial facies is clean, bubbly ice of meteoric origin and is underlain by an amber facies. Amber ice is a characteristic of cold alpine glaciers in the McMurdo Dry Valleys and is distinctive for its high solute concentrations and much higher strain rates compared with the overlying englacial ice and the underlying stratified ice. Analysis of the stratified facies reveals an isotopic signature indicative of melt then refreeze processes and it is most likely associated with apron entrainment at the margin. By contrast, the amber facies has a co-isotopic slope of 8 and plots on a meteoric waterline. The inclusion of impurities in the amber ice reveals prolonged contact with the bed, and its depleted isotopic signature is consistent with ice formed during a cooler period. Comparison of the basal sequence of Rhone Glacier with other cold-based glaciers in the McMurdo Dry Valleys reveals strong similarities between valley-side glaciers (e.g. Meserve and Rhone Glaciers), whereas valley-floor glacier basal sequences (e.g. Suess Glacier) are characterized by structurally complex amalgamations of ice and debris.</t>
  </si>
  <si>
    <t>[Mager, Sarah; Fitzsimons, Sean] Univ Otago, Dept Geog, Dunedin, New Zealand; [Frew, Russell] Univ Otago, Dept Chem, Dunedin, New Zealand; [Samyn, Denis; Lorrain, Reginald] Univ Libre Bruxelles, Lab Glaciol, B-1050 Brussels, Belgium</t>
  </si>
  <si>
    <t>University of Otago; University of Otago; Universite Libre de Bruxelles</t>
  </si>
  <si>
    <t>Mager, S (corresponding author), Univ Otago, Dept Geog, POB 56, Dunedin, New Zealand.</t>
  </si>
  <si>
    <t>smm@geography.otago.ac.nz</t>
  </si>
  <si>
    <t>Frew, Russell/I-5591-2012; Mager, Sarah/B-9723-2009; Frew, Russell/HDN-6138-2022</t>
  </si>
  <si>
    <t>Frew, Russell/0000-0002-6138-2116; Mager, Sarah/0000-0001-6610-5874;</t>
  </si>
  <si>
    <t>Marsden Fund; University of Otago; Antarctica New Zealand; Belgian Antarctic programme (Science Policy Office)</t>
  </si>
  <si>
    <t>Marsden Fund(Royal Society of New ZealandMarsden Fund (NZ)); University of Otago; Antarctica New Zealand; Belgian Antarctic programme (Science Policy Office)</t>
  </si>
  <si>
    <t>We thank the Marsden Fund and the University of Otago for financial support, and Antarctica New Zealand for logistical support. S. Mager acknowledges the support of a scholarship from Antarctica New Zealand. D. Samyn and R. Lorrain are indebted to the Belgian Antarctic programme (Science Policy Office) for financial support. We also thank K. Cuffey, P. Holland, E. Evans and an anonymous reviewer for substantial comments on the manuscript.</t>
  </si>
  <si>
    <t>10.3189/002214309788608688</t>
  </si>
  <si>
    <t>WOS:000273676500016</t>
  </si>
  <si>
    <t>Glasser, NF; Kulessa, B; Luckman, A; Jansen, D; King, EC; Sammonds, PR; Scambos, TA; Jezek, KC</t>
  </si>
  <si>
    <t>Glasser, N. F.; Kulessa, B.; Luckman, A.; Jansen, D.; King, E. C.; Sammonds, P. R.; Scambos, T. A.; Jezek, K. C.</t>
  </si>
  <si>
    <t>Surface structure and stability of the Larsen C ice shelf, Antarctic Peninsula</t>
  </si>
  <si>
    <t>BREAK-UP; DISINTEGRATION; PROPAGATION; RETREAT; BENEATH; CREVASSES; FOLIATION; COLLAPSE; FEATURES; FRACTURE</t>
  </si>
  <si>
    <t>A structural glaciological description and analysis of surface morphological features of the Larsen C ice shelf, Antarctic Peninsula, is derived from satellite images spanning the period 1963-2007. The data are evaluated in two time ranges: a comparison of a 1963 satellite image photomosaic with a modern digital mosaic compiled using 2003/04 austral summer data; and an image series since 2003 showing recent evolution of the shelf. We map the ice-shelf edge, rift swarms, crevasses and crevasse traces, and linear longitudinal structures (called 'flow stripes' or 'streak lines'). The latter are observed to be continuous over distances of up to 200km from the grounding line to the ice-shelf edge, with little evidence of changes in pattern over that distance. Integrated velocity measurements along a flowline indicate that the shelf has been stable for similar to 560years in the mid-shelf area. Linear longitudinal features may be grouped into 12 units, each related to one or a small group of outlet feeder glaciers to the shelf. We observe that the boundaries between these flow units often mark rift terminations. The boundary zones originate upstream at capes, islands or other suture areas between outlet glaciers. In agreement with previous work, our findings imply that rift terminations within such suture zones indicate that they contain anomalously soft ice. We thus suggest that suture zones within the Larsen C ice shelf, and perhaps within ice shelves more generally, may act to stabilize them by reducing regional stress intensities and thus rates of rift lengthening.</t>
  </si>
  <si>
    <t>[Glasser, N. F.] Aberystwyth Univ, Inst Geog &amp; Earth Sci, Ctr Glaciol, Aberystwyth SY23 3DB, Dyfed, Wales; [Kulessa, B.; Luckman, A.; Jansen, D.] Swansea Univ, Sch Environm &amp; Soc, Swansea SA2 8PP, W Glam, Wales; [King, E. C.] British Antarctic Survey, NERC, Cambridge CB3 0ET, England; [Sammonds, P. R.] UCL, Dept Earth Sci, London WC1E 6BT, England; [Scambos, T. A.] Univ Colorado, Natl Snow &amp; Ice Data Ctr, CIRES, Boulder, CO 80309 USA; [Jezek, K. C.] Ohio State Univ, Byrd Polar Res Ctr, Columbus, OH 43210 USA</t>
  </si>
  <si>
    <t>Aberystwyth University; Swansea University; UK Research &amp; Innovation (UKRI); Natural Environment Research Council (NERC); NERC British Antarctic Survey; University of London; University College London; University of Colorado System; University of Colorado Boulder; University System of Ohio; Ohio State University</t>
  </si>
  <si>
    <t>Glasser, NF (corresponding author), Aberystwyth Univ, Inst Geog &amp; Earth Sci, Ctr Glaciol, Aberystwyth SY23 3DB, Dyfed, Wales.</t>
  </si>
  <si>
    <t>nfg@aber.ac.uk</t>
  </si>
  <si>
    <t>Scambos, Ted A/B-1856-2009; Luckman, Adrian/GVS-1716-2022; Jansen, Daniela/AAG-2773-2019; Glasser, Neil F/C-1971-2012</t>
  </si>
  <si>
    <t>Jansen, Daniela/0000-0002-4412-5820; Glasser, Neil/0000-0002-8245-2670; SCAMBOS, Ted A./0000-0003-4268-6322; Kulessa, Bernd/0000-0002-4830-4949; Luckman, Adrian/0000-0002-9618-5905</t>
  </si>
  <si>
    <t>US-UK Fulbright Commission; CRES (Cooperative Institute for Research in Environmental Sciences); NERC [NE/E012914/1, NE/E013414/1] Funding Source: UKRI</t>
  </si>
  <si>
    <t>US-UK Fulbright Commission; CRES (Cooperative Institute for Research in Environmental Sciences); NERC(UK Research &amp; Innovation (UKRI)Natural Environment Research Council (NERC))</t>
  </si>
  <si>
    <t>N.F.G. acknowledges support from the US-UK Fulbright Commission as a Fulbright Distinguished Scholar, and also support from a CRES (Cooperative Institute for Research in Environmental Sciences) Fellowship in Boulder, Colorado. We acknowledge constructive reviews from two anonymous referees.</t>
  </si>
  <si>
    <t>10.3189/002214309788816597</t>
  </si>
  <si>
    <t>483CP</t>
  </si>
  <si>
    <t>WOS:000268939900002</t>
  </si>
  <si>
    <t>Ahn, JH; Brook, EJ; Howell, K</t>
  </si>
  <si>
    <t>Ahn, Jinho; Brook, Edward J.; Howell, Kate</t>
  </si>
  <si>
    <t>A high-precision method for measurement of paleoatmospheric CO2 in small polar ice samples</t>
  </si>
  <si>
    <t>CARBON-DIOXIDE CONCENTRATION; ATMOSPHERIC CO2; TAYLOR DOME; SIPLE DOME; CLIMATE-CHANGE; KYR BP; CORE; AIR; ANTARCTICA; RECORD</t>
  </si>
  <si>
    <t>We describe a high-precision method, now in use in our laboratory, for measuring the CO2 mixing ratio of ancient air trapped in polar ice cores. Occluded air in ice samples weighing similar to 8-15 g is liberated by crushing with steel pins at -35 degrees C and trapped at -263 degrees C in a cryogenic cold trap. CO2 in the extracted air is analyzed using gas chromatography. Replicate measurements for several samples of high-quality ice from the Siple Dome and Taylor Dome Antarctic ice cores have pooled standard deviations of &lt;0.9 ppm. This high-precision technique is directly applicable to high-temporal-resolution studies for detection of small CO2 variations, for example CO2 variations of a few parts per million on millennial to decadal scales.</t>
  </si>
  <si>
    <t>[Ahn, Jinho; Brook, Edward J.; Howell, Kate] Oregon State Univ, Dept Geosci, Corvallis, OR 97331 USA</t>
  </si>
  <si>
    <t>Oregon State University</t>
  </si>
  <si>
    <t>Ahn, JH (corresponding author), Oregon State Univ, Dept Geosci, Corvallis, OR 97331 USA.</t>
  </si>
  <si>
    <t>jinhoahn@gmail.com</t>
  </si>
  <si>
    <t>Brook, Edward/AAB-7807-2021</t>
  </si>
  <si>
    <t>Gary Comer Science and Education Foundation; US National Science Foundation [OPP 0337891]; Office of Polar Programs (OPP); Directorate For Geosciences [0739766, 0944348] Funding Source: National Science Foundation</t>
  </si>
  <si>
    <t>Gary Comer Science and Education Foundation; US National Science Foundation(National Science Foundation (NSF)); Office of Polar Programs (OPP); Directorate For Geosciences(National Science Foundation (NSF)NSF - Directorate for Geosciences (GEO))</t>
  </si>
  <si>
    <t>We greatly thank J. Ahrens for assistance in gas-chromatographic analysis and the staff of the US National Ice Core Laboratory for ice sampling and curation. M. Wahlen, K. Kawamura and B. Deck shared their invaluable experimental experience with us. Financial support was provided by the Gary Comer Science and Education Foundation, and US National Science Foundation grant OPP 0337891 to E.J.B.</t>
  </si>
  <si>
    <t>10.3189/002214309788816731</t>
  </si>
  <si>
    <t>WOS:000268939900012</t>
  </si>
  <si>
    <t>Picard, G; Brucker, L; Fily, M; Gallée, H; Krinner, G</t>
  </si>
  <si>
    <t>Picard, G.; Brucker, L.; Fily, M.; Gallee, H.; Krinner, G.</t>
  </si>
  <si>
    <t>Modeling time series of microwave brightness temperature in Antarctica</t>
  </si>
  <si>
    <t>SURFACE MASS-BALANCE; ICE-SHEET; NEIGHBORHOOD ALGORITHM; GEOPHYSICAL INVERSION; TEMPORAL VARIABILITY; CENTRAL GREENLAND; SCALAR TRANSFER; SATELLITE DATA; SNOW COVER; DRY-SNOW</t>
  </si>
  <si>
    <t>This paper aims to interpret the temporal variations of microwave brightness temperature (at 19 and 37GHz and at vertical and horizontal polarizations) in Antarctica using a physically based snow dynamic and emission model (SDEM). SDEM predicts time series of top-of-atmosphere brightness temperature from widely available surface meteorological data (ERA-40 re-analysis). To do so, it successively computes the heat flux incoming the snowpack, the snow temperature profile, the microwaves emitted by the snow and, finally, the propagation of the microwaves through the atmosphere up to the satellite. Since the model contains several parameters whose value is variable and uncertain across the continent, the parameter values are optimized for every 50 km x 50 km pixel. Simulation results show that the model is inadequate in the melt zone (where surface melting occurs on at least a few days a year) because the snowpack structure and its temporal variations are too complex. In contrast, the accuracy is reasonably good in the dry zone and varies between 2 and 4 K depending on the frequency and polarization of observations and on the location. At the Antarctic scale, the error is larger where wind is usually stronger, suggesting either that meteorological data are less accurate in windy regions or that some neglected processes (e.g. windpumping, surface scouring) are important. At Dome C, in calm conditions, a detailed analysis shows that most of the error is due to inaccuracy of the ERA-40 air temperature (similar to 2 K). Finally, the paper discusses the values of the optimized parameters and their spatial variations across the Antarctic.</t>
  </si>
  <si>
    <t>[Picard, G.; Brucker, L.; Fily, M.; Gallee, H.; Krinner, G.] Univ Grenoble 1, CNRS, Lab Glaciol &amp; Geophys Environm, F-38402 St Martin Dheres, France</t>
  </si>
  <si>
    <t>Picard, G (corresponding author), Univ Grenoble 1, CNRS, Lab Glaciol &amp; Geophys Environm, 54 Rue Moliere,BP 96, F-38402 St Martin Dheres, France.</t>
  </si>
  <si>
    <t>ghislain.picard@lgge.obs.ujf-grenoble.fr</t>
  </si>
  <si>
    <t>Brucker, Ludovic/L-5412-2019; Krinner, Gerhard/AAB-8837-2022; Picard, Ghislain/D-4246-2013; Brucker, Ludovic/A-8029-2010; Krinner, Gerhard/A-6450-2011; Brucker, Ludovic/ACJ-3763-2022</t>
  </si>
  <si>
    <t>Krinner, Gerhard/0000-0002-2959-5920; Picard, Ghislain/0000-0003-1475-5853; Brucker, Ludovic/0000-0001-7102-8084;</t>
  </si>
  <si>
    <t>French Remote Sensing program; NIEVE</t>
  </si>
  <si>
    <t>The SSM/I data were provided by the NSIDC. The Dome C AWS data were provided by the Antarctic Meteorological Research Center, University of Wisconsin, USA. We are grateful to F Roch for administrating the 168-processor cluster at the Observatoire des Sciences de I'Univers de Grenoble (OSUG) where the simulations were run. We had fruitful discussions with B. Legresy (Legos, Toulouse, France) about the temporal variations of surface density. This work is supported by the French Remote Sensing program (Programme National de Teledetection Spatiale) and the NIEVE project in the LEFE (Les Enveloppes Fluids et I'Environnement)/EVE (Evolution et Variabilite du climat h I'Echelle globale) program. We also thank the reviewers who suggested the azimuthal-angle dependency and provided very detailed corrections.</t>
  </si>
  <si>
    <t>10.3189/002214309788816678</t>
  </si>
  <si>
    <t>WOS:000268939900016</t>
  </si>
  <si>
    <t>Iizuka, Y; Miyake, T; Hirabayashi, M; Suzuki, T; Matoba, S; Motoyama, H; Fujii, Y; Hondoh, T</t>
  </si>
  <si>
    <t>Iizuka, Yoshinori; Miyake, Takayuki; Hirabayashi, Motohiro; Suzuki, Toshitaka; Matoba, Sumito; Motoyama, Hideaki; Fujii, Yoshiyuki; Hondoh, Takeo</t>
  </si>
  <si>
    <t>Constituent elements of insoluble and non-volatile particles during the Last Glacial Maximum exhibited in the Dome Fuji (Antarctica) ice core</t>
  </si>
  <si>
    <t>EAST ANTARCTICA; DUST; VOSTOK; CLIMATE; EPICA; FIRN; IONS; SNOW</t>
  </si>
  <si>
    <t>In order to find environmental signals based on the dust and calcium-ion concentrations in ice cores, we determine the constituent elements of residue particles obtained after melting ice samples. We have designed a sublimating system that operates at -45 degrees C, below the eutectic temperatures of major salts. This system permits us to obtain a great many non-volatile particles. After studying the nonvolatile particles, we immersed them in water to remove soluble particles and compounds. We thereby analyzed a total of 1272 residue particles (from the melted sample), 2418 non-volatile particles (after sublimation) and 1463 insoluble particles taken from five sections of Last Glacial Maximum ice from the Dome Fuji (Antarctica) ice core. Their constituent elements were determined by scanning electron microscopy/energy-dispersive X-ray spectrometry (SEM-EDS) and compared to the dust, calcium-ion and sodium-ion concentrations measured by ion chromatography. Our results indicate that &gt;99.9% of the insoluble particles contain silicon but no sulfur, nitrogen or chlorine. A significant number of the non-volatile particles, however, contain sulfur and chlorine. We conclude that insoluble dust consists mostly of silicate, that almost all calcium ions originate from calcium sulfate and that almost all sodium ions originate from sodium sulfate and sodium chloride.</t>
  </si>
  <si>
    <t>[Iizuka, Yoshinori; Matoba, Sumito; Hondoh, Takeo] Hokkaido Univ, Inst Low Temp Sci, Sapporo, Hokkaido 0600819, Japan; [Miyake, Takayuki; Hirabayashi, Motohiro; Motoyama, Hideaki; Fujii, Yoshiyuki] Natl Inst Polar Res, Itabashi Ku, Tokyo 1738515, Japan; [Suzuki, Toshitaka] Yamagata Univ, Dept Earth &amp; Environm Sci, Yamagata 9908560, Japan</t>
  </si>
  <si>
    <t>Hokkaido University; Research Organization of Information &amp; Systems (ROIS); National Institute of Polar Research (NIPR) - Japan; Yamagata University</t>
  </si>
  <si>
    <t>Iizuka, Y (corresponding author), Hokkaido Univ, Inst Low Temp Sci, Sapporo, Hokkaido 0600819, Japan.</t>
  </si>
  <si>
    <t>iizuka@lowtem.hokudai.ac.jp</t>
  </si>
  <si>
    <t>Matoba, Sumito/A-4073-2012; Iizuka, Yoshinori/D-9112-2012; HONDOH, Takeo/E-7551-2011</t>
  </si>
  <si>
    <t>Matoba, Sumito/0000-0003-2214-4649; Iizuka, Yoshinori/0000-0001-7241-6062; HONDOH, Takeo/0000-0003-4129-022X</t>
  </si>
  <si>
    <t>Japan's Ministry of Education, Culture, Sports, Science and Technology (MEXT) [19710001, 21710002]; Japan's Society for the Promotion of Science; Director of the Institute of Low Temperature Science, Hokkaido University; Grants-in-Aid for Scientific Research [19710001, 21710002] Funding Source: KAKEN</t>
  </si>
  <si>
    <t>Japan's Ministry of Education, Culture, Sports, Science and Technology (MEXT)(Ministry of Education, Culture, Sports, Science and Technology, Japan (MEXT)); Japan's Society for the Promotion of Science; Director of the Institute of Low Temperature Science, Hokkaido University; Grants-in-Aid for Scientific Research(Ministry of Education, Culture, Sports, Science and Technology, Japan (MEXT)Japan Society for the Promotion of ScienceGrants-in-Aid for Scientific Research (KAKENHI))</t>
  </si>
  <si>
    <t>We thank the Dome Fuji drilling team, the Dome Fuji icecore consortium and the Japanese Antarctic Research Expedition (JARE) Dome Fuji traverse. The paper was significantly improved as a result of comments by S.H. Faria and an anonymous referee, and the handling by the Scientific Editor, T.H. Jacka, to whom we are greatly indebted. This study was supported by Scientific Research (B) (grant Nos 19710001 and 21710002) provided by Japan's Ministry of Education, Culture, Sports, Science and Technology (MEXT) and Japan's Society for the Promotion of Science (JSPS), as well as discretionary funds from the Director of the Institute of Low Temperature Science, Hokkaido University.</t>
  </si>
  <si>
    <t>10.3189/002214309788816696</t>
  </si>
  <si>
    <t>WOS:000268939900017</t>
  </si>
  <si>
    <t>Smith, BE; Fricker, HA; Joughin, IR; Tulaczyk, S</t>
  </si>
  <si>
    <t>Smith, Benjamin E.; Fricker, Helen A.; Joughin, Ian R.; Tulaczyk, Slawek</t>
  </si>
  <si>
    <t>An inventory of active subglacial lakes in Antarctica detected by ICESat (2003-2008)</t>
  </si>
  <si>
    <t>WEST ANTARCTICA; STREAM-C; WATER; SURFACE; FLOW; STAGNATION; GLACIER; BENEATH; VOSTOK; SEDIMENTS</t>
  </si>
  <si>
    <t>Through the detection of surface deformation in response to water movement, recent satellite studies have demonstrated the existence of subglacial lakes in Antarctica that fill and drain on timescales of months to years. These studies, however, were confined to specific regions of the ice sheet. Here we present the first comprehensive study of these 'active' lakes for the Antarctic ice sheet north of 86 degrees S, based on 4.5 years (2003-08) of NASA's Ice, Cloud and land Elevation Satellite (ICESat) laser altimeter data. Our analysis has detected 124 lakes that were active during this period, and we estimate volume changes for each lake. The ICESat-detected lakes are prevalent in coastal Antarctica, and are present under most of the largest ice-stream catchments. Lakes sometimes appear to transfer water from one to another, but also often exchange water with distributed sources undetectable by ICESat, suggesting that the lakes may provide water to or withdraw water from the hydrologic systems that lubricate glacier flow. Thus, these reservoirs may contribute pulses of water to produce rapid temporal changes in glacier speeds, but also may withdraw water at other times to slow flow.</t>
  </si>
  <si>
    <t>[Smith, Benjamin E.; Joughin, Ian R.] Univ Washington, Appl Phys Lab, Seattle, WA 98105 USA; [Fricker, Helen A.] Univ Calif San Diego, Inst Geophys &amp; Planetary Phys, Scripps Inst Oceanog, La Jolla, CA 92093 USA; [Tulaczyk, Slawek] Univ Calif Santa Cruz, Dept Earth &amp; Planetary Sci, Santa Cruz, CA 95064 USA</t>
  </si>
  <si>
    <t>University of Washington; University of Washington Seattle; University of California System; University of California San Diego; Scripps Institution of Oceanography; University of California System; University of California Santa Cruz</t>
  </si>
  <si>
    <t>Smith, BE (corresponding author), Univ Washington, Appl Phys Lab, 1013 NE 40th St,Box 355640, Seattle, WA 98105 USA.</t>
  </si>
  <si>
    <t>bsmith@apl.washington.edu</t>
  </si>
  <si>
    <t>Joughin, Ian/AAR-7778-2021; Joughin, Ian R/A-2998-2008; Tulaczyk, Slawek/O-7375-2018</t>
  </si>
  <si>
    <t>Joughin, Ian/0000-0001-6229-679X; Joughin, Ian R/0000-0001-6229-679X; Tulaczyk, Slawek/0000-0002-9711-4332</t>
  </si>
  <si>
    <t>US National Science Foundation (NSF) [ANT-0636719, ANT-0636970]; NASA [NNX07AL18G]</t>
  </si>
  <si>
    <t>US National Science Foundation (NSF)(National Science Foundation (NSF)); NASA(National Aeronautics &amp; Space Administration (NASA))</t>
  </si>
  <si>
    <t>This work was supported by US National Science Foundation (NSF) grant ANT-0636719 to Joughin and Smith, NSF grant ANT-0636970 to Tulaczyk, and NASA grant NNX07AL18G to Fricker. We thank NASA's ICESat Science Project for distribution of the ICESat data (see http://icesat.gsfc.nasa.gov and http://nsidc.org/data/icesat), and the members of the ICESat Science Team for discussions of data handling. We also thank R. Bell, G. Flowers and N. Ross for thorough, critical and insightful reviews that greatly improved the paper. We thank S. Carter for helpful comments on the paper.</t>
  </si>
  <si>
    <t>10.3189/002214309789470879</t>
  </si>
  <si>
    <t>501WT</t>
  </si>
  <si>
    <t>WOS:000270415200001</t>
  </si>
  <si>
    <t>Craven, M; Allison, I; Fricker, HA; Warner, R</t>
  </si>
  <si>
    <t>Craven, Mike; Allison, Ian; Fricker, Helen Amanda; Warner, Roland</t>
  </si>
  <si>
    <t>Properties of a marine ice layer under the Amery Ice Shelf, East Antarctica</t>
  </si>
  <si>
    <t>FILCHNER-RONNE ICE; GREEN ICEBERGS; BENEATH; LAMBERT; CIRCULATION; MODELS; SYSTEM</t>
  </si>
  <si>
    <t>The Amery Ice Shelf, East Antarctica, undergoes high basal melt rates near the southern limit of its grounding line where 80% of the ice melts within 240 km of becoming afloat. A considerable portion of this later refreezes downstream as marine ice. This produces a marine ice layer up to 200 m thick in the northwest sector of the ice shelf concentrated in a pair of longitudinal bands that extend some 200 km all the way to the calving front. We drilled through the eastern marine ice band at two locations 70 km apart on the same flowline. We determine an average accretion rate of marine ice of 1.1 +/- 0.2 m a(-1), at a reference density of 920 kg m(-3) between borehole sites, and infer a similar average rate of 1.3 +/- 0.2 m a(-1) upstream. The deeper marine ice was permeable enough that a hydraulic connection was made whilst the drill was still 70-100 m above the ice-shelf base. Below this marine close-off depth, borehole video imagery showed permeable ice with water-filled cavities and individual ice platelets fused together, while the upper marine ice was impermeable with small brine-cell inclusions. We infer that the uppermost portion of the permeable ice becomes impermeable with the passage of time and as more marine ice is accreted on the base of the shelf. We estimate an average closure rate of 0.3 m a(-1) between the borehole sites; upstream the average closure rate is faster at 0.9 m a(-1). We estimate an average porosity of the total marine ice layer of 14-20%, such that the deeper ice must have even higher values. High permeability implies that sea water can move relatively freely through the material, and we propose that where such marine ice exists this renders deep parts of the ice shelf particularly vulnerable to changes in ocean properties.</t>
  </si>
  <si>
    <t>[Craven, Mike; Allison, Ian; Warner, Roland] Australian Antarctic Div, Hobart, Tas 7001, Australia; [Craven, Mike; Allison, Ian; Warner, Roland] Antarctic Climate &amp; Ecosyst CRC, Hobart, Tas 7001, Australia; [Fricker, Helen Amanda] Univ Calif San Diego, Scripps Inst Oceanog, Inst Geophys &amp; Planetary Phys, La Jolla, CA 92093 USA</t>
  </si>
  <si>
    <t>Australian Antarctic Division; University of Tasmania; University of California System; University of California San Diego; Scripps Institution of Oceanography</t>
  </si>
  <si>
    <t>Craven, M (corresponding author), Australian Antarctic Div, Hobart, Tas 7001, Australia.</t>
  </si>
  <si>
    <t>m.craven@utas.edu.au</t>
  </si>
  <si>
    <t>Warner, Roland Charles/ISS-2485-2023; Warner, Robert R./M-5342-2013; Allison, Ian F/I-4477-2015</t>
  </si>
  <si>
    <t>Warner, Roland Charles/0000-0002-9778-3544; Allison, Ian F/0000-0001-9599-0251; Fricker, Helen Amanda/0000-0002-0921-1432</t>
  </si>
  <si>
    <t>Australian Government's Cooperative Research Centres Program through the Antarctic Climate and Ecosystems Cooperative Research Centre (ACE CRC); NASA; US National Science Foundation Office of Polar Programs; CalTech's Geological and Planetary Sciences Division</t>
  </si>
  <si>
    <t>Australian Government's Cooperative Research Centres Program through the Antarctic Climate and Ecosystems Cooperative Research Centre (ACE CRC)(Australian GovernmentDepartment of Industry, Innovation and ScienceCooperative Research Centres (CRC) Programme); NASA(National Aeronautics &amp; Space Administration (NASA)); US National Science Foundation Office of Polar Programs(National Science Foundation (NSF)); CalTech's Geological and Planetary Sciences Division</t>
  </si>
  <si>
    <t>We acknowledge logistic support from the Australian Antarctic Division (AAD) and valuable contributions from many people who contributed to the Amery Ice Shelf Ocean Research (AMISOR) field program. We thank N. Young and J. Bassis, who provided valuable discussions and contributions to this work. This work was supported by the Australian Government's Cooperative Research Centres Program through the Antarctic Climate and Ecosystems Cooperative Research Centre (ACE CRC). The Antarctic Ice Borehole Probe (video camera system) was developed at the jet Propulsion Laboratory, California Institute of Technology (CalTech), under a contract with NASA. We thank NASA Headquarters, NASA's Office of Earth Science, the US National Science Foundation Office of Polar Programs, and CalTech's Geological and Planetary Sciences Division for support, and we are grateful to the Polar Research Institute of China for access to their ice-core data. We acknowledge the contribution of two anonymous referees whose reviews substantially improved the manuscript.</t>
  </si>
  <si>
    <t>10.3189/002214309789470941</t>
  </si>
  <si>
    <t>Green Submitted, Green Accepted, Bronze</t>
  </si>
  <si>
    <t>WOS:000270415200014</t>
  </si>
  <si>
    <t>Grigholm, B; Mayewski, PA; Kurbatov, AV; Casassa, G; Staeding, AC; Handley, M; Sneed, SB; Introne, DS</t>
  </si>
  <si>
    <t>Grigholm, B.; Mayewski, P. A.; Kurbatov, A. V.; Casassa, Gino; Contreras Staeding, A.; Handley, M.; Sneed, S. B.; Introne, D. S.</t>
  </si>
  <si>
    <t>Chemical composition of fresh snow from Glaciar Marinelli, Tierra del Fuego, Chile</t>
  </si>
  <si>
    <t>HIELO PATAGONICO-SUR; ICE-CORE; HEAVY-METALS; GREENLAND SNOW; ANTARCTIC SNOW; SOUTH-AMERICA; FIRN-CORE; LAW DOME; SYSTEM; LEAD</t>
  </si>
  <si>
    <t>A fresh-snow sampling campaign was conducted during the late austral summer of 2006 in the accumulation zone of Glaciar Marinelli, located in the Cordillera Darwin, Tierra del Fuego, Chile. Snow samples were analyzed for stable isotopes (delta(18)O, major soluble ions (Na', K', Ca, Mg, a NO(3)(-), SO(4)(2-), MS(-)) and major and trace elements (Na, Mg, Al, Fe, Ca, Sr, Cd, Cs, Ba, La, Ce, Pr, Dy, Ho, Er, Bi, U, As, Ti, V, Cr, Mn). The dominance of marine chemistry resembles that in studies from Patagonian glaciers. Snow chemistry was dominantly loaded by marine species (Cl(-), Na(+) and ssSO(4)(2-)), while contributions of crustal species (e.g. Al and Fe) were very low. Empirical orthogonal function analysis suggests two possible dust sources, one represented by Al and Fe and the other by La, Ce and Pr. Enrichment-factor calculations suggest the majority of elements are within average upper-crustal ratios, but major enrichments of Bi and Cd (hundreds of times) suggest possible anthropogenic sources. Linear correlation of delta(18)O and barometric pressure (r = 0.60, p &lt; 0.007) suggests a potential 'amount effect' relationship between depleted delta(18)O ratios and stronger storm conditions (e.g. greater precipitation). The snow-chemistry records from Glaciar Marinelli are the first measured in Tierra del Fuego, the southernmost glaciated region outside Antarctica.</t>
  </si>
  <si>
    <t>[Grigholm, B.; Mayewski, P. A.; Kurbatov, A. V.; Handley, M.; Sneed, S. B.; Introne, D. S.] Univ Maine, Climate Change Inst, Sawyer Environm Res Ctr 133, Orono, ME 04469 USA; [Casassa, Gino] Ctr Estudios Cient, Valdivia, Chile; [Contreras Staeding, A.] DAP, Punta Arenas, Chile</t>
  </si>
  <si>
    <t>Grigholm, B (corresponding author), Univ Maine, Climate Change Inst, Sawyer Environm Res Ctr 133, Orono, ME 04469 USA.</t>
  </si>
  <si>
    <t>bjorn.grigholm@maine.edu</t>
  </si>
  <si>
    <t>Casassa, Gino/AAX-6142-2020; Mayewski, Paul Andrew/HRD-6969-2023</t>
  </si>
  <si>
    <t>Kurbatov, Andrei/0000-0002-9819-9251</t>
  </si>
  <si>
    <t>US National Oceanic and Atmospheric Administration [NOAA NA06OAR4310206]; Office of Polar Programs (OPP); Directorate For Geosciences [0838843] Funding Source: National Science Foundation</t>
  </si>
  <si>
    <t>US National Oceanic and Atmospheric Administration(National Oceanic Atmospheric Admin (NOAA) - USA); Office of Polar Programs (OPP); Directorate For Geosciences(National Science Foundation (NSF)NSF - Directorate for Geosciences (GEO))</t>
  </si>
  <si>
    <t>This research was funded by US National Oceanic and Atmospheric Administration grant NOAA NA06OAR4310206. We especially thank Centro de Estudios Cientificos researchers J. Wendt and A. Wendt for logistical help, and DAP for helicopter support.</t>
  </si>
  <si>
    <t>10.3189/002214309790152546</t>
  </si>
  <si>
    <t>544RH</t>
  </si>
  <si>
    <t>WOS:000273676200002</t>
  </si>
  <si>
    <t>Roberts, JL; van Ommen, TD; Curran, MAJ; Vance, TR</t>
  </si>
  <si>
    <t>Roberts, Jason L.; van Ommen, Tas D.; Curran, Mark A. J.; Vance, Tessa R.</t>
  </si>
  <si>
    <t>Methanesulphonic acid loss during ice-core storage: recommendations based on a new diffusion coefficient</t>
  </si>
  <si>
    <t>LAW DOME; MOVEMENT</t>
  </si>
  <si>
    <t>The loss of methanesulphonic acid (MSA) from stored ice cores can be significant over typical storage times, with diffusion to the ice-core surface controlling the loss. Methods for minimizing this loss are discussed and it is shown how measurements can be corrected by calculating the amount of MSA lost. A revised diffusion coefficient for MSA in solid ice, (4.1 x 10(-13)) +/- (2.5 x 10(-14)) m(2) s(-1), is derived to improve such MSA loss corrections.</t>
  </si>
  <si>
    <t>[Roberts, Jason L.; van Ommen, Tas D.; Curran, Mark A. J.; Vance, Tessa R.] Australian Antarctic Div, Dept Environm Water Heritage &amp; Arts, Hobart, Tas 7001, Australia; [Roberts, Jason L.; van Ommen, Tas D.; Curran, Mark A. J.; Vance, Tessa R.] Antarctic Climate &amp; Ecosyst CRC, Hobart, Tas 7001, Australia</t>
  </si>
  <si>
    <t>Australian Antarctic Division; University of Tasmania</t>
  </si>
  <si>
    <t>Roberts, JL (corresponding author), Australian Antarctic Div, Dept Environm Water Heritage &amp; Arts, Private Bag 80, Hobart, Tas 7001, Australia.</t>
  </si>
  <si>
    <t>J.L.Roberts@utas.edu.au</t>
  </si>
  <si>
    <t>Roberts, Jason L/B-2235-2012; van Ommen, Tas/B-5020-2012</t>
  </si>
  <si>
    <t>Roberts, Jason L/0000-0002-3477-4069; van Ommen, Tas/0000-0002-2463-1718; Vance, Tessa/0000-0001-6970-8646</t>
  </si>
  <si>
    <t>Australian Government</t>
  </si>
  <si>
    <t>Australian Government(Australian Government)</t>
  </si>
  <si>
    <t>This work was supported by the Australian Government's Cooperative Research Centres Programme through the Antarctic Climate and Ecosystems Cooperative Research Centre (ACE CRC). I. Allison, G. Hyland, K. Kreutz, K. Michael and an anonymous reviewer provided helpful reviews of the manuscript.</t>
  </si>
  <si>
    <t>10.3189/002214309790152474</t>
  </si>
  <si>
    <t>WOS:000273676200004</t>
  </si>
  <si>
    <t>Le Brocq, AM; Payne, AJ; Siegert, MJ; Alley, RB</t>
  </si>
  <si>
    <t>Le Brocq, A. M.; Payne, A. J.; Siegert, M. J.; Alley, R. B.</t>
  </si>
  <si>
    <t>A subglacial water-flow model for West Antarctica</t>
  </si>
  <si>
    <t>ICE STREAM-B; BASAL MECHANICS; NUMERICAL-MODEL; THICKNESS; GLACIER; SHEET; DEFORMATION; STAGNATION; BENEATH; SYSTEM</t>
  </si>
  <si>
    <t>The current generation of continental-scale ice-sheet models cannot successfully reproduce the complex ice/water/sediment interactions of the West Antarctic ice sheet (WAIS) in a physically meaningful manner. The potential of a thin-film-based subglacial water-flow model for incorporation into a continental-scale coupled ice/water flow model of the WAIS is evaluated in this paper. The subglacial water-flow model is applied to the Ross Sea sector of the WAIS, in both aleady-state and time-dependent form, to derive the equilibrium water depth for the present-day configuration. The potential for coupling the model to an ice-flow model is then demonstrated, using a variable sliding parameter that is a function of the subglacial water depth. A coupled ice/water flow model, using the parameterization tested in this paper, could have the potential for reproducing the surface elevation, velocity and thermal regime of the WAIS successfully. These requirements are crucial in modelling the evolution of the WAIS, and must be addressed before reliable continental-scale predictive models can be utilized.</t>
  </si>
  <si>
    <t>[Le Brocq, A. M.] Univ Durham, Sci Labs, Dept Geog, Durham DH1 3LE, England; [Payne, A. J.] Univ Bristol, Bristol Glaciol Ctr, Sch Geog Sci, Bristol BS8 1SS, Avon, England; [Siegert, M. J.] Univ Edinburgh, Sch Geosci, Edinburgh EH9 3JW, Midlothian, Scotland; [Alley, R. B.] Penn State Univ, Dept Geosci, University Pk, PA 16802 USA</t>
  </si>
  <si>
    <t>Durham University; University of Bristol; University of Edinburgh; Pennsylvania Commonwealth System of Higher Education (PCSHE); Pennsylvania State University; Pennsylvania State University - University Park</t>
  </si>
  <si>
    <t>Le Brocq, AM (corresponding author), Univ Durham, Sci Labs, Dept Geog, South Rd, Durham DH1 3LE, England.</t>
  </si>
  <si>
    <t>a.lebrocq@durham.ac.uk</t>
  </si>
  <si>
    <t>Siegert, Martin/M-9939-2019; Siegert, Martin J/A-3826-2008; payne, antony/A-8916-2008</t>
  </si>
  <si>
    <t>Siegert, Martin/0000-0002-0090-4806; Siegert, Martin J/0000-0002-0090-4806; payne, antony/0000-0001-8825-8425</t>
  </si>
  <si>
    <t>UK Natural Environment Research Council (NERC) [NER/S/D/2003/11902, NE/EO06108/1]; Worldwide Universities Network for a placement at Penn State University; US National Science Foundation [0424589]; Comer Foundation; NERC [NE/E006256/1, cpom20001] Funding Source: UKRI; Natural Environment Research Council [earth010006, cpom20001, NE/E006256/1] Funding Source: researchfish</t>
  </si>
  <si>
    <t>UK Natural Environment Research Council (NERC)(UK Research &amp; Innovation (UKRI)Natural Environment Research Council (NERC)); Worldwide Universities Network for a placement at Penn State University; US National Science Foundation(National Science Foundation (NSF)); Comer Foundation; NERC(UK Research &amp; Innovation (UKRI)Natural Environment Research Council (NERC)); Natural Environment Research Council(UK Research &amp; Innovation (UKRI)Natural Environment Research Council (NERC))</t>
  </si>
  <si>
    <t>A. Le Brocq acknowledges funding from a UK Natural Environment Research Council (NERC) PhD studentship, whilst at the University of Bristol (No. NER/S/D/2003/11902), a further NERC grant (NE/EO06108/1) and the Worldwide Universities Network for a placement at Penn State University. R. Alley was supported in part by the US National Science Foundation under grant 0424589, and by the Comer Foundation. Thanks to T. Dupont and A. Vieli for their input to the work. Thanks to I. joughin for supplying the velocity and basal melt datasets and to J. Bamber for Supplying the ice-surface DEM dataset. We also thank three anonymous reviewers whose comments led to an improved manuscript.</t>
  </si>
  <si>
    <t>10.3189/002214309790152564</t>
  </si>
  <si>
    <t>WOS:000273676200016</t>
  </si>
  <si>
    <t>Granberg, HB; Cliche, P; Mattila, OP; Kanto, E; Leppäranta, M</t>
  </si>
  <si>
    <t>Granberg, Hardy B.; Cliche, Patrick; Mattila, Olli-Pekka; Kanto, Eija; Lepparanta, Matti</t>
  </si>
  <si>
    <t>A snow sensor experiment in Dronning Maud Land, Antarctica</t>
  </si>
  <si>
    <t>SURFACE MASS-BALANCE; EAST ANTARCTICA; ICE-CORE; PHYSICAL-PROPERTIES; ACCUMULATION; CLIMATE; VARIABILITY</t>
  </si>
  <si>
    <t>In January 2000 nine snow sensors were deployed in Dronning Maud Land, Antarctica, along a 355 km transect from Kvitkuven near the shelf edge via the Finnish research station, Aboa, to the Amundsenisen plateau. The purpose was to test a sensor system for spatio-temporal variations in temperature across the snow-air interface and snow accumulation/ablation, which includes atmospheric net balance and migrating snow dunes. In the dry snow conditions, environmental static electricity interfered with data transfer; several sensors were disabled early, while the longest record reached 6 months. Along the main transect, the year 2000 mass balance ranged from 52 to 221 mm w.e., largely following spatial patterns seen by other researchers. The level increased toward the edge of the ice sheet; unloading of drifting snow as the slope flattens, rather than increased snowfall as previously thought, may be responsible for this. At the Hogisen ice dome site the mass balance was 897 mm w.e., possibly due to unloading of wind-blown snow, as katabatic winds are locally forced uphill. This mechanism is important to maintain such topographic features along the Antarctic ice sheet margin. Major precipitation events occurred at 3-5 week intervals and much of the precipitation fell before mid-June. The daily signal in temperature disappeared after the autumn equinox, then the spectrum displayed a broad peak at synoptic frequencies. Potential temperature decreased towards the shelf edge, displaying a pattern consistent with strong inversions and suggesting that strong evaporative cooling is associated with the katabatic winds.</t>
  </si>
  <si>
    <t>[Granberg, Hardy B.; Cliche, Patrick] Univ Sherbrooke, CARTEL, Sherbrooke, PQ J1K 2R1, Canada; [Granberg, Hardy B.; Cliche, Patrick] Univ Sherbrooke, DGA, Sherbrooke, PQ J1K 2R1, Canada; [Mattila, Olli-Pekka; Kanto, Eija; Lepparanta, Matti] Univ Helsinki, Dept Phys, FIN-00014 Helsinki, Finland</t>
  </si>
  <si>
    <t>University of Sherbrooke; University of Sherbrooke; University of Helsinki</t>
  </si>
  <si>
    <t>Granberg, HB (corresponding author), Univ Sherbrooke, CARTEL, Sherbrooke, PQ J1K 2R1, Canada.</t>
  </si>
  <si>
    <t>matti.lepparanta@helsinki.fi</t>
  </si>
  <si>
    <t>Lepparanta, Matti/M-7507-2017</t>
  </si>
  <si>
    <t>Lepparanta, Matti/0000-0002-4754-5564; Mattila, Olli-Pekka/0000-0001-6887-2874</t>
  </si>
  <si>
    <t>Academy of Finland [43925, 54086]</t>
  </si>
  <si>
    <t>Academy of Finland(Research Council of Finland)</t>
  </si>
  <si>
    <t>We thank fellow expedition members for good company and assistance in the field. The project was financed by the Academy of Finland (#43925 and #54086 to M. Lepparanta and a collaborative research grant to H.B. Granberg). Field logistics were provided by the Finnish Antarctic Research Program (FINNARP), and COURT Helicopters provided transport to some of the field sites.</t>
  </si>
  <si>
    <t>10.3189/002214309790794823</t>
  </si>
  <si>
    <t>580SH</t>
  </si>
  <si>
    <t>WOS:000276469500009</t>
  </si>
  <si>
    <t>Schultz, JK; Baker, JD; Toonen, RJ; Bowen, BW</t>
  </si>
  <si>
    <t>Schultz, Jennifer K.; Baker, Jason D.; Toonen, Robert J.; Bowen, Brian W.</t>
  </si>
  <si>
    <t>Extremely Low Genetic Diversity in the Endangered Hawaiian Monk Seal (Monachus schauinslandi)</t>
  </si>
  <si>
    <t>JOURNAL OF HEREDITY</t>
  </si>
  <si>
    <t>POPULATION BOTTLENECKS; MICROSATELLITE MARKERS; INBREEDING DEPRESSION; COMPUTER-PROGRAM; CONSERVATION; VARIABILITY; LOCI; PHYLOGENY; EVOLUTION; FITNESS</t>
  </si>
  <si>
    <t>Hunted to near extinction in the late 19th century, the endangered and endemic Hawaiian monk seal (Monachus schauinslandi) exhibits low variation at all molecular markers tested to date. Here we confirm extreme paucity of genetic diversity, finding polymorphisms at only 8 of 154 microsatellite loci tested (143 novel species-specific loci, 10 loci from Antarctic seals, and 1 previously characterized locus). This screening revealed unprecedentedly low levels of allelic diversity and heterozygosity (A = 1.1, H-e = 0.026). Subsequent analyses of 2409 Hawaiian monk seals at the 8 polymorphic loci provide evidence for a bottleneck (P = 0.002), but simulations indicate low genetic diversity (H-e &lt; 0.09) prior to recorded human influence. There is little indication of contemporary inbreeding (F-IS = 0.018) or population structure (K = 1 population). Minimal genetic variation did not prevent partial recovery by the late 1950s and may not be driving the current population decline to similar to 1200 seals. Nonetheless, genotyping nearly every individual living during the past 25 years sets a new benchmark for low genetic diversity in an endangered species.</t>
  </si>
  <si>
    <t>[Schultz, Jennifer K.; Toonen, Robert J.; Bowen, Brian W.] Univ Hawaii, Dept Zool, Kaneohe, HI 96744 USA; [Schultz, Jennifer K.; Toonen, Robert J.; Bowen, Brian W.] Univ Hawaii, Hawaii Inst Marine Biol, Kaneohe, HI 96744 USA; NOAA, Natl Marine Fisheries Serv, Pacific Isl Fisheries Sci Ctr, Honolulu, HI 96822 USA</t>
  </si>
  <si>
    <t>University of Hawaii System; University of Hawaii System; National Oceanic Atmospheric Admin (NOAA) - USA; National Aeronautics &amp; Space Administration (NASA)</t>
  </si>
  <si>
    <t>Schultz, JK (corresponding author), Univ Hawaii, Dept Zool, POB 1346, Kaneohe, HI 96744 USA.</t>
  </si>
  <si>
    <t>jschultz@hawaii.edu</t>
  </si>
  <si>
    <t>Toonen, Rob/K-2891-2012; Toonen, Rob/V-6230-2019</t>
  </si>
  <si>
    <t>Toonen, Rob/0000-0001-6339-4340; Toonen, Rob/0000-0001-6339-4340</t>
  </si>
  <si>
    <t>National Science Foundation [IGE05-49514, EPS02-37065, DGE02-32016, OCE-0453167, OCE-0623678]; Environmental Protection Agency [STAR-U916136]; Marine Mammal Commission Research Grant [GS00M04PDM0027]; Achievement Rewards for College Scientists Maybelle Roth Fellowship; Northwestern Hawaiian Islands Coral Reef Ecosystem Reserve</t>
  </si>
  <si>
    <t>National Science Foundation(National Science Foundation (NSF)); Environmental Protection Agency; Marine Mammal Commission Research Grant; Achievement Rewards for College Scientists Maybelle Roth Fellowship; Northwestern Hawaiian Islands Coral Reef Ecosystem Reserve</t>
  </si>
  <si>
    <t>National Science Foundation (IGE05-49514 to J.K.S. via B. A. Wilcox, EPS02-37065 to J.K.S. via J.C. Leong, DGE02-32016 to J.K.S. via K.Y. Kaneshiro, OCE-0453167 to B.W.B., OCE-0623678 to R.J.T.); Environmental Protection Agency (STAR-U916136 to J.K.S.); Marine Mammal Commission Research Grant (GS00M04PDM0027 to R.J.T., J.K.S., and B. W. B.); Achievement Rewards for College Scientists Maybelle Roth Fellowship (to J.K.S.), Northwestern Hawaiian Islands Coral Reef Ecosystem Reserve (to J.K.S.).</t>
  </si>
  <si>
    <t>0022-1503</t>
  </si>
  <si>
    <t>1465-7333</t>
  </si>
  <si>
    <t>J HERED</t>
  </si>
  <si>
    <t>J. Hered.</t>
  </si>
  <si>
    <t>JAN-FEB</t>
  </si>
  <si>
    <t>10.1093/jhered/esn077</t>
  </si>
  <si>
    <t>386RX</t>
  </si>
  <si>
    <t>WOS:000261901400004</t>
  </si>
  <si>
    <t>Wharton, DA; Pow, B; Kristensen, M; Ramlov, H; Marshall, CJ</t>
  </si>
  <si>
    <t>Wharton, D. A.; Pow, B.; Kristensen, M.; Ramlov, H.; Marshall, C. J.</t>
  </si>
  <si>
    <t>ICE-active proteins and cryoprotectants from the New Zealand alpine cockroach, Celatoblatta quinquemaculata</t>
  </si>
  <si>
    <t>Freezing tolerant; Thermal hysteresis; Recrystallization inhibition; Ice active protein; Cryoprotectant</t>
  </si>
  <si>
    <t>TOLERANT ANTARCTIC NEMATODE; ANTIFREEZE PROTEINS; PANAGROLAIMUS-DAVIDI; TERRESTRIAL ARTHROPODS; LITHOBIUS-FORFICATUS; FREEZE TOLERANCE; HEMIDEINA-MAORI; INSECTS; DICTYOPTERA; BLATTIDAE</t>
  </si>
  <si>
    <t>Celatoblatta quinquemaculata is moderately freezing tolerant. We have investigated low and high molecular weight compounds that may be associated with its survival. Glycerol and trehalose were identified as potential cryoprotectants, with trehalose at the higher concentration. Trehalose was at its highest concentration in late autumn, during the periods sampled. Water contents declined with time and were significantly lower in late autumn than in late summer. No thermal hysteresis activity was detected in haemolymph or in extracts of the head, muscles and the fat body. Extracts of the Malpighian tubules showed an hexagonal crystal growth form, as did those of the gut tissue and gut contents. The gut tissue had high levels of thermal hysteresis (similar to 2 degrees C) and the gut contents somewhat lower levels (similar to 0.6 degrees C). Recrystallization inhibition activity mirrored that of thermal hysteresis, with activity absent in the haemolymph or fat body cells but present in the gut tissues and contents. Activity was reduced by heating and was associated with a molecule &gt; 14 kDa in size. These findings suggest an antifreeze protein is involved. In fed animals, ice nucleation is likely to start in the gut. Gut cells have a much greater resistance to freezing than do fat body or Malpighian tubule cells. The antifreeze protein may enable this tissue to survive freezing stress by inhibiting recrystallization. (c) 2008 Elsevier Ltd. All rights reserved.</t>
  </si>
  <si>
    <t>[Wharton, D. A.] Univ Otago, Dept Zool, Dunedin 9054, New Zealand; [Pow, B.; Marshall, C. J.] Univ Otago, Dept Biochem, Dunedin 9054, New Zealand; [Kristensen, M.; Ramlov, H.] Roskilde Univ, Dept Chem &amp; Life Sci, DK-4000 Roskilde, Denmark</t>
  </si>
  <si>
    <t>University of Otago; University of Otago; Roskilde University</t>
  </si>
  <si>
    <t>Wharton, DA (corresponding author), Univ Otago, Dept Zool, POB 56, Dunedin 9054, New Zealand.</t>
  </si>
  <si>
    <t>david.wharton@stonebow.otago.ac.nz</t>
  </si>
  <si>
    <t>Marshall, Craig J./C-6668-2009</t>
  </si>
  <si>
    <t>Marshall, Craig J./0000-0003-4186-0368; Ramlov, Hans/0000-0003-1113-0583; Wharton, David/0000-0001-6369-4984</t>
  </si>
  <si>
    <t>10.1016/j.jinsphys.2008.09.007</t>
  </si>
  <si>
    <t>396WC</t>
  </si>
  <si>
    <t>WOS:000262621000004</t>
  </si>
  <si>
    <t>Rebecchi, L; Boschini, D; Cesari, M; Lencioni, V; Bertolani, R; Guidetti, R</t>
  </si>
  <si>
    <t>Rebecchi, Lorena; Boschini, Deborah; Cesari, Michele; Lencioni, Valeria; Bertolani, Roberto; Guidetti, Roberto</t>
  </si>
  <si>
    <t>Stress response of a boreo-alpine species of tardigrade, Borealibius zetlandicus (Eutardigrada, Hypsibiidae)</t>
  </si>
  <si>
    <t>JOURNAL OF LIMNOLOGY</t>
  </si>
  <si>
    <t>thermal stress; freezing; desiccation; limnic tardigrade; adaptive strategies; COI mtDNA</t>
  </si>
  <si>
    <t>HARMSWORTHI MURRAY TARDIGRADA; DRONNING-MAUD-LAND; THERMAL-ACCLIMATION; COLD TOLERANCE; RICHTERSIUS-CORONIFER; ANTARCTIC NEMATODE; TEMPERATURE; SURVIVAL; ANHYDROBIOSIS; GENUS</t>
  </si>
  <si>
    <t>Invertebrates living in extreme environments as well as those living tender unpredictable habitat conditions must be able to survive severe environmental stresses bound to their habitats. Tardigrades represent a good animal model to analyze responses evolved by organisms to overcome extreme environmental stresses or to colonize extreme environments because they respond to desiccation or freezing in their habitats by entering cryptobiosis. The responses to environmental stresses have been evaluated almost exclusively in terrestrial tardigrades, while very little is known about the ability of limnic species to tolerate those stresses. This study evaluates the responses of the limnic boreo-alpine species Borealibius zetlandicus, under lab conditions, to stresses imposed by desiccation and temperature variation (freezing and heating). Our results indicate that active specimens are able to freeze, confirming the cryobiotic ability of this species. There is a negative correlation between survival and cooling rates. In contrast. no specimens of B. zetlandicus are able to survive desiccation. With regard to thermal tolerance, the animals show a high ability to resist heal-shock (LT50 = 33.0 +/- 0.5 degrees C) for a short time. This wide tolerance to different environmental parameters could be the reason for the wide distribution of the species. Due to the disjunct distribution of the species and to the potential presence of cryptic tardigrade species that could have different ecological and physiological responses, we decided to characterize the population studied from a molecular point of view by investigating its COI mtDNA sequences.</t>
  </si>
  <si>
    <t>[Rebecchi, Lorena; Boschini, Deborah; Bertolani, Roberto] Univ Modena, Dept Anim Biol, I-41100 Modena, Italy; [Boschini, Deborah; Cesari, Michele; Lencioni, Valeria] Museum Nat Sci, Dept Invertebrate Zool &amp; Hydrobiol, Trento, Italy; [Guidetti, Roberto] Univ Modena, Dept Museum Paleobiol &amp; Bot Garden, I-41100 Modena, Italy</t>
  </si>
  <si>
    <t>Universita di Modena e Reggio Emilia; Universita di Modena e Reggio Emilia</t>
  </si>
  <si>
    <t>Rebecchi, L (corresponding author), Univ Modena, Dept Anim Biol, Via Campi 213-D, I-41100 Modena, Italy.</t>
  </si>
  <si>
    <t>rebecchi.lorena@unimore.it</t>
  </si>
  <si>
    <t>Cesari, Michele/AAS-4964-2020; Guidetti, Roberto/H-2855-2012; Lencioni, Valeria/G-1935-2011; Lencioni, Valeria/O-4738-2019; Rebecchi, Lorena/E-1653-2015</t>
  </si>
  <si>
    <t>Cesari, Michele/0000-0001-8857-3791; Guidetti, Roberto/0000-0001-6079-2538; Lencioni, Valeria/0000-0002-4341-9923; Lencioni, Valeria/0000-0002-4341-9923; Rebecchi, Lorena/0000-0001-5610-806X</t>
  </si>
  <si>
    <t>1129-5767</t>
  </si>
  <si>
    <t>1723-8633</t>
  </si>
  <si>
    <t>J LIMNOL</t>
  </si>
  <si>
    <t>J. Limnol.</t>
  </si>
  <si>
    <t>10.4081/jlimnol.2009.64</t>
  </si>
  <si>
    <t>448IW</t>
  </si>
  <si>
    <t>WOS:000266257300007</t>
  </si>
  <si>
    <t>Hibbert, A; Leach, H; Strass, V; Cisewski, B</t>
  </si>
  <si>
    <t>Hibbert, Angela; Leach, Harry; Strass, Volker; Cisewski, Boris</t>
  </si>
  <si>
    <t>Mixing in cyclonic eddies in the Antarctic Circumpolar Current</t>
  </si>
  <si>
    <t>POTENTIAL VORTICITY; DRAKE PASSAGE; ABYSSAL OCEAN; EDDY TRANSFER; CIRCULATION; SPIRALS; FRONT; WATER; ZONE; RING</t>
  </si>
  <si>
    <t>Observations over a period of 39 days of the increasing minimum core temperature of Winter Water trapped within a mature cyclonic eddy in the Antarctic Circumpolar Current encouraged us to assess the mixing processes which might lead to this temperature rise. Using diffusive heat budgets for alternatively diapycnic (similar to vertical) and then isopycnic (similar to horizontal) mixing combined with the observed rate of warming allowed upper limits for diapycnic and isopycnic diffusivities to be inferred. This gave values of (3.3 +/- 0.8) x 10(-4) m(2) s(-1) and 87 +/- 20 m(2) s(-1) for the diapycnic and isopycnic diffusivities respectively. These were then in turn applied to the isopycnic temperature distributions of a juvenile eddy observed earlier in the cruise and integrated forward in time. While both forms of diffusion undoubtedly play a role in modifying the temperature, it was the horizontal diffusivity which was better able to reproduce the tighter theta S relationship and the horizontal spread of the temperature minimum observed in the mature eddy.</t>
  </si>
  <si>
    <t>[Hibbert, Angela; Leach, Harry] Univ Liverpool, Dept Earth &amp; Ocean Sci, Liverpool L69 3GP, Merseyside, England; [Strass, Volker; Cisewski, Boris] Alfred Wegener Inst Polar &amp; Marine Res, D-27515 Bremerhaven, Germany</t>
  </si>
  <si>
    <t>University of Liverpool; Helmholtz Association; Alfred Wegener Institute, Helmholtz Centre for Polar &amp; Marine Research</t>
  </si>
  <si>
    <t>Leach, H (corresponding author), Univ Liverpool, Dept Earth &amp; Ocean Sci, Liverpool L69 3GP, Merseyside, England.</t>
  </si>
  <si>
    <t>leach@liv.ac.uk</t>
  </si>
  <si>
    <t>Strass, Volker/0000-0002-7539-1400; Cisewski, Boris/0000-0002-1130-6107; Leach, Harry/0000-0003-1774-5167</t>
  </si>
  <si>
    <t>1543-9542</t>
  </si>
  <si>
    <t>10.1357/002224009788597935</t>
  </si>
  <si>
    <t>464JK</t>
  </si>
  <si>
    <t>WOS:000267501000001</t>
  </si>
  <si>
    <t>Alter, SE; Palumbi, SR</t>
  </si>
  <si>
    <t>Alter, S. Elizabeth; Palumbi, Stephen R.</t>
  </si>
  <si>
    <t>Comparing Evolutionary Patterns and Variability in the Mitochondrial Control Region and Cytochrome b in Three Species of Baleen Whales</t>
  </si>
  <si>
    <t>Substitution rate; Mammalian; Mitochondrial genome; Marine mammal; Cetacea</t>
  </si>
  <si>
    <t>SUBSTITUTION-RATE VARIATION; NUCLEOTIDE SUBSTITUTION; POPULATION-SIZE; DNA VARIATION; BODY-SIZE; DIVERSITY; SITES; RATES; TIME; SEQUENCES</t>
  </si>
  <si>
    <t>The rapidly evolving mitochondrial control region remains an important source of information on phylogeography and demographic history for cetaceans and other vertebrates, despite great uncertainty in the rate of nucleotide substitution across both nucleotide positions and lineages. Patterns of variation in linked markers with slower rates of evolution can potentially be used to calibrate the rate of nucleotide substitution in the control region and to better understand the interplay of evolutionary and demographic forces across the mitochondrial genome above and below the species level. We have examined patterns of diversity within and between three baleen whale species (gray, humpback, and Antarctic minke whales) in order to determine how patterns of molecular evolution differ between cytochrome b and the control region. Our results show that cytochrome b is less variable than expected given the diversity in the control region for gray and humpback whales, even after functional differences are taken into account, but more variable than expected for minke whales. Differences in the frequency distributions of polymorphic sites and in best-fit models of nucleotide substitution indicate that these patterns may be the result of hypervariability in the control region in gray and humpback whales but, in minke whales, may result from a large, stable or expanding population size coupled with saturation at the control region. Using paired cytochrome b and control region data across individuals, we show that the average rate of nucleotide substitution in the control region may be on average 2.6 times higher than phylogenetically derived estimates in cetaceans. These results highlight the complexity of making inferences from control region data alone and suggest that applying simple rules of DNA sequence analyses across species may be difficult.</t>
  </si>
  <si>
    <t>[Alter, S. Elizabeth; Palumbi, Stephen R.] Stanford Univ, Dept Biol Sci, Hopkins Marine Stn, Pacific Grove, CA 93950 USA; [Alter, S. Elizabeth] NRDC, New York, NY 10011 USA</t>
  </si>
  <si>
    <t>Stanford University</t>
  </si>
  <si>
    <t>Alter, SE (corresponding author), NRDC, 40 W 20th St, New York, NY 10011 USA.</t>
  </si>
  <si>
    <t>lalter@nrdc.org</t>
  </si>
  <si>
    <t>1432-1432</t>
  </si>
  <si>
    <t>10.1007/s00239-008-9193-2</t>
  </si>
  <si>
    <t>404JF</t>
  </si>
  <si>
    <t>WOS:000263147100009</t>
  </si>
  <si>
    <t>d'Acoz, CD; Vader, W</t>
  </si>
  <si>
    <t>d'Acoz, Cedric d'Udekem; Vader, Wim</t>
  </si>
  <si>
    <t>On Liljeborgia fissicornis (M. Sars, 1858) and three related new species from Scandinavia, with a hypothesis on the origin of the group fissicornis</t>
  </si>
  <si>
    <t>JOURNAL OF NATURAL HISTORY</t>
  </si>
  <si>
    <t>Liljeborgia; Amphipoda; Atlantic; Arctic; deep-sea</t>
  </si>
  <si>
    <t>SOUTHERN-OCEAN; DEEP-SEA; BIODIVERSITY; SHELF</t>
  </si>
  <si>
    <t>The large and common Scandinavian amphipod Liljeborgia fissicornis (M. Sars) is split into four species: the deep-water L. caliginis sp. nov. and L. charybdis sp. nov., and the shallow-water L. fissicornis and L. ossiani sp. nov. The poorly known species L. polosi Barnard and Karaman, recorded from the deep Canadian Basin of the Arctic Ocean, is considered as belonging to the same group. All those northern species are completely devoid of eyes, while similar species from the Antarctic and sub-Antarctic continental shelf do have eyes. It is hypothesized that the group fissicornis, which is specific to cold waters, derives from ancestors living on the continental shelf of the Southern Ocean. These ancestors would have adapted to deep-sea environments, losing their eyes completely. Then they would have migrated northwards through the cold abyss, and reached the cold but shallow waters of the Arctic/sub-Arctic continental shelf, without redeveloping visual organs.</t>
  </si>
  <si>
    <t>[d'Acoz, Cedric d'Udekem] Royal Belgian Inst Nat Sci, Dept Invertebrates, Brussels, Belgium; [Vader, Wim] Univ Tromso, Dept Zool, Tromso Museum, Tromso, Norway</t>
  </si>
  <si>
    <t>Royal Belgian Institute of Natural Sciences; UiT The Arctic University of Tromso</t>
  </si>
  <si>
    <t>d'Acoz, CD (corresponding author), Royal Belgian Inst Nat Sci, Dept Invertebrates, Brussels, Belgium.</t>
  </si>
  <si>
    <t>cedric.dudekem@naturalsciences.be</t>
  </si>
  <si>
    <t>0022-2933</t>
  </si>
  <si>
    <t>1464-5262</t>
  </si>
  <si>
    <t>J NAT HIST</t>
  </si>
  <si>
    <t>J. Nat. Hist.</t>
  </si>
  <si>
    <t>33-34</t>
  </si>
  <si>
    <t>10.1080/00222930903094647</t>
  </si>
  <si>
    <t>Biodiversity Conservation; Ecology; Zoology</t>
  </si>
  <si>
    <t>Biodiversity &amp; Conservation; Environmental Sciences &amp; Ecology; Zoology</t>
  </si>
  <si>
    <t>495UW</t>
  </si>
  <si>
    <t>WOS:000269921500005</t>
  </si>
  <si>
    <t>Antonov, AS; Avilov, SA; Kalinovsky, AI; Anastyuk, SD; Dmitrenok, PS; Kalinin, VI; Taboada, S; Bosh, A; Avila, C; Stonik, VA</t>
  </si>
  <si>
    <t>Antonov, Alexandr S.; Avilov, Sergey A.; Kalinovsky, Anatoly I.; Anastyuk, Stanislav D.; Dmitrenok, Pavel S.; Kalinin, Vladimir I.; Taboada, Sergi; Bosh, Aina; Avila, Conxita; Stonik, Valentin A.</t>
  </si>
  <si>
    <t>Triterpene Glycosides from Antarctic Sea Cucumbers. 2. Structure of Achlioniceosides A1, A2, and A3 from the Sea Cucumber Achlionice violaecuspidata (=Rhipidothuria racowitzai)</t>
  </si>
  <si>
    <t>JOURNAL OF NATURAL PRODUCTS</t>
  </si>
  <si>
    <t>MARINE NATURAL-PRODUCTS; STAUROCUCUMIS-LIOUVILLEI; OLIGOGLYCOSIDES; HOLOTHURIA</t>
  </si>
  <si>
    <t>Three new triterpene glycosides, achlioniceosides A(1) (1), A(2) (2), and A(3) (3), have been isolated from the Antarctic sea cucumber Achlionice violaecuspidata. The glycoside structures were elucidated using extensive NMR spectroscopic analysis including one-dimensional H-1 and C-13 spectra, H-1-H-1-COSY, HMBC, HMQC, and NOESY and mass spectrometry. Gycosides 1-3 are disulfated pentaosides that are branched at the first xylose residue. The sulfates are attached to C-6 of the glucose residues. Glycosides 1-3 are the first triterpene glycosides isolated from a sea Cucumber belonging to the order Elasipodida.</t>
  </si>
  <si>
    <t>[Antonov, Alexandr S.; Avilov, Sergey A.; Kalinovsky, Anatoly I.; Anastyuk, Stanislav D.; Dmitrenok, Pavel S.; Kalinin, Vladimir I.; Stonik, Valentin A.] Russian Acad Sci, Pacific Inst Bioorgan Chem, Far E Div, Vladivostok 690022, Russia; [Taboada, Sergi; Bosh, Aina; Avila, Conxita] Univ Barcelona, Fac Biol, Dept Anim Biol Invertebrates, E-08028 Barcelona, Spain</t>
  </si>
  <si>
    <t>Elyakov Pacific Institute of Bioorganic Chemistry; Russian Academy of Sciences; University of Barcelona</t>
  </si>
  <si>
    <t>Kalinin, VI (corresponding author), Russian Acad Sci, Pacific Inst Bioorgan Chem, Far E Div, Pr 100 Lelya Vladivostoka 159, Vladivostok 690022, Russia.</t>
  </si>
  <si>
    <t>kalininv@piboc.dvo.ru</t>
  </si>
  <si>
    <t>Kalinin, Vladimir/M-9951-2013; Antonov, Aleksandr/N-2869-2013; Avilov, Sergey I/N-2837-2013; Avila, Conxita/B-9466-2008; Dmitrenok, Pavel S/N-3307-2013; Taboada, Sergi/AAB-9390-2021; Anastyuk, Stanislav/M-9987-2013; Stonik, Valentin/O-1985-2013</t>
  </si>
  <si>
    <t>Avila, Conxita/0000-0002-5489-8376; Taboada, Sergi/0000-0003-1669-1152; Anastyuk, Stanislav/0000-0002-6286-4256; Stonik, Valentin/0000-0002-8213-8411</t>
  </si>
  <si>
    <t>Presidium of the Russian Academy of Sciences; President of the Russian Federation for support of scientific schools [NSH-2813.2008.4]; RFBR [RFBR06-04-96016]; FEBRAS-UBRAS [06-2Y-0-05-009]; NATO [CBP.NR.CLG. 982737]; ECOQUIM [REN2002-12006-E/ANT, REN2003-00545, CGL2004-03356/ANT]</t>
  </si>
  <si>
    <t>Presidium of the Russian Academy of Sciences(Russian Academy of Sciences); President of the Russian Federation for support of scientific schools; RFBR(Russian Foundation for Basic Research (RFBR)); FEBRAS-UBRAS(Russian Academy of Sciences); NATO(NATO (North Atlantic Treaty Organisation)); ECOQUIM</t>
  </si>
  <si>
    <t>The authors acknowledge the financial support from Grant of Presidium of the Russian Academy of Sciences Molecular and Cell Biology and Grant of the President of the Russian Federation for support of scientific schools No. NSH-2813.2008.4, RFBR grant No. 06-04-96016, FEBRAS-UBRAS No. 06-2Y-0-05-009, and the NATO grant CBP.NR.CLG. 982737. The authors would also like to thank W. Arntz and the crew of R/V Polarstern (AWI) for their help during the cruise ANTXXI/2. Thanks are also due to M. Ballesteros for his help in the identification of the holothurians. We are thankful for the support of the ECOQUIM projects (REN2002-12006-E/ANT, REN2003-00545, and CGL2004-03356/ANT) from Spain. The authors are very appreciative to J. M. Lawrence from the University of South Florida (Tampa, FL) for correction of the manuscript.</t>
  </si>
  <si>
    <t>0163-3864</t>
  </si>
  <si>
    <t>J NAT PROD</t>
  </si>
  <si>
    <t>J. Nat. Prod.</t>
  </si>
  <si>
    <t>10.1021/np800469v</t>
  </si>
  <si>
    <t>Plant Sciences; Chemistry, Medicinal; Pharmacology &amp; Pharmacy</t>
  </si>
  <si>
    <t>Science Citation Index Expanded (SCI-EXPANDED); Index Chemicus (IC)</t>
  </si>
  <si>
    <t>Plant Sciences; Pharmacology &amp; Pharmacy</t>
  </si>
  <si>
    <t>398WH</t>
  </si>
  <si>
    <t>WOS:000262761700008</t>
  </si>
  <si>
    <t>Catry, P; Matias, R; Vicente, L; Granadeiro, JP</t>
  </si>
  <si>
    <t>Catry, Paulo; Matias, Rafael; Vicente, Luis; Granadeiro, Jose Pedro</t>
  </si>
  <si>
    <t>Brood-guarding behaviour in Cory's Shearwaters Calonectris diomedea</t>
  </si>
  <si>
    <t>Brooding; Parental care; synchronisation hypothesis</t>
  </si>
  <si>
    <t>PARENTAL DECISIONS; ANTARCTIC PETREL; BODY-MASS; CHICK; AGE</t>
  </si>
  <si>
    <t>Brood-guarding (or the continual attendance at the nest by one parent) has been relatively little studied in altricial birds. Parental investment in brood-guarding is often highly variable within a species, and the study of such variability may contribute to the understanding of the functions and regulation of this behaviour and of the tradeoffs involved in the choice between attending the nest and leaving to forage. In some colonial birds, it has been found that early nesting pairs attend their chick for longer than later nesting counterparts, giving rise to the synchronisation hypothesis that suggests that early pairs prolong brood-guarding in order to reduce the probability of nest predation by a dilution effect. In this paper, for the first time we test the prediction that burrow-nesting colonial birds subject to little predation pressure should not display a seasonal decline in brood-guarding duration. The growth assistance hypothesis suggests that brood-guarding may allow the provision of frequent small meals and the efficient use of energy by chicks with poor homeothermic capabilities, resulting in improved early chick-growth. Finally, the chick-protection hypothesis predicts that chicks in more exposed nests should be brood-guarded for longer. Data collected at two Cory's Shearwater Calonectris diomedea colonies situated in contrasting environments supported the synchronisation hypothesis, as there was no seasonal trend in brood-guarding duration. Contrary to the growth assistance hypothesis, chicks brood-guarded for longer periods did not have an improved growth ( in one colony there was even a negative effect of brood-guarding on early chick development). Finally, we found no difference in brood-guarding between nests with contrasting levels of exposure to potential predators and weather. Despite confirming the prediction of the synchronisation hypothesis, more research is needed to identify the main factors underlying the variability of brood-guarding observed in this and other studies.</t>
  </si>
  <si>
    <t>[Catry, Paulo; Matias, Rafael; Vicente, Luis] Inst Super Psicol Aplicada, Unidad Invest Ecoetol, P-1149041 Lisbon, Portugal; [Granadeiro, Jose Pedro] Museo Nacl Hist Nat, Ctr Biol Ambiental, P-1299102 Lisbon, Portugal</t>
  </si>
  <si>
    <t>Instituto Superior Psicologia Aplicada (ISPA)</t>
  </si>
  <si>
    <t>Catry, P (corresponding author), Inst Super Psicol Aplicada, Unidad Invest Ecoetol, Rua Jardim Tabaco 34, P-1149041 Lisbon, Portugal.</t>
  </si>
  <si>
    <t>paulo.catry@gmail.com</t>
  </si>
  <si>
    <t>Granadeiro, José Pedro/E-8060-2011; Catry, Paulo/I-5408-2013</t>
  </si>
  <si>
    <t>Granadeiro, José Pedro/0000-0002-7207-3474; Catry, Paulo/0000-0003-3000-0522</t>
  </si>
  <si>
    <t>Fundacao para a Ciencia e a Tecnologia [PDCT/MAR/58778/2004]; FCT [BPD/11631/02, SFRH/BPD/30031/2006]; [UID 331/94]; Fundação para a Ciência e a Tecnologia [PDCT/MAR/58778/2004, SFRH/BPD/30031/2006] Funding Source: FCT</t>
  </si>
  <si>
    <t>Fundacao para a Ciencia e a Tecnologia(Fundacao para a Ciencia e a Tecnologia (FCT)); FCT(Fundacao para a Ciencia e a Tecnologia (FCT)); ; Fundação para a Ciência e a Tecnologia(Fundacao para a Ciencia e a Tecnologia (FCT))</t>
  </si>
  <si>
    <t>Paulo Oliveira, Dilia Menezes and Antonio Teixeira provided permissions to carry out the work and, together with the wardens at the two Nature Reserves where this study took place, gave important logistical support. This study is an output from a project on the ecology of Cory's Shearwaters (PDCT/MAR/58778/2004) supported by Fundacao para a Ciencia e a Tecnologia (FCT-Portugal). P. Catry benefited from postdoctoral fellowships from FCT (BPD/11631/02 and SFRH/BPD/30031/2006) and further support was received through Programa Plurianual (UI&amp;D 331/94).</t>
  </si>
  <si>
    <t>10.1007/s10336-008-0322-x</t>
  </si>
  <si>
    <t>379VR</t>
  </si>
  <si>
    <t>WOS:000261424800011</t>
  </si>
  <si>
    <t>Thompson, AF; Heywood, KJ; Thorpe, SE; Renner, AHH; Trasviña, A</t>
  </si>
  <si>
    <t>Thompson, Andrew F.; Heywood, Karen J.; Thorpe, Sally E.; Renner, Angelika H. H.; Trasvina, Armando</t>
  </si>
  <si>
    <t>Surface Circulation at the Tip of the Antarctic Peninsula from Drifters</t>
  </si>
  <si>
    <t>KRILL EUPHAUSIA-SUPERBA; SCOTIA SEA; WEDDELL SEA; SOUTHERN-OCEAN; BOTTOM WATER; TRANSPORT; PHYTOPLANKTON; VARIABILITY; BRANSFIELD; ALTIMETRY</t>
  </si>
  <si>
    <t>An array of 40 surface drifters, drogued at 15-m depth, was deployed in February 2007 to the east of the tip of the Antarctic Peninsula as part of the Antarctic Drifter Experiment: Links to Isobaths and Ecosystems (ADELIE) project. Data obtained from these drifters and from a select number of local historical drifters provide the most detailed observations to date of the surface circulation in the northwestern Weddell Sea. The Antarctic Slope Front (ASF), characterized by a similar to 20 cm s(-1) current following the 1000-m isobath, is the dominant feature east of the peninsula. The slope front bifurcates when it encounters the South Scotia Ridge with the drifters following one of three paths. Drifters (i) are carried westward into Bransfield Strait; (ii) follow the 1000-m isobath to the east along the southern edge of the South Scotia Ridge; or (iii) become entrained in a large-standing eddy over the South Scotia Ridge. Drifters are strongly steered by contours of f/h (Coriolis frequency/depth) as shown by calculations of the first two moments of displacement in both geographic coordinates and coordinates locally aligned with contours of f/h. An eddy-mean decomposition of the drifter velocities indicates that shear in the mean flow makes the dominant contribution to dispersion in the along-f/h direction, but eddy processes are more important in dispersing particles across contours of f/h. The results of the ADELIE study suggest that the circulation near the tip of the Antarctic Peninsula may influence ecosystem dynamics in the Southern Ocean through Antarctic krill transport and the export of nutrients.</t>
  </si>
  <si>
    <t>[Thompson, Andrew F.; Heywood, Karen J.; Renner, Angelika H. H.] Univ E Anglia, Sch Environm Sci, Norwich NR4 7TJ, Norfolk, England; [Thorpe, Sally E.; Renner, Angelika H. H.] Natl Environm Res Council, British Antarctic Survey, Cambridge, England; [Trasvina, Armando] Ctr Invest Cient &amp; Educ Super Ensenada, Dept Oceanog Fis, Unidad La Paz, La Paz, Mexico</t>
  </si>
  <si>
    <t>University of East Anglia; UK Research &amp; Innovation (UKRI); Natural Environment Research Council (NERC); NERC British Antarctic Survey; CICESE - Centro de Investigacion Cientifica y de Educacion Superior de Ensenada</t>
  </si>
  <si>
    <t>Thompson, AF (corresponding author), Univ Cambridge, Dept Appl Math &amp; Theoret Phys, Wilberforce Rd, Cambridge CB3 0WA, England.</t>
  </si>
  <si>
    <t>a.f.thompson@damtp.cam.ac.uk</t>
  </si>
  <si>
    <t>; Heywood, Karen/L-1757-2016</t>
  </si>
  <si>
    <t>Thorpe, Sally/0000-0002-5193-6955; Renner, Angelika/0000-0002-9997-6366; Heywood, Karen/0000-0001-9859-0026</t>
  </si>
  <si>
    <t>Natural Environment Research Council [NE/E013171/1, NE/C50633X/1] Funding Source: researchfish; NERC [NE/E013171/1, NE/C50633X/1] Funding Source: UKRI</t>
  </si>
  <si>
    <t>10.1175/2008JPO3995.1</t>
  </si>
  <si>
    <t>410DT</t>
  </si>
  <si>
    <t>WOS:000263557800001</t>
  </si>
  <si>
    <t>Smith, KS; Marshall, J</t>
  </si>
  <si>
    <t>Smith, K. Shafer; Marshall, John</t>
  </si>
  <si>
    <t>Evidence for Enhanced Eddy Mixing at Middepth in the Southern Ocean</t>
  </si>
  <si>
    <t>ANTARCTIC CIRCUMPOLAR CURRENT; QUASI-GEOSTROPHIC TURBULENCE; MEAN FLOW; BAROCLINIC INSTABILITY; GENERAL-CIRCULATION; DIFFUSIVITY; EDDIES; VARIABILITY; TRANSPORT; DYNAMICS</t>
  </si>
  <si>
    <t>Satellite altimetric observations of the ocean reveal surface pressure patterns in the core of the Antarctic Circumpolar Current (ACC) that propagate downstream (eastward) but slower than the mean surface current by about 25%. The authors argue that these observations are suggestive of baroclinically unstable waves that have a steering level at a depth of about 1 km. Detailed linear stability calculations using a hydrographic atlas indeed reveal a steering level in the ACC near the depth implied by the altimetric observations. Calculations using a nonlinear model forced by the mean shear and stratification observed close to the core of the ACC, coinciding with a position where mooring data and direct eddy flux measurements are available, reveal a similar picture, albeit with added details. When eddy fluxes are allowed to adjust the mean state, computed eddy kinetic energy and eddy stress are close to observed magnitudes with steering levels between 1 and 1.5 km, broadly consistent with observations. An important result of this study is that the vertical structure of the potential vorticity (PV) eddy diffusivity is strongly depth dependent, implying that the diffusivity for PV and buoyancy are very different from one another. It is shown that the flow can simultaneously support a PV diffusivity peaking at 5000 m(2) s(-1) or so near the middepth steering level and a buoyancy diffusivity that is much smaller, of order 1000 m(2) s(-1), exhibiting less vertical structure. An effective diffusivity calculation, using an advected and diffused tracer transformed into area coordinates, confirms that the PV diffusivity more closely reflects the mixing properties of the flow than does the buoyancy diffusivity, and points explicitly to the need for separating tracer and buoyancy flux parameterizations in coarse-resolution general circulation models. Finally, implications for the eddy-driven circulation of the ACC are discussed.</t>
  </si>
  <si>
    <t>[Smith, K. Shafer] NYU, Ctr Atmospher Ocean Sci, Courant Inst Math Sci, New York, NY 10012 USA; [Marshall, John] MIT, Dept Earth Atmospher &amp; Planetary Sci, Cambridge, MA USA</t>
  </si>
  <si>
    <t>New York University; Massachusetts Institute of Technology (MIT)</t>
  </si>
  <si>
    <t>Smith, KS (corresponding author), NYU, Ctr Atmospher Ocean Sci, Courant Inst Math Sci, 251 Mercer St, New York, NY 10012 USA.</t>
  </si>
  <si>
    <t>shafer@cims.nyu.edu</t>
  </si>
  <si>
    <t>Smith, Kendall/A-4581-2017</t>
  </si>
  <si>
    <t>Smith, Kendall/0000-0003-0740-3067</t>
  </si>
  <si>
    <t>NSF [OCE0327470.]</t>
  </si>
  <si>
    <t>The authors thank Helen Hill for a great deal of help with the figures and analysis, Chris Hughes for use of his altimetric phase speed analysis, Nikolai Maximenko for use of his surface drifter data, and Geoff Vallis for discussions and advice. JM acknowledges the support of the Polar Programs Division of NSF; KSS acknowledges the support of NSF Grant OCE0327470. Both authors acknowledge the support of the GFD program, sponsored by NSF OCE.</t>
  </si>
  <si>
    <t>10.1175/2008JPO3880.1</t>
  </si>
  <si>
    <t>WOS:000263557800003</t>
  </si>
  <si>
    <t>Wolfe, CL; Cessi, P</t>
  </si>
  <si>
    <t>Wolfe, Christopher L.; Cessi, Paola</t>
  </si>
  <si>
    <t>Overturning Circulation in an Eddy-Resolving Model: The Effect of the Pole-to-Pole Temperature Gradient</t>
  </si>
  <si>
    <t>LARGE-SCALE CIRCULATION; THERMOHALINE CIRCULATION; GENERAL-CIRCULATION; OCEAN CIRCULATION; MESOSCALE EDDIES; SOUTHERN-OCEAN; THERMOCLINE; WIND; STRATIFICATION; TRANSPORT</t>
  </si>
  <si>
    <t>The effect of the pole-to-pole surface temperature difference on the deep stratification and the strength of the global meridional overturning circulation (MOC) is examined in an eddy-resolving ocean model configured in an idealized domain roughly representing the Atlantic sector. Mesoscale eddies lead to qualitative differences in the mean stratification and the MOC compared to laminar (i.e., eddy free) models. For example, the spreading of fluid across the model's representation of the Antarctic Circumpolar Current (ACC) no longer relies on the existence of a sill in the ACC. In addition, the deep-and bottom-water masses roughly representing North Atlantic Deep Water (NADW) and Antarctic Bottom Water (ABW), respectively-are eroded by the eddies so that their zonal and meridional extents are much smaller than in the laminar case. It is found that if the north pole temperature is sufficiently warm, the formation of northern deep water is suppressed and the middepth cell is small and weak while the deep cell is large and vigorous. In contrast, if the north pole temperature is in the range of the southern channel temperatures, the middepth cell is large and strong while the deep cell has a reduced amplitude. This result is consistent with the predictions of the laminar theory of the MOC. In contrast to the laminar theory, realistically strong deep stratification is formed even if the temperature at the northern sinking site is warmer than any temperature found in the channel. Indeed, middepth stratification is actually stronger in the latter case than the former case.</t>
  </si>
  <si>
    <t>[Wolfe, Christopher L.; Cessi, Paola] Univ Calif San Diego, Scripps Inst Oceanog, La Jolla, CA 92093 USA</t>
  </si>
  <si>
    <t>University of California System; University of California San Diego; Scripps Institution of Oceanography</t>
  </si>
  <si>
    <t>Wolfe, CL (corresponding author), Univ Calif San Diego, Scripps Inst Oceanog, 9500 Gilman Dr, La Jolla, CA 92093 USA.</t>
  </si>
  <si>
    <t>clwolfe@ucsd.edu</t>
  </si>
  <si>
    <t>Pitt Wolfe, Christopher/0000-0002-7062-2070</t>
  </si>
  <si>
    <t>DOE</t>
  </si>
  <si>
    <t>DOE(United States Department of Energy (DOE))</t>
  </si>
  <si>
    <t>The authors acknowledge the support of the DOE under the SciDAC program. Computational resources were provided by the San Diego Supercomputer Center, the National Center for Computational Sciences, and the National Energy Research Scientific Computing Center. We thank Bill Young for helpful discussions and suggestions. The suggestions of two anonymous reviewers significantly improved this text.</t>
  </si>
  <si>
    <t>10.1175/2008JPO3991.1</t>
  </si>
  <si>
    <t>WOS:000263557800007</t>
  </si>
  <si>
    <t>Haase, D; Lamers, M; Amelung, B</t>
  </si>
  <si>
    <t>Haase, Daniela; Lamers, Machiel; Amelung, Bas</t>
  </si>
  <si>
    <t>Heading into uncharted territory? Exploring the institutional robustness of self-regulation in the Antarctic tourism sector</t>
  </si>
  <si>
    <t>JOURNAL OF SUSTAINABLE TOURISM</t>
  </si>
  <si>
    <t>Antarctic tourism; common pool resources; institutional design principles; self-regulation; tourism management; tourism regulation</t>
  </si>
  <si>
    <t>SUSTAINABLE TOURISM; COMMONS; GUIDELINES; MANAGEMENT; GOVERNANCE</t>
  </si>
  <si>
    <t>This paper analyses the main strengths and weaknesses of self-regulation in the Antarctic tourism sector. Ostrom's theory of collective action and especially the design principles for robust management of common pool resources provide the framework for this analysis. The paper notes the rapid growth and diversification of tourism in Antarctica over the past two decades. It examines why formal tourism legislation has been limited because of the complex governance structure in Antarctica. It describes the self-regulation of tourism management that occurs through the International Association of Antarctica Tour Operators (IAATO). The success of IAATO is attributed to the high degree of organisation in the sector, largely because of the perceived benefits of membership. Continued incentives for self-organisation are needed but changing circumstances may lead tour operators to believe that IAATO membership is no longer advantageous. The paper shows that, under current conditions, the Antarctic tourism self-regulatory regime is a robust institution. However, with increasing numbers of tourists and operators the institutional structure may be weakened in the future.</t>
  </si>
  <si>
    <t>[Haase, Daniela] Univ Canterbury, Christchurch 1, New Zealand; [Lamers, Machiel; Amelung, Bas] Univ Maastricht, Int Ctr Integrated Assessment &amp; Sustainable Dev, Maastricht, Netherlands</t>
  </si>
  <si>
    <t>University of Canterbury; Maastricht University</t>
  </si>
  <si>
    <t>Haase, D (corresponding author), Univ Canterbury, Christchurch 1, New Zealand.</t>
  </si>
  <si>
    <t>daniela.haase@canterbury.ac.nz</t>
  </si>
  <si>
    <t>Amelung, Bas/AAD-4323-2019</t>
  </si>
  <si>
    <t>Amelung, Bas/0000-0001-8501-9787; Lamers, Machiel/0000-0002-4189-3066</t>
  </si>
  <si>
    <t>2-4 PARK SQUARE, MILTON PARK, ABINGDON OX14 4RN, OXON, ENGLAND</t>
  </si>
  <si>
    <t>0966-9582</t>
  </si>
  <si>
    <t>1747-7646</t>
  </si>
  <si>
    <t>J SUSTAIN TOUR</t>
  </si>
  <si>
    <t>J. Sustain. Tour.</t>
  </si>
  <si>
    <t>PII 908132256</t>
  </si>
  <si>
    <t>10.1080/09669580802495717</t>
  </si>
  <si>
    <t>Green &amp; Sustainable Science &amp; Technology; Hospitality, Leisure, Sport &amp; Tourism</t>
  </si>
  <si>
    <t>Science &amp; Technology - Other Topics; Social Sciences - Other Topics</t>
  </si>
  <si>
    <t>459LY</t>
  </si>
  <si>
    <t>WOS:000267105300001</t>
  </si>
  <si>
    <t>Jones, BA; Lavery, AC; Stanton, TK</t>
  </si>
  <si>
    <t>Jones, Benjamin A.; Lavery, Andone C.; Stanton, Timothy K.</t>
  </si>
  <si>
    <t>Use of the distorted wave Born approximation to predict scattering by inhomogeneous objects: Application to squid</t>
  </si>
  <si>
    <t>acoustic wave scattering; approximation theory; bioacoustics; computerised tomography; inhomogeneous media; underwater sound; zoology</t>
  </si>
  <si>
    <t>ACOUSTIC TARGET STRENGTH; ANTARCTIC KRILL; SOUND-SCATTERING; TODARODES-PACIFICUS; 120 KHZ; ZOOPLANKTON; MODELS; MICROSTRUCTURE; ORIENTATION; CYLINDERS</t>
  </si>
  <si>
    <t>A new method has been developed to predict acoustic scattering by weakly scattering objects with three-dimensional variability in sound speed and density. This variability can take the form of inhomogeneities within the body of the scatterer and/or geometries where the acoustic wave passes through part of the scattering body, into the surrounding medium, and back into the body. This method applies the distorted wave Born approximation (DWBA) using a numerical approach that rigorously accounts for the phase changes within a scattering volume. Ranges of validity with respect to material properties and numerical considerations are first explored through comparisons with modal-series-based predictions of scattering by fluid-filled spherical and cylindrical fluid shells. The method is then applied to squid and incorporates high resolution spiral computerized tomography (SCT) scans of the complex morphology of the organism. Target strength predictions based on the SCT scans are compared with published backscattering data from live, freely swimming and tethered squid. The new method shows significant improvement for both single-orientation and orientation-averaged scattering predictions over the DWBA-homogeneous-prolate-spheroid model.</t>
  </si>
  <si>
    <t>[Jones, Benjamin A.; Lavery, Andone C.; Stanton, Timothy K.] Woods Hole Oceanog Inst, Dept Appl Ocean Phys &amp; Engn, Woods Hole, MA 02543 USA</t>
  </si>
  <si>
    <t>Woods Hole Oceanographic Institution</t>
  </si>
  <si>
    <t>Jones, BA (corresponding author), USS Bonhomme Richard LHD 6, FPO, AP 96617 USA.</t>
  </si>
  <si>
    <t>bnyjones@gmail.com</t>
  </si>
  <si>
    <t>Lavery, Andone/0000-0002-0713-1623</t>
  </si>
  <si>
    <t>10.1121/1.3021298</t>
  </si>
  <si>
    <t>397OS</t>
  </si>
  <si>
    <t>WOS:000262672600020</t>
  </si>
  <si>
    <t>Devinsky, J; Lowenstein, D; McElrea, R</t>
  </si>
  <si>
    <t>Devinsky, Janna; Lowenstein, Daniel; McElrea, Richard</t>
  </si>
  <si>
    <t>Harold Shaw and the Ross Sea Party: Epilepsy in the Antarctic</t>
  </si>
  <si>
    <t>JOURNAL OF THE HISTORY OF THE NEUROSCIENCES</t>
  </si>
  <si>
    <t>epilepsy; seizures; convulsions; somnambulism; interictal behavior; postictal behavior; polar exploration</t>
  </si>
  <si>
    <t>EXERCISE</t>
  </si>
  <si>
    <t>Harold Shaw was a 29-year-old man with epilepsy who was part of the Ross Sea Party. Sailing on the vessel Aurora, their mission was to lay the supply depots for Shackleton's men that would allow them to complete the second half of their trans-Antarctic crossing. Shaw suffered nocturnal seizures that were documented in the diaries of the senior officers. The nocturnal convulsions were followed by confused wanderings, described as somnambulism, around the ship, that were most likely postictal behaviors. This article summarizes Shaw's life and the ordeal of his epilepsy on this Antarctic voyage.</t>
  </si>
  <si>
    <t>[Devinsky, Janna] Emory Univ, Atlanta, GA 30322 USA; [Lowenstein, Daniel] Univ Calif San Francisco, Dept Neurol, San Francisco, CA 94143 USA</t>
  </si>
  <si>
    <t>Emory University; University of California System; University of California San Francisco</t>
  </si>
  <si>
    <t>Devinsky, J (corresponding author), 97 Westview Rd, Short Hills, NJ 07078 USA.</t>
  </si>
  <si>
    <t>jbd5790@aol.com</t>
  </si>
  <si>
    <t>0964-704X</t>
  </si>
  <si>
    <t>1744-5213</t>
  </si>
  <si>
    <t>J HIST NEUROSCI</t>
  </si>
  <si>
    <t>J. Hist. Neurosci.</t>
  </si>
  <si>
    <t>10.1080/09647040802032512</t>
  </si>
  <si>
    <t>History &amp; Philosophy Of Science; Neurosciences</t>
  </si>
  <si>
    <t>History &amp; Philosophy of Science; Neurosciences &amp; Neurology</t>
  </si>
  <si>
    <t>481MK</t>
  </si>
  <si>
    <t>WOS:000268815400011</t>
  </si>
  <si>
    <t>Jones, WV</t>
  </si>
  <si>
    <t>Jones, W. Vernon</t>
  </si>
  <si>
    <t>Aspirations and Outlook for NASA Cosmic Ray Research on Balloons and in Space</t>
  </si>
  <si>
    <t>JOURNAL OF THE PHYSICAL SOCIETY OF JAPAN</t>
  </si>
  <si>
    <t>High-energy cosmic rays; Antarctic balloon payloads; Super-pressure Balloons; Decadal Study; Electrons; Ultra heavy nuclei; Extreme energy cosmic rays</t>
  </si>
  <si>
    <t>The cosmic-ray community has produced a steady stream of science results with both space-based and balloon-borne experiments. Low-energy cosmic rays have been studied with satellites since the dawn of the space age, but stratospheric balloons have provided all of the direct high-energy data. Results extending beyond 10(14) eV from balloon flights in Antarctica now overlap indirect ground based observations in the energy range below the knee (similar to 3 x 10(15) eV). Ultra long-duration balloon flights with super-pressure balloons might allow direct observations to reach 10(15) eV within the next decade, but larger aperture space missions with longer exposures may be needed to connect cosmic ray composition to supernovae. Space instruments looking down on the Earth's atmosphere, creating a detector as wide as the Earth, could provide information about astrophysical accelerators involving the intense gravity around black holes, neutron stars, and the largest electromagnetic fields known.</t>
  </si>
  <si>
    <t>[Jones, W. Vernon] NOAA, Sci Mission Directorate, Astrophys Div, DH000, Washington, DC 20546 USA</t>
  </si>
  <si>
    <t>Jones, WV (corresponding author), NOAA, Sci Mission Directorate, Astrophys Div, DH000, Washington, DC 20546 USA.</t>
  </si>
  <si>
    <t>w.vernon.jones@nasa.gov</t>
  </si>
  <si>
    <t>PHYSICAL SOC JAPAN</t>
  </si>
  <si>
    <t>YUSHIMA URBAN BUILDING 5F, 2-31-22 YUSHIMA, BUNKYO-KU, TOKYO, 113-0034, JAPAN</t>
  </si>
  <si>
    <t>0031-9015</t>
  </si>
  <si>
    <t>J PHYS SOC JPN</t>
  </si>
  <si>
    <t>J. Phys. Soc. Jpn.</t>
  </si>
  <si>
    <t>A</t>
  </si>
  <si>
    <t>10.1143/JPSJS.78SA.101</t>
  </si>
  <si>
    <t>VK5QZ</t>
  </si>
  <si>
    <t>WOS:000731108500020</t>
  </si>
  <si>
    <t>Jansen, M; Nason, GP; Silverman, BW</t>
  </si>
  <si>
    <t>Jansen, Maarten; Nason, Guy P.; Silverman, B. W.</t>
  </si>
  <si>
    <t>Multiscale methods for data on graphs and irregular multidimensional situations</t>
  </si>
  <si>
    <t>JOURNAL OF THE ROYAL STATISTICAL SOCIETY SERIES B-STATISTICAL METHODOLOGY</t>
  </si>
  <si>
    <t>Graph; Irregular data; Lifting; Wavelets; Wavelet shrinkage</t>
  </si>
  <si>
    <t>WAVELET TRANSFORMS; LIFTING-SCHEME; REGULARIZATION; REGRESSION; SHRINKAGE; THRESHOLD; ALGORITHM; SELECTION</t>
  </si>
  <si>
    <t>For regularly spaced one-dimensional data, wavelet shrinkage has proven to be a compelling method for non-parametric function estimation. We create three new multiscale methods that provide wavelet-like transforms both for data arising on graphs and for irregularly spaced spatial data in more than one dimension. The concept of scale still exists within these transforms, but as a continuous quantity rather than dyadic levels. Further, we adapt recent empirical Bayesian shrinkage techniques to enable us to perform multiscale shrinkage for function estimation both on graphs and for irregular spatial data. We demonstrate that our methods perform very well when compared with several other methods for spatial regression for both real and simulated data. Although we concentrate on multiscale shrinkage (regression) we present our new 'wavelet transforms' as generic tools intended to be the basis of methods that might benefit from a multiscale representation of data either on graphs or for irregular spatial data.</t>
  </si>
  <si>
    <t>[Nason, Guy P.] Univ Bristol, Dept Math, Bristol BS8 1TW, Avon, England; [Jansen, Maarten] Katholieke Univ Leuven, Louvain, Belgium; [Silverman, B. W.] Univ Oxford, St Peters Coll, Oxford, England</t>
  </si>
  <si>
    <t>University of Bristol; KU Leuven; University of Oxford</t>
  </si>
  <si>
    <t>Nason, GP (corresponding author), Univ Bristol, Dept Math, Univ Walk, Bristol BS8 1TW, Avon, England.</t>
  </si>
  <si>
    <t>g.p.nason@bristol.ac.uk</t>
  </si>
  <si>
    <t>Silverman, Bernard W/K-6417-2012; Nason, Guy/H-6446-2014</t>
  </si>
  <si>
    <t>Nason, Guy/0000-0002-4664-3154</t>
  </si>
  <si>
    <t>Engineering and Physical Sciences Research Council [AF/001664, GR/D005221/1, M10229]; Engineering and Physical Sciences Research Council [EP/D005221/1] Funding Source: researchfish</t>
  </si>
  <si>
    <t>Engineering and Physical Sciences Research Council(UK Research &amp; Innovation (UKRI)Engineering &amp; Physical Sciences Research Council (EPSRC)); Engineering and Physical Sciences Research Council(UK Research &amp; Innovation (UKRI)Engineering &amp; Physical Sciences Research Council (EPSRC))</t>
  </si>
  <si>
    <t>The authors thank the following people: Cathy Goss and Inigo Everson of the British Antarctic Survey for supplying them with the krill data, for helpful conversations and advice concerning the purposes of the study; Alistair Murray who initially provided us with krill data and inspiration ( the krill study was funded by the Government of South Georgia and the South Sandwich islands); Roger Koenker for supplying the MATLAB version of his quantreg package; Matt Nunes for translating the Voronoi lifting code from MATLAB to R. GPN was partially supported by Engineering and Physical Sciences Research Council Advanced Research Fellowship AF/001664 and grant GR/D005221/1. All the authors were supported by Engineering and Physical Sciences Research Council research grant M10229. Three R packages (NetTree, Liftvor and PicTree) that carry out the three different kinds of lifting that were described in this paper are available from Nason. The ( original) version of LiftVor coded in MATLAB is available from Jansen.</t>
  </si>
  <si>
    <t>1369-7412</t>
  </si>
  <si>
    <t>1467-9868</t>
  </si>
  <si>
    <t>J ROY STAT SOC B</t>
  </si>
  <si>
    <t>J. R. Stat. Soc. Ser. B-Stat. Methodol.</t>
  </si>
  <si>
    <t>10.1111/j.1467-9868.2008.00672.x</t>
  </si>
  <si>
    <t>Statistics &amp; Probability</t>
  </si>
  <si>
    <t>391LS</t>
  </si>
  <si>
    <t>WOS:000262235400006</t>
  </si>
  <si>
    <t>Coccioni, R; Frontalini, F; Spezzaferri, S</t>
  </si>
  <si>
    <t>Koeberl, C; Montanari, A</t>
  </si>
  <si>
    <t>Coccioni, Rodolfo; Frontalini, Fabrizio; Spezzaferri, Silvia</t>
  </si>
  <si>
    <t>Late Eocene impact-induced climate and hydrological changes: Evidence from the Massignano global stratotype section and point (central Italy)</t>
  </si>
  <si>
    <t>LATE EOCENE EARTH: HOTHOUSE ICEHOUSE, AND IMPACTS</t>
  </si>
  <si>
    <t>Geological Society of America Special Papers</t>
  </si>
  <si>
    <t>Geological-Society-of-America Penrose Conference</t>
  </si>
  <si>
    <t>OCT 03-06, 2007</t>
  </si>
  <si>
    <t>Ancona, ITALY</t>
  </si>
  <si>
    <t>planktonic foraminifera; impacts; hydrological changes; climate changes; late Eocene; Massignano; central Italy</t>
  </si>
  <si>
    <t>PLANKTONIC FORAMINIFERAL BIOSTRATIGRAPHY; CARBON-ISOTOPE RECORD; MIDDLE EOCENE; CHESAPEAKE BAY; MAUD-RISE; ANTARCTIC GLACIATION; BIOTIC SIGNALS; SHOCKED QUARTZ; OXYGEN-ISOTOPE; OLIGOCENE</t>
  </si>
  <si>
    <t>The Eocene-Oligocene transition marks the passage from greenhouse conditions to an icehouse state with progressive global cooling starting in the early middle Eocene. The late Eocene is also characterized by a high concentration of extraterrestrial impacts, the effects of which, on living organisms and climatic changes, are still not understood. We carried out a high-resolution investigation on planktonic foraminiferal assemblages in an 8-m-thick segment of the Massignano global strato-type section and point for the Eocene-Oligocene boundary with the aim of assessing the effects that the impacts may have had on the environment and this group of organisms. The studied interval is punctuated by three late Eocene iridium-rich layers, several cosmic signatures, and enhanced levels of He-3. The two lower closely spaced iridium anomalies are possibly linked to the Popigai and Chesapeake Bay impact events, respectively, whereas no particular impact event can be assigned to the third anomaly, even if it might be correlated with some large craters. Interpretation of data suggests that all the impacts had no abrupt, dramatic effects on planktonic foraminifera. However, acting as forcing factors, they induced some environmental perturbations and may have contributed to remarkable climate changes superimposed on the general late Eocene cooling trend. The Popigai and Chesapeake Bay impact events triggered significant changes in the water mass structure, in terms of stratification and trophic resources, associated with some climatic excursions that took place within chron C16n.1n and chron C15r and at the transition between planktonic foraminiferal zones P15 and P16. The short-term warming pulse recognized after the Popigai impact might have been due to greenhouse effects produced by injection of CO2 into the atmosphere and/or the release of methane hydrate after the impact itself. The dynamic between hydrological and climate changes across the impactoclastic layers as observed at Massignano displays different features at each impact event, probably due to the context in which each occurred in terms of impactor size, location, and target rocks. The relatively long duration of the enhanced cooling following the Chesapeake Bay impact suggests that this event induced a progressive cooling and triggered a feedback mechanism that sustained the initial impact-induced changes. Similar patterns of climatic excursions reported worldwide across the equivalent impact-ejecta horizons indicate that the impact-induced climate changes recorded at Massignano appear to be global in extent.</t>
  </si>
  <si>
    <t>[Coccioni, Rodolfo; Frontalini, Fabrizio] Univ Urbino Carlo Bo, Dipartimento Sci Uomo Ambiente &amp; Nat, Campus Sci, I-61029 Urbino, Italy; [Spezzaferri, Silvia] Univ Fribourg, Dept Geosci, CH-1700 Fribourg, Switzerland</t>
  </si>
  <si>
    <t>University of Urbino; University of Fribourg</t>
  </si>
  <si>
    <t>Coccioni, R (corresponding author), Univ Urbino Carlo Bo, Dipartimento Sci Uomo Ambiente &amp; Nat, Campus Sci, I-61029 Urbino, Italy.</t>
  </si>
  <si>
    <t>cron@info-net.it</t>
  </si>
  <si>
    <t>Frontalini, Fabrizio/C-4819-2008</t>
  </si>
  <si>
    <t>Frontalini, Fabrizio/0000-0002-0425-9306; COCCIONI, Rodolfo/0000-0003-2333-4030</t>
  </si>
  <si>
    <t>0072-1077</t>
  </si>
  <si>
    <t>978-0-8137-2446-1</t>
  </si>
  <si>
    <t>GEOL SOC AM SPEC PAP</t>
  </si>
  <si>
    <t>10.1130/2009.2452(07)</t>
  </si>
  <si>
    <t>Geology; Geosciences, Multidisciplinary; Meteorology &amp; Atmospheric Sciences</t>
  </si>
  <si>
    <t>BMF25</t>
  </si>
  <si>
    <t>WOS:000272085400008</t>
  </si>
  <si>
    <t>Jovane, L; Coccioni, R; Marsili, A; Acton, G</t>
  </si>
  <si>
    <t>Jovane, Luigi; Coccioni, Rodolfo; Marsili, Andrea; Acton, Gary</t>
  </si>
  <si>
    <t>The late Eocene greenhouse-icehouse transition: Observations from the Massignano global stratotype section and point (GSSP)</t>
  </si>
  <si>
    <t>Eocene-Oligocene boundary global stratotype section and point; Massignano section; Neotethys paleoceanographic circulation; integrated stratigraphy; Italy</t>
  </si>
  <si>
    <t>ATMOSPHERIC CARBON-DIOXIDE; OCEAN HEAT-TRANSPORT; DEEP-WATER PRODUCTION; UMBRIA-MARCHE BASIN; SOUTHERN-OCEAN; ANTARCTIC GLACIATION; OLIGOCENE TRANSITION; EOCENE/OLIGOCENE BOUNDARY; BIOTIC SIGNALS; SHOCKED QUARTZ</t>
  </si>
  <si>
    <t>The interval from the middle Eocene to early Oligocene represents one of the most significant transitions in Earth's climate, during which greenhouse conditions were supplanted by icehouse conditions of the present day. This global transition was preceded by a long-term cooling phase and short-term uncorrelated variations in several marine proxies, which indicate paleoceanographic instabilities prior to the key climatic transition. We integrate previous multidisciplinary studies with recent data from the Massignano section (Umbria-Marche Basin) and summarize interpretations of studies from the past 20 yr that have been based on the Eocene-Oligocene boundary global stratotype section and point (GSSP). Based on the many data sets from this section, with an emphasis on the rock magnetic data, we propose that the fluctuations and final cessation of a westward subtropical Eocene Neotethys (STENT) current were drivers in the climatic transition from greenhouse to icehouse conditions. Our hypothesis considers that the global variable climatic conditions were synchronous to large changes in circulation in the western Neotethys Ocean, which were primarily due to paleogeographic and sea-level changes. Specifically, the closing of the gateway between the Arabian and Eurasian plates, through coupling of sea-level changes, could represent the threshold or one of the triggers that caused the paleoceanographic variations in the Neotethys and in global ocean circulation patterns during the end of the Eocene.</t>
  </si>
  <si>
    <t>[Jovane, Luigi] Ist Nazl Geofis &amp; Vulcanol, Via Vigna Murata 605, I-00143 Rome, Italy; [Jovane, Luigi] Western Washington Univ, Dept Geol, Bellingham, WA 98225 USA; [Coccioni, Rodolfo; Marsili, Andrea] Univ Urbino Carlo Bo, Dipartimento Sci Uomo Ambiente &amp; Nat, I-61029 Urbino, Italy; [Acton, Gary] Univ Calif Davis, Dept Geol, Davis, CA 95616 USA</t>
  </si>
  <si>
    <t>Istituto Nazionale Geofisica e Vulcanologia (INGV); Western Washington University; University of Urbino; University of California System; University of California Davis</t>
  </si>
  <si>
    <t>Jovane, L (corresponding author), Ist Nazl Geofis &amp; Vulcanol, Via Vigna Murata 605, I-00143 Rome, Italy.</t>
  </si>
  <si>
    <t>luigijovane@gmail.com</t>
  </si>
  <si>
    <t>Jovane, Luigi/AAH-5438-2020; Jovane, Luigi/E-7536-2012; Acton, Gary D/B-6108-2016</t>
  </si>
  <si>
    <t>Jovane, Luigi/0000-0003-4348-4714;</t>
  </si>
  <si>
    <t>10.1130/2009.2452(10)</t>
  </si>
  <si>
    <t>WOS:000272085400011</t>
  </si>
  <si>
    <t>Miller, KG; Wright, JD; Katz, ME; Wade, BS; Browning, JV; Cramer, BS; Rosenthal, Y</t>
  </si>
  <si>
    <t>Miller, Kenneth G.; Wright, James D.; Katz, Miriam E.; Wade, Bridget S.; Browning, James V.; Cramer, Benjamin S.; Rosenthal, Yair</t>
  </si>
  <si>
    <t>Climate threshold at the Eocene-Oligocene transition: Antarctic ice sheet influence on ocean circulation</t>
  </si>
  <si>
    <t>Antarctica; sea level; oxygen isotopes; Oligocene; Eocene</t>
  </si>
  <si>
    <t>CARBON-DIOXIDE CONCENTRATIONS; DEEP-WATER CIRCULATION; CALCITE COMPENSATION; BIPOLAR GLACIATION; EVOLUTION; CALIBRATION; BOUNDARY; ONSET; PSYCHROSPHERE; CONSEQUENCES</t>
  </si>
  <si>
    <t>We present an overview of the Eocene-Oligocene transition from a marine perspective and posit that growth of a continent-scale Antarctic ice sheet (25 x 10(6) km(3)) was a primary cause of a dramatic reorganization of ocean circulation and chemistry. The Eocene-Oligocene transition (EOT) was the culmination of long-term (10(7) yr scale) CO2 drawdown and related cooling that triggered a 0.5%-0.9% transient precursor benthic foraminiferal delta O-18 increase at 33.80 Ma (EOT-1), a 0.8% delta O-18 increase at 33.63 Ma (EOT-2), and a 1.0% delta O-18 increase at 33.55 Ma ( oxygen isotope event Oi-1). We show that a small (similar to 25 m) sea-level lowering was associated with the precursor EOT-1 increase, suggesting that the delta O-18 increase primarily reflected 1-2 degrees C of cooling. Global sea level dropped by 80 +/- 25 m at Oi-1 time, implying that the deep-sea foraminiferal delta O-18 increase was due to the growth of a continent-sized Antarctic ice sheet and 1-4 degrees C of cooling. The Antarctic ice sheet reached the coastline for the first time at ca. 33.6 Ma and became a driver of Antarctic circulation, which in turn affected global climate, causing increased latitudinal thermal gradients and a spinning up of the oceans that resulted in: (1) increased thermohaline circulation and erosional pulses of Northern Component Water and Antarctic Bottom Water; (2) increased deep-basin ventilation, which caused a decrease in oceanic residence time, a decrease in deep-ocean acidity, and a deepening of the calcite compensation depth (CCD); and (3) increased diatom diversity due to intensified upwelling.</t>
  </si>
  <si>
    <t>[Miller, Kenneth G.; Wright, James D.; Browning, James V.; Cramer, Benjamin S.; Rosenthal, Yair] Rutgers State Univ, Dept Earth &amp; Planetary Sci, Piscataway, NJ 08854 USA; [Katz, Miriam E.] Rensselaer Polytech Inst, Dept Earth &amp; Environm Sci, Troy, NY 12180 USA; [Wade, Bridget S.] Texas A&amp;M Univ, Dept Geol &amp; Geophys, College Stn, TX 77840 USA; [Rosenthal, Yair] Rutgers State Univ, Inst Marine &amp; Coastal Sci, New Brunswick, NJ 08901 USA</t>
  </si>
  <si>
    <t>Rutgers University System; Rutgers University New Brunswick; Rensselaer Polytechnic Institute; Texas A&amp;M University System; Texas A&amp;M University College Station; Rutgers University System; Rutgers University New Brunswick</t>
  </si>
  <si>
    <t>Miller, KG (corresponding author), Rutgers State Univ, Dept Earth &amp; Planetary Sci, Piscataway, NJ 08854 USA.</t>
  </si>
  <si>
    <t>Wright, James/AAF-7180-2019; Wade, Bridget S/F-4987-2014; Cramer, Benjamin S/A-5303-2008</t>
  </si>
  <si>
    <t>Wade, Bridget S/0000-0002-7245-8614; Wright, James/0000-0001-5212-9146</t>
  </si>
  <si>
    <t>National Science Foundation (NSF) [EAR-06-06693, OCE-06-23256]</t>
  </si>
  <si>
    <t>National Science Foundation (NSF)(National Science Foundation (NSF))</t>
  </si>
  <si>
    <t>We thank C. Koeberl, D. Hodell, and an anonymous reviewer for comments. This work was supported by National Science Foundation (NSF) grants EAR-06-06693 (Miller) and OCE-06-23256 (Katz, Miller, Wade, Wright).</t>
  </si>
  <si>
    <t>10.1130/2009.2452(11)</t>
  </si>
  <si>
    <t>WOS:000272085400012</t>
  </si>
  <si>
    <t>McGowran, B</t>
  </si>
  <si>
    <t>McGowran, Brian</t>
  </si>
  <si>
    <t>The Australo-Antarctic Gulf and the Auversian facies shift</t>
  </si>
  <si>
    <t>Eocene stratigraphy; southern Australia; Australo-Antarctic Gulf; Southern Ocean; MECO; Bartonian; Priabonian</t>
  </si>
  <si>
    <t>COOL-WATER CARBONATES; LATE EOCENE; OTWAY BASIN; FORAMINIFERAL BIOFACIES; SOUTH-AUSTRALIA; PALEOENVIRONMENTAL EVOLUTION; STRATIGRAPHIC SUCCESSION; MIDDLE; TERTIARY; BIOSTRATIGRAPHY</t>
  </si>
  <si>
    <t>Three time lines through the neritic stratigraphic record distributed around the northern margin of the Australo-Antarctic Gulf (AAG) mark three fundamental shifts in global environments collectively comprising the Auversian facies shift. The three lines are: (1) the beginning: the Khirthar transgression and the onset of neritic carbonate accumulation in the Bartonian Age (preceding onset of the Middle Eocene climatic optimum [MECO]); (2) the midlife change (Bartonian-Priabonian transition): the shift from carbonate-rich to carbonate-poor, higher-nutrient environments under estuarine circulation, causing widespread dysaerobia culminating in opaline silicas; and (3) the Eocene-Oligocene = Priabonian-Rupelian boundary and glaciation during oxygen isotope event Oi-1, with return of improved ventilation in neritic environments and resumption of carbonate accumulation. Meanwhile, it was warm and very wet at degrees 60 degrees S. In developing a scenario for the death of the AAG, the birth of the Southern Ocean, and the transition from Paleogene greenhouse Earth to Neogene icehouse Earth, the neritic record of the northern margin is more in accord with the Dinocyst biogeographic hypothesis than with the Tasman gateway hypothesis.</t>
  </si>
  <si>
    <t>Univ Adelaide, Sch Earth &amp; Environm Sci, Adelaide, SA 5005, Australia</t>
  </si>
  <si>
    <t>University of Adelaide</t>
  </si>
  <si>
    <t>McGowran, B (corresponding author), Univ Adelaide, Sch Earth &amp; Environm Sci, Mawson DX 650 313, Adelaide, SA 5005, Australia.</t>
  </si>
  <si>
    <t>brian.mcgowran@adelaide.edu.au</t>
  </si>
  <si>
    <t>10.1130/2009.2452(14)</t>
  </si>
  <si>
    <t>WOS:000272085400015</t>
  </si>
  <si>
    <t>Sheldon, ND</t>
  </si>
  <si>
    <t>Sheldon, Nathan D.</t>
  </si>
  <si>
    <t>Nonmarine records of climatic change across the Eocene-Oligocene transition</t>
  </si>
  <si>
    <t>Eocene-Oligocene transition; paleoclimate; paleosols; rain shadow</t>
  </si>
  <si>
    <t>NORTH-AMERICA; SEQUENCE STRATIGRAPHY; PALEOCLIMATIC CHANGE; EARLY MIOCENE; EBRO BASIN; PALEOSOLS; OREGON; BOUNDARY; CARBONATE; MAGNETOSTRATIGRAPHY</t>
  </si>
  <si>
    <t>The greenhouse-icehouse change across the Eocene-Oligocene transition and associated Oi-1 glaciation event is the most profound climatic change in Earth's recent geological history. Marine reconstructions of the Oi-1 glaciation using foraminiferal delta O-18 isotopic compositions suggest that much of the change was associated with Antarctic ice growth rather than climatic change. Nonetheless, some cooling is expected to have occurred on land in addition to drier conditions associated with water tied up in the polar ice caps, and some recent results based on stable isotope analyses of bones support this viewpoint. Nonmarine paleoclimatic conditions (mean annual temperature, mean annual precipitation) may be quantitatively reconstructed using paleosols preserved in continental successions to test this general model. Results from Oregon and Nebraska suggest moderate drying and cooling, not as a stepwise change at the time of the Oi-1 glaciation, but as part of a long-term aridification and cooling event associated in part with emplacement of the Cascade Range. In contrast, intermontane Montana's paleoprecipitation and paleotemperatures fluctuated on short-term (i.e., Milankovitch) time scales but on balance were both essentially unchanged by the Oi-1 glaciation. Results from Europe (UK, Spain) suggest a different pattern characterized by stable (i.e., unchanging) paleotemperatures in both localities and increasingly wet conditions in the UK. Taken together, these results indicate that (1) strongly regionalized climatic change was associated with the Oi-1 glaciation, (2) physio graphic position with respect to orographic features played a key role in determining those regional climatic responses to the global event, and (3) there was little or no cooling on land associated with the Oi-1 glaciation.</t>
  </si>
  <si>
    <t>Univ Michigan, Dept Geol Sci, Ann Arbor, MI 48109 USA</t>
  </si>
  <si>
    <t>Sheldon, ND (corresponding author), Univ Michigan, Dept Geol Sci, 1100 N Univ Ave, Ann Arbor, MI 48109 USA.</t>
  </si>
  <si>
    <t>nsheldon@umich.edu</t>
  </si>
  <si>
    <t>Sheldon, Nathan D/K-6717-2015</t>
  </si>
  <si>
    <t>Sheldon, Nathan D/0000-0003-3371-0036</t>
  </si>
  <si>
    <t>10.1130/2009.2452(15)</t>
  </si>
  <si>
    <t>WOS:000272085400016</t>
  </si>
  <si>
    <t>Baltar, F; Arístegui, J; Gasol, JM; Sintes, E; Herndl, GJ</t>
  </si>
  <si>
    <t>Baltar, Federico; Aristegui, Javier; Gasol, Josep M.; Sintes, Eva; Herndl, Gerhard J.</t>
  </si>
  <si>
    <t>Evidence of prokaryotic metabolism on suspended particulate organic matter in the dark waters of the subtropical North Atlantic</t>
  </si>
  <si>
    <t>BACTERIOPLANKTON DISTRIBUTION; ELECTRON-TRANSPORT; OXYGEN-CONSUMPTION; SEDIMENT TRAPS; OCEAN; RESPIRATION; FLUX; BACTERIA; EASTERN; PARTICLES</t>
  </si>
  <si>
    <t>The distribution of prokaryotic abundance (PA), respiratory activity (ETS), heterotrophic production (PHP), and suspended particulate (POM) and dissolved (DOM) organic matter was determined in the meso- and bathypelagic waters of the (sub) tropical North Atlantic. PA decreased by one order of magnitude from the lower euphotic zone to the bathypelagic waters, while ETS decreased by two and PHP by three orders of magnitude. On a section following the Mid-Atlantic Ridge from 35 degrees N to 5 degrees N, ETS below 1000-m depth increased southwards up to three-fold. This latitudinal gradient in the deep waters was paralleled by a six-fold increase in Particulate Organic Carbon (POC), whereas no trend was apparent in the DOM distribution. Significant correlations between POM and ETS were obtained in the water masses between 1000-m and 3000-m depth, the Antarctic Intermediate Water and the North East Atlantic Deep Water. A strong imbalance in the dark ocean was found between prokaryotic carbon demand (estimated through two different approaches) and the carbon sinking flux derived from sediment-trap records corrected with Th-230. The imbalance was greater when deeper in the water column, suggesting that the suspended carbon pool must account for most of the carbon deficit. Our results, together with other recent findings discussed in this paper, indicate that microbial life in the dark ocean is likely more dependent on slowly sinking or buoyant, laterally advected suspended particles than hitherto assumed.</t>
  </si>
  <si>
    <t>[Baltar, Federico; Aristegui, Javier] Univ Las Palmas Gran Canaria, Fac Ciencias Mar, Las Palmas Gran Canaria 35017, Spain; [Gasol, Josep M.] CSIC, Dept Biol Marina &amp; Oceanog, Inst Ciencies Mar, E-08003 Barcelona, Spain; [Sintes, Eva; Herndl, Gerhard J.] Royal Netherlands Inst Sea Res NIOZ, Dept Biol Oceanog, NL-1790 AB Den Burg, Netherlands</t>
  </si>
  <si>
    <t>Universidad de Las Palmas de Gran Canaria; Consejo Superior de Investigaciones Cientificas (CSIC); CSIC - Centro Mediterraneo de Investigaciones Marinas y Ambientales (CMIMA); CSIC - Instituto de Ciencias del Mar (ICM); Utrecht University; Royal Netherlands Institute for Sea Research (NIOZ)</t>
  </si>
  <si>
    <t>Baltar, F (corresponding author), Univ Las Palmas Gran Canaria, Fac Ciencias Mar, Campus Univ Tafira, Las Palmas Gran Canaria 35017, Spain.</t>
  </si>
  <si>
    <t>federico.baltar102@doctorandos.ulpgc.es</t>
  </si>
  <si>
    <t>Baltar, Federico/C-3260-2012; Baltar, Federico/Q-6303-2019; Herndl, Gerhard J./S-3011-2019; Herndl, Gerhard J./B-1513-2013; Arístegui, Javier/D-5833-2013; Gasol, Josep M/B-1709-2008; Sintes, Eva/H-8494-2015</t>
  </si>
  <si>
    <t>Baltar, Federico/0000-0001-8907-1494; Baltar, Federico/0000-0001-8907-1494; Herndl, Gerhard J./0000-0002-2223-2852; Arístegui, Javier/0000-0002-7526-7741; Gasol, Josep M/0000-0001-5238-2387; Sintes, Eva/0000-0002-7408-5647</t>
  </si>
  <si>
    <t>Spanish Ministry of Education and Science [AP2005-3932, CTM 2004-06842-C03/MAR]; Earth and Life Science Division of the Dutch Science Foundation [835.20.023]; EU 'Networks of Excellence' MarBef and EurOceans</t>
  </si>
  <si>
    <t>Spanish Ministry of Education and Science(Spanish Government); Earth and Life Science Division of the Dutch Science Foundation; EU 'Networks of Excellence' MarBef and EurOceans</t>
  </si>
  <si>
    <t>We thank the captain and crew of R/V Pelagia for their help during work at sea. S. Gonzalez and K. Bakker performed the Total Organic Carbon and nutrient analyses, respectively, and A. Smit the leucine incorporation measurements. M. F. Montero and M. Espino helped with the Electron Transport System analyses and I. J. Alonso-Gonzalez with the particulate organic-matter measurements. Water masses were identified by H. M. van Aken. We also thank two anonymous reviewers for their comments and suggestions to improve the manuscript. This research was supported by a predoctoral Fellowship of the Spanish Ministry of Education and Science (AP2005-3932) to F. B., a grant of the Earth and Life Science Division of the Dutch Science Foundation (ALW-NWO; ARCHIMEDES project, 835.20.023) to G. J. H. and a grant of the Spanish Ministry of Education and Science to J. A. (Remolinos Oceanicos y Deposiciones Atmosfericas (RODA) project; CTM 2004-06842-C03/MAR). The work was carried out within the frame of the EU 'Networks of Excellence' MarBef and EurOceans. This work is in partial fulfillment of the requirements for a Ph.D. degree from the University of Las Palmas by F.B.</t>
  </si>
  <si>
    <t>10.4319/lo.2009.54.1.0182</t>
  </si>
  <si>
    <t>432XX</t>
  </si>
  <si>
    <t>WOS:000265168800015</t>
  </si>
  <si>
    <t>Brett, MT; Müller-Navarra, DC; Persson, J</t>
  </si>
  <si>
    <t>Arts, MT; Brett, MT; Kainz, MJ</t>
  </si>
  <si>
    <t>Brett, Michael T.; Mueller-Navarra, Doerthe C.; Persson, Jonas</t>
  </si>
  <si>
    <t>Crustacean Zooplankton Fatty Acid Composition</t>
  </si>
  <si>
    <t>LIPIDS IN AQUATIC ECOSYSTEMS</t>
  </si>
  <si>
    <t>KRILL EUPHAUSIA-SUPERBA; MARINE FOOD-CHAIN; ANTARCTIC KRILL; CHEMICAL-COMPOSITION; TROPHIC TRANSFER; LIPID STORAGE; WAX ESTERS; CALANUS-PROPINQUUS; CALANOIDES-ACUTUS; PRIMARY PRODUCERS</t>
  </si>
  <si>
    <t>[Brett, Michael T.] Univ Washington, Dept Civil &amp; Environm Engn, Seattle, WA 98195 USA; [Mueller-Navarra, Doerthe C.] Univ Hamburg, D-22609 Hamburg, Germany; [Persson, Jonas] Uppsala Univ, Dept Ecol &amp; Evolut, S-75123 Uppsala, Sweden</t>
  </si>
  <si>
    <t>University of Washington; University of Washington Seattle; University of Hamburg; Uppsala University</t>
  </si>
  <si>
    <t>Brett, MT (corresponding author), Univ Washington, Dept Civil &amp; Environm Engn, Box 352700,301 More Hall, Seattle, WA 98195 USA.</t>
  </si>
  <si>
    <t>mtbrett@u.washington.edu; doerthe.mueller-navarra@uni-hamburg.de; jonas.persson@ebc.uu.se</t>
  </si>
  <si>
    <t>Brett, Michael T/A-2066-2010</t>
  </si>
  <si>
    <t>Brett, Michael/0000-0002-8796-9863</t>
  </si>
  <si>
    <t>978-0-387-88607-7</t>
  </si>
  <si>
    <t>10.1007/978-0-387-89366-2_6</t>
  </si>
  <si>
    <t>10.1007/978-0-387-89366-2</t>
  </si>
  <si>
    <t>Biochemistry &amp; Molecular Biology; Marine &amp; Freshwater Biology</t>
  </si>
  <si>
    <t>BKK10</t>
  </si>
  <si>
    <t>WOS:000268354200007</t>
  </si>
  <si>
    <t>Kattner, G; Hagen, W</t>
  </si>
  <si>
    <t>Kattner, Gerhard; Hagen, Wilhelm</t>
  </si>
  <si>
    <t>Lipids in Marine Copepods: Latitudinal Characteristics and Perspective to Global Warming</t>
  </si>
  <si>
    <t>FATTY-ACID-COMPOSITION; CALANUS-FINMARCHICUS GUNNERUS; LIFE-CYCLE STRATEGIES; MARGINAL ICE-ZONE; WAX ESTERS; ARCTIC-OCEAN; ANTARCTIC COPEPODS; CALANOIDES-ACUTUS; EUPHAUSIA-SUPERBA; FRAM STRAIT</t>
  </si>
  <si>
    <t>[Kattner, Gerhard] Alfred Wegener Inst Polar &amp; Marine Res, D-27570 Bremerhaven, Germany; [Hagen, Wilhelm] Univ Bremen, Fac Biol Chem, D-28334 Bremen, Germany</t>
  </si>
  <si>
    <t>Helmholtz Association; Alfred Wegener Institute, Helmholtz Centre for Polar &amp; Marine Research; University of Bremen</t>
  </si>
  <si>
    <t>Kattner, G (corresponding author), Alfred Wegener Inst Polar &amp; Marine Res, Handelshafen 12, D-27570 Bremerhaven, Germany.</t>
  </si>
  <si>
    <t>gerhard.kattner@awi.de; whagen@uni-bremen.de</t>
  </si>
  <si>
    <t>Hagen, Wilhelm/0000-0002-7462-9931</t>
  </si>
  <si>
    <t>10.1007/978-0-387-89366-2_11</t>
  </si>
  <si>
    <t>WOS:000268354200012</t>
  </si>
  <si>
    <t>Vecchione, M; Allcock, L; Piatkowski, U; Strugnell, J</t>
  </si>
  <si>
    <t>Vecchione, Michael; Allcock, Louise; Piatkowski, Uwe; Strugnell, Jan</t>
  </si>
  <si>
    <t>BENTHOCTOPUS RIGBYAE, N. SP., A NEW SPECIES OF CEPHALOPOD (OCTOPODA; INCIRRATA) FROM NEAR THE ANTARCTIC PENINSULA</t>
  </si>
  <si>
    <t>MALACOLOGIA</t>
  </si>
  <si>
    <t>deep-sea; Southern Ocean; Octopodidae; Antarctica</t>
  </si>
  <si>
    <t>SOUTHERN-OCEAN; ATLANTIC; SEA; DNA</t>
  </si>
  <si>
    <t>Among the many octopods collected during recent Antarctic trawling surveys were 93 specimens of an undescribed octopod with biserial suckers. Although most similar in appearance to the sub-Antarctic Benthoctopus levis (Hoyle 1885), these octopods differed in several morphological characters, including arm length, web depth, and details of the hectocotylus. Furthermore, molecular evidence supports the separation of the present material from known species. We therefore describe a new species named Benthoctopus rigbyae. These octopods attain mantle lengths of at least 105 mm (400 mm total length), and they are common at depths of 250-600 m throughout the South Shetland Island chain off the Antarctic Peninsula. We present some information on the biology of this species.</t>
  </si>
  <si>
    <t>[Vecchione, Michael] Natl Museum Nat Hist, Natl Marine Fisheries Serv, Systemat Lab, Washington, DC 20560 USA; [Allcock, Louise; Strugnell, Jan] Queens Univ Belfast, Sch Biol Sci, Belfast BT9 7BL, Antrim, North Ireland; [Piatkowski, Uwe] Univ Kiel, Inst Marine Res, D-24105 Kiel, Germany; [Strugnell, Jan] British Antarctic Survey, NERC, Cambridge CB3 0ET, England; [Allcock, Louise] Natl Univ Ireland, Martin Ryan Inst Marine Sci, Galway, Ireland</t>
  </si>
  <si>
    <t>National Oceanic Atmospheric Admin (NOAA) - USA; Smithsonian Institution; Smithsonian National Museum of Natural History; Queens University Belfast; University of Kiel; UK Research &amp; Innovation (UKRI); Natural Environment Research Council (NERC); NERC British Antarctic Survey; Ollscoil na Gaillimhe-University of Galway</t>
  </si>
  <si>
    <t>Vecchione, M (corresponding author), Natl Museum Nat Hist, Natl Marine Fisheries Serv, Systemat Lab, Washington, DC 20560 USA.</t>
  </si>
  <si>
    <t>vecchiom@si.edu</t>
  </si>
  <si>
    <t>Allcock, Louise/A-7359-2012; Strugnell, Jan/B-1698-2010; Piatkowski, Uwe/G-4161-2011</t>
  </si>
  <si>
    <t>Allcock, Louise/0000-0002-4806-0040; Strugnell, Jan/0000-0003-2994-637X; Piatkowski, Uwe/0000-0003-1558-5817</t>
  </si>
  <si>
    <t>Natural Environment Research Council Antarctic Funding Initiative grant [NE/C506321/1]; Natural Environment Research Council [NE/C506321/1] Funding Source: researchfish</t>
  </si>
  <si>
    <t>Natural Environment Research Council Antarctic Funding Initiative grant(UK Research &amp; Innovation (UKRI)Natural Environment Research Council (NERC)); Natural Environment Research Council(UK Research &amp; Innovation (UKRI)Natural Environment Research Council (NERC))</t>
  </si>
  <si>
    <t>We thank the Alfred Wegener Institute for Polar and Marine Research (AWI), the Captain and crew of R/V Polarstern, and Karl-Hermann Kock for facilitating our field work. Silke Steimer, Martin Hevia Werkmeister, Markus Seemen, lain Barratt, and Elaina Jorgensen all assisted with the field work. Elaina also provided the photograph of the live octopod. Kirrily Moore provided the Benthoctopus levis and Yves Cherel gave us the beak from B. thielei. JS was supported by a Natural Environment Research Council Antarctic Funding Initiative grant (NE/C506321/1) awarded to LA.</t>
  </si>
  <si>
    <t>INST MALACOL</t>
  </si>
  <si>
    <t>ANN ARBOR</t>
  </si>
  <si>
    <t>2415 SOUTH CIRCLE DR, ANN ARBOR, MI 48103 USA</t>
  </si>
  <si>
    <t>0076-2997</t>
  </si>
  <si>
    <t>Malacologia</t>
  </si>
  <si>
    <t>10.4002/040.051.0102</t>
  </si>
  <si>
    <t>422HL</t>
  </si>
  <si>
    <t>WOS:000264418200002</t>
  </si>
  <si>
    <t>Zelaya, DG</t>
  </si>
  <si>
    <t>Zelaya, Diego G.</t>
  </si>
  <si>
    <t>THE GENERA THYASIRA AND PARATHYASIRA IN THE MAGELLAN REGION AND ADJACENT ANTARCTIC WATERS (BIVALVIA: THYASIRIDAE)</t>
  </si>
  <si>
    <t>Magellan Region; Southern Ocean; Thyasiroidea; diversity</t>
  </si>
  <si>
    <t>ATLANTIC-OCEAN; MOLLUSCA</t>
  </si>
  <si>
    <t>This study provides a revision of the Magellanic and Antarctic species of Thyasira and Parathyasira. The status of all species previously reported from the area is revised and a new species described. Five species are recognized as valid: Thyasira falklandica (Smith, 1885); Thyasira scotiana, n. sp.; Thyasira debilis (Thiele, 1912), new combination; Parathyasira magellanica (Dall, 1901), new combination; and Parathyasira dearborni (Nicol, 1965), new combination. Cryptodon fuegiensis Dall, 1890, previously reported under the genus Thyasira, is reallocated into Conchocele Gabb, 1866. Loripes pertenuis Smith, 1881, and Thyasira bongraini Lamy, 1911, are considered nomen dubia.</t>
  </si>
  <si>
    <t>Museo La Plata, Div Zool Invertebrados, RA-1900 La Plata, Buenos Aires, Argentina</t>
  </si>
  <si>
    <t>National University of La Plata; Museo La Plata</t>
  </si>
  <si>
    <t>Zelaya, DG (corresponding author), Museo La Plata, Div Zool Invertebrados, Paseo del Bosque S-N, RA-1900 La Plata, Buenos Aires, Argentina.</t>
  </si>
  <si>
    <t>dzelaya@fcnym.unlp.edu.ar</t>
  </si>
  <si>
    <t>Western Society of Malacologists; Santa Barbara Malacological Society; Southwest Shell Club; San Diego Shel Club and the Northern California Malacological Club</t>
  </si>
  <si>
    <t>This study was partially funded by a student grant from the Western Society of Malacologists, the Santa Barbara Malacological Society, the Southwest Shell Club, the San Diego Shel Club and the Northern California Malacological Club; a DAAD student grant made possible the study of German Museum collections. The author is a member of the National Research Council for Science and Technology (CONICET), Argentina.</t>
  </si>
  <si>
    <t>2168-9075</t>
  </si>
  <si>
    <t>10.4002/040.051.0204</t>
  </si>
  <si>
    <t>489QA</t>
  </si>
  <si>
    <t>WOS:000269434500004</t>
  </si>
  <si>
    <t>Carey, GR; Franklin, CE</t>
  </si>
  <si>
    <t>Carey, Geoff R.; Franklin, Craig E.</t>
  </si>
  <si>
    <t>Effect of incubation and rearing temperature on locomotor ability in barramundi, Lates calcarifer Bloch, 1790</t>
  </si>
  <si>
    <t>MARINE AND FRESHWATER RESEARCH</t>
  </si>
  <si>
    <t>acclimation; fish; phenotypic plasticity; U-crit; U-max</t>
  </si>
  <si>
    <t>HERRING CLUPEA-HARENGUS; CRITICAL SWIMMING SPEED; THERMAL-DEPENDENCE; DEVELOPMENTAL PLASTICITY; FUNCTIONAL CONSEQUENCES; NORTHEASTERN QUEENSLAND; JUVENILE BARRAMUNDI; ANTARCTIC FISH; LIFE-HISTORY; PERFORMANCE</t>
  </si>
  <si>
    <t>Temperature profoundly influences virtually all aspects of fish biology. Barramundi, Lates calcarifer Bloch, 1790, is a catadromous fish that undergoes several migrations in its life cycle, necessitating locomotion under various thermal conditions. The present study examined the effects of varying thermal regimes on performance in juvenile L. calcarifer by determining the effects of rearing and ambient temperature on burst (U-max) and sustained (U-crit) swimming ability. Fish were incubated at three set temperatures, 26 degrees C (cool), 29 degrees C (control) and 31 degrees C (warm), from egg fertilisation until first feeding before some of the larvae were allocated to different temperatures to differentiate the effects of incubation temperature v. rearing temperature on subsequent swimming performance. Individuals incubated and reared at the cool (26 degrees C) temperature showed significantly faster burst speeds at the 26 degrees C test temperature than fish from any other treatment group. This indicates the ability of L. calcarifer to thermally acclimate burst swimming. However, there was no evidence that incubation temperature (as opposed to rearing temperature) affected burst or sustained swimming ability. Swimming ability was significantly affected by the test temperature, with the U-max of fish highest at the 29 degrees C test temperature. Lower test temperatures depressed both burst and sustained swimming ability. Juvenile L. calcarifer can acclimate U-max, but swimming ability was unaffected by incubation thermal history.</t>
  </si>
  <si>
    <t>[Carey, Geoff R.; Franklin, Craig E.] Univ Queensland, Sch Biol Sci, St Lucia, Qld 4072, Australia</t>
  </si>
  <si>
    <t>University of Queensland</t>
  </si>
  <si>
    <t>Carey, GR (corresponding author), Univ Queensland, Sch Biol Sci, St Lucia, Qld 4072, Australia.</t>
  </si>
  <si>
    <t>g.carey@uq.edu.au</t>
  </si>
  <si>
    <t>Franklin, Craig/G-7343-2012</t>
  </si>
  <si>
    <t>Franklin, Craig/0000-0003-1315-3797</t>
  </si>
  <si>
    <t>Australian Research Council linkage [ZOO/ENT/262/03/URG]</t>
  </si>
  <si>
    <t>Australian Research Council linkage(Australian Research Council)</t>
  </si>
  <si>
    <t>This research was conducted with the approval of the University of Queensland Animal Ethics Committee (ZOO/ENT/262/03/URG) and was funded in part by an Australian Research Council linkage grant to C. E. Franklin. We thank Mike Rimmer from QDPI for the supply of the fertilised eggs and Brian Stumer for the raceway design and construction. Thank you to four anonymous referees for their constructive comments, which greatly improved the manuscript.</t>
  </si>
  <si>
    <t>1323-1650</t>
  </si>
  <si>
    <t>1448-6059</t>
  </si>
  <si>
    <t>MAR FRESHWATER RES</t>
  </si>
  <si>
    <t>Mar. Freshw. Res.</t>
  </si>
  <si>
    <t>10.1071/MF07250</t>
  </si>
  <si>
    <t>Fisheries; Limnology; Marine &amp; Freshwater Biology; Oceanography</t>
  </si>
  <si>
    <t>Fisheries; Marine &amp; Freshwater Biology; Oceanography</t>
  </si>
  <si>
    <t>425LU</t>
  </si>
  <si>
    <t>WOS:000264640000001</t>
  </si>
  <si>
    <t>Meekan, MG; Jarman, SN; McLean, C; Schultz, MB</t>
  </si>
  <si>
    <t>Meekan, M. G.; Jarman, S. N.; McLean, C.; Schultz, M. B.</t>
  </si>
  <si>
    <t>DNA evidence of whale sharks (Rhincodon typus) feeding on red crab (Gecarcoidea natalis) larvae at Christmas Island, Australia</t>
  </si>
  <si>
    <t>diet; faeces</t>
  </si>
  <si>
    <t>WESTERN-AUSTRALIA; NINGALOO REEF; PCR; MIGRATIONS; BEHAVIOR</t>
  </si>
  <si>
    <t>Whale sharks (Rhincodon typus) are thought to aggregate in nearshore waters around Christmas Island (105 degrees 37'E, 10 degrees 29'S) to consume the marine larvae of the endemic red land crab (Gecarcoidea natalis). However, there have been no direct observations of sharks feeding on crab larvae. Whale shark faeces were analysed using genetic testing to confirm the presence of crab larvae in their diet. Primers were designed for amplifying two Gecarcoidea natalis mitochondrial small-subunit (mtSSU) rDNA regions. Gel electrophoresis of polymerase chain reaction (PCR) products amplified from whale shark faecal DNA produced bands of the expected size for G. natalis templates. Specificity of both primer sets for G. natalis mtSSU rDNA was expected to be high from comparisons with mtSSU rDNA regions from closely related crabs and we confirmed their specificity empirically. The amplification of fragments from faecal DNA of the same size as those produced from G. natalis DNA indicates that the whale shark had been feeding on G. natalis and that enough of the crab DNA survived digestion to be detected by these PCRs. Our study provides further evidence that aggregations of whale sharks in coastal waters occur in response to ephemeral but predictable increases in planktonic prey.</t>
  </si>
  <si>
    <t>[Meekan, M. G.] Univ Western Australia MO96, Australian Inst Marine Sci, Crawley, WA 6009, Australia; [Jarman, S. N.] Australian Antarctic Div, Kingston, Tas 7050, Australia; [McLean, C.] Australian Inst Marine Sci, Townsville, Qld 4810, Australia; [Schultz, M. B.] Charles Darwin Univ, Casuarina, NT 0811, Australia</t>
  </si>
  <si>
    <t>Australian Institute of Marine Science; University of Western Australia; Australian Antarctic Division; Australian Institute of Marine Science; Charles Darwin University</t>
  </si>
  <si>
    <t>Meekan, MG (corresponding author), Univ Western Australia MO96, Australian Inst Marine Sci, Bot Bldg,35 Stirling Highway, Crawley, WA 6009, Australia.</t>
  </si>
  <si>
    <t>m.meekan@aims.gov.au</t>
  </si>
  <si>
    <t>Schultz, Mark B/R-1179-2019; Schultz, Mark/A-7856-2008; Jarman, Simon/H-9265-2016</t>
  </si>
  <si>
    <t>Schultz, Mark B/0000-0002-7689-6531; Jarman, Simon/0000-0002-0792-9686; Meekan, Mark/0000-0002-3067-9427</t>
  </si>
  <si>
    <t>BigWave Ltd; Sea World Research and Rescue Foundation; Australian Antarctic Division; Australian Government Department of Environment, Water, Heritage and the Arts ( DEWHA)</t>
  </si>
  <si>
    <t>BigWave Ltd; Sea World Research and Rescue Foundation; Australian Antarctic Division; Australian Government Department of Environment, Water, Heritage and the Arts ( DEWHA)(Australian Government)</t>
  </si>
  <si>
    <t>We thank the staff at Christmas Island National Park and Christmas Island Divers for support of this research project. Emma Ross, Peter Talbot and Claire Davies provided assistance in the field. We also thank two anonymous reviewers for useful comments on draft versions of the manuscript. BigWave Ltd, Sea World Research and Rescue Foundation, Australian Institute of Marine Science, the Australian Antarctic Division and the Australian Government Department of Environment, Water, Heritage and the Arts ( DEWHA) provided funding for this project. All research was conducted under research permits provided by DEWHA and in accordance with guidelines approved by the animal ethics committee of Charles Darwin University.</t>
  </si>
  <si>
    <t>10.1071/MF08254</t>
  </si>
  <si>
    <t>460PB</t>
  </si>
  <si>
    <t>WOS:000267198500012</t>
  </si>
  <si>
    <t>Limbourn, AJ; Babcock, RC; Johnston, DJ; Nichols, PD; Knott, B</t>
  </si>
  <si>
    <t>Limbourn, A. J.; Babcock, R. C.; Johnston, D. J.; Nichols, P. D.; Knott, B.</t>
  </si>
  <si>
    <t>Spatial and temporal variation in lipid and fatty acid profiles of western rock lobster pueruli at first settlement: biochemical indicators of diet and nutritional status</t>
  </si>
  <si>
    <t>El Nino; La Nina; Leeuwin Current; nutritional condition; protein; puerulus settlement</t>
  </si>
  <si>
    <t>LEEUWIN CURRENT EDDIES; PANULIRUS-CYGNUS; SPINY LOBSTER; TROPHIC MARKERS; JASUS-EDWARDSII; EUPHAUSIA-SUPERBA; CONTINENTAL-SHELF; DIGESTIVE GLAND; ANTARCTIC KRILL; INDIAN-OCEAN</t>
  </si>
  <si>
    <t>Rock lobster species are found worldwide and have a life history that includes development through a planktonic phyllosoma followed by a nektonic non-feeding puerulus that relies on stored energy during recruitment into near-shore habitats. Recruitment to adult populations of western rock lobster (Panulirus cygnus) is highly variable and is likely to be strongly influenced by shelf width and oceanic conditions affecting cross-shelf transport and nutrition. Since the nutritional status of newly settled pueruli will reflect the phyllosoma feeding environment and distance swum, we studied levels of lipid, fatty acid (FA) and protein of 422 pueruli and 79 first instar juveniles from four Western Australian locations. Lipid levels generally were inversely related to shelf width but were variable, suggesting pueruli may travel complex trajectories to coastal settlement. Lipid and FA composition of pueruli were consistent with spatial and seasonal variation in Leeuwin Current and coastal productivity regimes. Seasonal differences in FA composition occurred regardless of the year of settlement. Pueruli had lower lipid levels during ENSO years, when recruitment tends to be lower also. Measures of puerulus nutritional status appear to provide valuable insights into the processes underpinning recruitment in Panulirus cygnus and other commercially and ecologically important species.</t>
  </si>
  <si>
    <t>[Limbourn, A. J.; Knott, B.] Univ Western Australia, Sch Anim Biol, Perth, WA 6009, Australia; [Limbourn, A. J.; Babcock, R. C.] CSIRO Marine &amp; Atmospher Res, Perth, WA 6913, Australia; [Johnston, D. J.] Western Australian Fisheries Lab, Perth, WA 6920, Australia; [Johnston, D. J.] Marine Res Lab, Perth, WA 6920, Australia; [Nichols, P. D.] CSIRO Marine &amp; Atmospher Res, Hobart, Tas 7001, Australia</t>
  </si>
  <si>
    <t>University of Western Australia; Commonwealth Scientific &amp; Industrial Research Organisation (CSIRO); Commonwealth Scientific &amp; Industrial Research Organisation (CSIRO)</t>
  </si>
  <si>
    <t>Limbourn, AJ (corresponding author), Univ Western Australia, Sch Anim Biol, Perth, WA 6009, Australia.</t>
  </si>
  <si>
    <t>andrew.limbourn@gmail.com</t>
  </si>
  <si>
    <t>Nichols, Peter D/C-5128-2011; Babcock, Russell/A-3794-2012</t>
  </si>
  <si>
    <t>Babcock, Russell/0000-0002-7756-1290</t>
  </si>
  <si>
    <t>Department of Animal Biology, University of Western Australia; CSIRO Marine and Atmospheric Research; Western Australian Fisheries Department</t>
  </si>
  <si>
    <t>Department of Animal Biology, University of Western Australia; CSIRO Marine and Atmospheric Research(Commonwealth Scientific &amp; Industrial Research Organisation (CSIRO)); Western Australian Fisheries Department</t>
  </si>
  <si>
    <t>Funding for this study was provided by the Department of Animal Biology, University of Western Australia and CSIRO Marine and Atmospheric Research. We acknowledge the invaluable assistance provided by the Western Australian Fisheries Department, which generously provided the numerous pueruli used in this study. We also thank Danny Holdsworth for technical support during running of the GC-MS facility and acknowledge with thanks the constructive comments of Professor Boulton and two anonymous reviewers for providing helpful comments on the manuscript.</t>
  </si>
  <si>
    <t>10.1071/MF08244</t>
  </si>
  <si>
    <t>487ZN</t>
  </si>
  <si>
    <t>WOS:000269318300003</t>
  </si>
  <si>
    <t>Veal, CJ; Michael, KJ; Nunez, M</t>
  </si>
  <si>
    <t>Veal, Cameron J.; Michael, Kelvin J.; Nunez, Manuel</t>
  </si>
  <si>
    <t>Partitioning of underwater direct and diffuse ultraviolet irradiance in a shallow water coral reef</t>
  </si>
  <si>
    <t>Great Barrier Reef; Heron Island</t>
  </si>
  <si>
    <t>SOLAR UV-RADIATION; GREAT-BARRIER-REEF; OPTICAL-PROPERTIES; CLIMATE-CHANGE; MARINE; LIGHT; REFLECTANCE; VARIABILITY; DEPTH; PENETRATION</t>
  </si>
  <si>
    <t>In optically shallow waters of coral reefs, the contribution of both direct and diffuse ultraviolet irradiance is poorly documented yet its involvement in biological processes is highly significant. Here we present a new approach of partitioning the ultraviolet attenuation coefficient into direct and diffuse components in the top 5m of waters surrounding Heron Reef, Queensland, Australia (23 degrees 27'S, 151 degrees 55'E), during the austral summer solstice from 11 to 21 December 2005. A commercial ultraviolet radiometer, which operated in selected spectral bands centred at 305, 313, 320, 340, 380 and 395 nm, was fitted with an aquatic shadow-band that allowed the measurement of both global and diffuse irradiances. Direct irradiance was estimated by subtracting diffuse irradiance from global irradiance. Results revealed that direct irradiance was attenuated more quickly than diffuse irradiance, with stronger attenuation in the shorter wavelengths. Attenuation coefficients for the global, diffuse and direct components of irradiance were significantly different, justifying their separate treatment through partitioning. A significant dependence on turbidity explained more than 70% of the variation in attenuation of ultraviolet irradiance at the shorter wavelengths. The direct ultraviolet irradiance can exceed 50% of the global ultraviolet irradiance in shallow waters (0-5 m), a significant result that is generally overlooked in optical and biological studies.</t>
  </si>
  <si>
    <t>[Veal, Cameron J.; Nunez, Manuel] Univ Tasmania, Sch Geog &amp; Environm Studies, Hobart, Tas 7001, Australia; [Michael, Kelvin J.] Univ Tasmania, Inst Antarctic &amp; So Ocean Studies, Hobart, Tas 7001, Australia</t>
  </si>
  <si>
    <t>University of Tasmania; University of Tasmania</t>
  </si>
  <si>
    <t>Veal, CJ (corresponding author), Univ Queensland, Ctr Marine Studies, Brisbane, Qld 4072, Australia.</t>
  </si>
  <si>
    <t>c.veal@uq.edu.au</t>
  </si>
  <si>
    <t>Michael, Kelvin/J-7217-2014</t>
  </si>
  <si>
    <t>Michael, Kelvin/0000-0002-5427-7393</t>
  </si>
  <si>
    <t>Australian Research Council Discovery [DP0453361]; Australian Research Council [DP0453361] Funding Source: Australian Research Council</t>
  </si>
  <si>
    <t>Australian Research Council Discovery(Australian Research Council); Australian Research Council(Australian Research Council)</t>
  </si>
  <si>
    <t>This work has been funded by the Australian Research Council Discovery Grant DP0453361, led by Professor Ove Hoegh-Guldberg at the Centre for Marine Studies, The University of Queensland. The authors acknowledge technical assistance from: Mr Peter Dove, Mr Paul Waller, Mr Vagn Jensen and Dr Ohm Masiri as well as the input of two anonymous reviewers that greatly improved the manuscript. Thanks must finally go to the staff at Heron Island Research Station as well as Miss Bonnie Lewis, Miss Rebecca Shaw and Mr Graeme Veal for volunteering in the field.</t>
  </si>
  <si>
    <t>10.1071/MF08318</t>
  </si>
  <si>
    <t>534BT</t>
  </si>
  <si>
    <t>WOS:000272871200005</t>
  </si>
  <si>
    <t>Miller, K; Neil, H; Tracey, D</t>
  </si>
  <si>
    <t>Miller, Karen; Neil, Helen; Tracey, Di</t>
  </si>
  <si>
    <t>Recent advances in deep-sea coral science and emerging links to conservation and management of deep-sea ecosystems</t>
  </si>
  <si>
    <t>Biodiversity; Ecology; Growth; Geochemical archives; Mapping tools; Conservation and management; Deep-sea corals; Symposium</t>
  </si>
  <si>
    <t>SCLERACTINIAN CORALS; GROWTH; WATERS</t>
  </si>
  <si>
    <t>Conservation and management of deep-sea corals and coral reefs was the theme of the 4th International Deepsea Coral Symposium held in Wellington, New Zealand from I to 5 December 2008. A selection of resulting studies is published here. Recent advances in our understanding of deep-sea corals and associated ecosystems have demonstrated their high diversity, abundance, longevity and widespread global distribution. Such deep-water communities are increasingly threatened by anthropogenic environmental change (e.g. ocean acidity, fishing pressures) and require timely management policies and actions to reduce potential deleterious effects. The interdisciplinary nature of deep-sea coral research is a significant strength, helping to provide the broad base of knowledge and resources that are required for the conservation and management of this important ecological group.</t>
  </si>
  <si>
    <t>[Miller, Karen] Univ Tasmania, Inst Antarctic &amp; So Ocean Studies, Hobart, Tas 7001, Australia; [Neil, Helen; Tracey, Di] Natl Inst Water &amp; Atmospher Res NIWA, Wellington, New Zealand</t>
  </si>
  <si>
    <t>University of Tasmania; National Institute of Water &amp; Atmospheric Research (NIWA) - New Zealand</t>
  </si>
  <si>
    <t>Miller, K (corresponding author), Univ Tasmania, Inst Antarctic &amp; So Ocean Studies, Private Bag 77, Hobart, Tas 7001, Australia.</t>
  </si>
  <si>
    <t>karen.miller@utas.edu.au</t>
  </si>
  <si>
    <t>Miller, Karen/V-4098-2019; Miller, Karen/A-7902-2011</t>
  </si>
  <si>
    <t>10.3354/meps08452</t>
  </si>
  <si>
    <t>548MV</t>
  </si>
  <si>
    <t>WOS:000273968400001</t>
  </si>
  <si>
    <t>Cairns, SD</t>
  </si>
  <si>
    <t>Cairns, Stephen D.</t>
  </si>
  <si>
    <t>Influence of Frederick (Ted) M. Bayer on deep-water octocoral research</t>
  </si>
  <si>
    <t>Octocorals; F. M. Bayer; Bioillustrations; Calcaxonia</t>
  </si>
  <si>
    <t>ANTHOZOA</t>
  </si>
  <si>
    <t>The impact of Ted Bayer's research on octocorals was extraordinary and his studies will long be used by any student of the group Octocorallia. He leaves behind a legacy of 107 published papers on octocorals, in which he newly described 4 families, 1 subfamily, 48 genera, 2 subgenera, 186 species, and 10 subspecies. An annotated list of his new taxa and all of his manuscripts (including 9 unpublished) are given in an electronic supplement. Although he published on most octocoral families, his favorite groups were the deep-water calcaxonian families from the western Atlantic, central Pacific, and Antarctic; he was also an expert on the precious coral family Coralliidae. He facilitated the study of the subclass by publishing classifications of the higher taxa, an illustrated trilingual glossary of morphological terms, a key to all genera (exclusive of the Pennatulacea), and an annotated bibliography of the literature of the group. He was the first to use scanning electron microscope (SEM) images of sclerites to describe species, and perfected that technique in the use of SEM stereo pairs. He also made a significant contribution to advances in the knowledge of octocoral axial microstructure, proving that all gorgoniids have a diagnostic type of axial mineralogy. He interacted with and influenced virtually every octocoral worker in the last half of the twentieth century, co-authoring with many of them.</t>
  </si>
  <si>
    <t>Smithsonian Inst, Dept Invertebrate Zool, Washington, DC 20560 USA</t>
  </si>
  <si>
    <t>Smithsonian Institution; Smithsonian National Museum of Natural History</t>
  </si>
  <si>
    <t>Cairns, SD (corresponding author), Smithsonian Inst, Dept Invertebrate Zool, POB 37012, Washington, DC 20560 USA.</t>
  </si>
  <si>
    <t>cairnss@si.edu</t>
  </si>
  <si>
    <t>10.3354/meps08066</t>
  </si>
  <si>
    <t>WOS:000273968400002</t>
  </si>
  <si>
    <t>Fautin, DG; Guinotte, JM; Orr, JC</t>
  </si>
  <si>
    <t>Fautin, Daphne G.; Guinotte, John M.; Orr, James C.</t>
  </si>
  <si>
    <t>Comparative depth distribution of corallimorpharians and scleractinians (Cnidaria: Anthozoa)</t>
  </si>
  <si>
    <t>Corallimorpharia; Scleractinia; Corals; Sea anemones</t>
  </si>
  <si>
    <t>OCEAN ACIDIFICATION; CORALS; MITOCHONDRIAL</t>
  </si>
  <si>
    <t>We assessed whether CaCO3 concentration of seawater may be relevant to the occurrence of members of Corallimorpharia and Scleractinia, which are very similar except for the possession by scleractinians of a calcareous skeleton. In collections of both the Challenger Deep-sea Expedition 1872-1876 and the US Antarctic (Research) Program, average depth of occurrence was significantly greater for corallimorpharians than for scleractinians. We also compared depth of occurrence relative to the position of the aragonite saturation horizon (ASH) at many localities from which specimens were collected. Nearly 25 and 50% of stations at which scleractinians were collected were below the ASH for the Antarctic and Challenger stations, respectively; 50 and 100% of the Antarctic and Challenger stations at which corallimorpharians were collected were below the ASH, respectively. Statistical analyses of these data to test whether there is a difference in the depth, relative to the ASH, at which scleractinians and corallimorpharians occur indicate a difference for the Challenger but not the Antarctic stations; more data are needed. The scleractinians that tolerate living below the ASH belong to a minority of the genera recorded in the surveys, and do not include species considered important in forming bioherms; those that occur deepest are solitary. Some deep-sea scleractinians may be unaffected by shoaling of the ASH that is predicted across all ocean basins in the near future, some may be confined to water shallower than is now the case, and others may cease producing a skeleton, becoming morphologically indistinguishable from corallimorpharians.</t>
  </si>
  <si>
    <t>[Fautin, Daphne G.] Univ Kansas, Dept Ecol &amp; Evolutionary Biol, Lawrence, KS 66045 USA; [Fautin, Daphne G.] Univ Kansas, Nat Hist Museum, Lawrence, KS 66045 USA; [Fautin, Daphne G.] Univ Kansas, Biodivers Res Ctr, Lawrence, KS 66045 USA; [Guinotte, John M.] Marine Conservat Biol Inst, Bellevue, WA 98004 USA; [Orr, James C.] MEL IAEA, MC-98000 Monaco, Monaco</t>
  </si>
  <si>
    <t>University of Kansas; University of Kansas; University of Kansas</t>
  </si>
  <si>
    <t>Fautin, DG (corresponding author), Univ Kansas, Dept Ecol &amp; Evolutionary Biol, Lawrence, KS 66045 USA.</t>
  </si>
  <si>
    <t>fautin@ku.edu</t>
  </si>
  <si>
    <t>Orr, James C/C-5221-2009</t>
  </si>
  <si>
    <t>Orr, James/0000-0002-8707-7080</t>
  </si>
  <si>
    <t>US National Science Foundation [DEB95-21819, DEB99-78106]; Educational Foundation of America [OCE 00-03970, EF-0531779]</t>
  </si>
  <si>
    <t>US National Science Foundation(National Science Foundation (NSF)); Educational Foundation of America</t>
  </si>
  <si>
    <t>Funding was provided by US National Science Foundation grant nos DEB95-21819 and DEB99-78106 (Partnerships to Enhance Expertise in Taxonomy), OCE 00-03970, and EF-0531779 (Assembling the Tree of Life), and by grants from the Educational Foundation of America and ESRI to the Marine Conservation Biology Institute. S. Bokka assembled the data analyzed for this study. We thank S. Cairns for taxonomic advice, P. Sammarco for information about his observations, and J. Kelly and W. Eash-Loucks for help with statistics.</t>
  </si>
  <si>
    <t>10.3354/meps08271</t>
  </si>
  <si>
    <t>WOS:000273968400007</t>
  </si>
  <si>
    <t>Arantes, RCM; Castro, CB; Pires, DO; Seoane, JCS</t>
  </si>
  <si>
    <t>Arantes, R. C. M.; Castro, C. B.; Pires, D. O.; Seoane, J. C. S.</t>
  </si>
  <si>
    <t>Depth and water mass zonation and species associations of cold-water octocoral and stony coral communities in the southwestern Atlantic</t>
  </si>
  <si>
    <t>Deep sea; Octocorallia; Scleractinia; Depth; Water masses; Zonation</t>
  </si>
  <si>
    <t>DEEP; ANTARCTICA; TASMANIA; BRAZIL; OCEAN</t>
  </si>
  <si>
    <t>The Southwest Atlantic continental margin between latitudes 21 and 23 degrees S comprises the Campos Basin area. Its continental shelf is some 100 km wide, with the slope starting between 80 and 130 m in depth. The slope is about 40 km wide, extending deeper to the south (2000 m) than to the north (1500 m). Water masses influencing the area include (1) surficial tropical water (TW), 250 to 300 m depth; (2) South Atlantic central water (SACW), below TW 300 to 550 m; (3) Antarctic intermediate water (AIW), between 550 and 1200 m depth; and (4) North Atlantic deep water (NADW), 1200 to 3500 m depth. Distributions of octocorals (25 genera, 32 species/morphotypes) and stony corals (27, 11) and associations among taxa and with water masses were analyzed. Different communities were found over 3 depth ranges. Complete dissimilarity was observed between the continental shelf margin/upper slope and the middle-lower slope. The shallower depth range (52 to 760 m) was influenced by TW, SACW and the upper limit of AIW, while 11 species/morphotypes occurred exclusively in the middle depths (1000 to 1200 m), under the sole influence of AIW. No species were exclusive to the deepest depth range (1200 to 1605 m), which is bathed by NADW. Middle slope areas were distinct from one another, while lower slope areas were more homogeneous. Co-occurrences of species indicate the type of environment they live in, as soft or hard bottoms. One group of species indicative of cold-water coral communities includes Lophelia pertusa, Enallopsammia spp., Corallium niobe and Paragorgia johnsonii.</t>
  </si>
  <si>
    <t>[Arantes, R. C. M.; Castro, C. B.; Pires, D. O.] Univ Fed Rio de Janeiro, Museu Nacl, BR-20940040 Rio De Janeiro, Brazil; [Arantes, R. C. M.; Seoane, J. C. S.] Univ Fed Rio de Janeiro, Dept Geol, BR-21941916 Rio De Janeiro, Brazil</t>
  </si>
  <si>
    <t>Universidade Federal do Rio de Janeiro; Universidade Federal do Rio de Janeiro</t>
  </si>
  <si>
    <t>Castro, CB (corresponding author), Univ Fed Rio de Janeiro, Museu Nacl, Quinta Boa Vista S-N, BR-20940040 Rio De Janeiro, Brazil.</t>
  </si>
  <si>
    <t>clovis.castro@coralvivo.org.br</t>
  </si>
  <si>
    <t>SEOANE, JOSE CARLOS S/E-2797-2014; Pires, Débora/B-6067-2015; Castro, Clovis B/J-7525-2012</t>
  </si>
  <si>
    <t>SEOANE, JOSE CARLOS S/0000-0001-7728-3764;</t>
  </si>
  <si>
    <t>Living Resources in the Exclusive Economic Zone (REVIZEE); Campos Basin Deep-Sea Environmental Project; Conselho Nacional de Desenvolvimento Cientifico e Tecnologico Brazil</t>
  </si>
  <si>
    <t>Living Resources in the Exclusive Economic Zone (REVIZEE); Campos Basin Deep-Sea Environmental Project; Conselho Nacional de Desenvolvimento Cientifico e Tecnologico Brazil(Conselho Nacional de Desenvolvimento Cientifico e Tecnologico (CNPQ))</t>
  </si>
  <si>
    <t>The projects Assessment of the Sustainable Yield of the Living Resources in the Exclusive Economic Zone (REVIZEE) and the Campos Basin Deep-Sea Environmental Project donated the specimens for this study. We thank A. P. Falcao (Petrobras) for suggestions along the course of the study. D.O.P., C.B.C. and J.C.S.S. thank the Conselho Nacional de Desenvolvimento Cientifico e Tecnologico Brazil for research fellowships. R.C.M.A. thanks Petrobras for a Master's fellowship. Thanks to Petrobras and the United Nations Environment Program for travel grants to D.O.P., C.B.C. and R.C.M.A. to attend the 4th International Symposium on Deep-Sea Corals.</t>
  </si>
  <si>
    <t>10.3354/meps08230</t>
  </si>
  <si>
    <t>WOS:000273968400008</t>
  </si>
  <si>
    <t>Sherwood, OA; Thresher, RE; Fallon, SJ; Davies, DM; Trull, TW</t>
  </si>
  <si>
    <t>Sherwood, Owen A.; Thresher, Ronald E.; Fallon, Stewart J.; Davies, Diana M.; Trull, Thomas W.</t>
  </si>
  <si>
    <t>Multi-century time-series of 15N and 14C in bamboo corals from deep Tasmanian seamounts: evidence for stable oceanographic conditions</t>
  </si>
  <si>
    <t>Tasmanian seamounts; Deep-sea corals; Stable isotopes; Radiocarbon; Biogeochemistry</t>
  </si>
  <si>
    <t>LATE HOLOCENE RADIOCARBON; BOMB RADIOCARBON; ISOTOPIC COMPOSITION; AGE VALIDATION; GORGONIAN CORALS; SOUTHERN-OCEAN; NE ATLANTIC; SEA CORALS; FOOD-WEB; DELTA-N-15</t>
  </si>
  <si>
    <t>Bamboo corals (Family Isididae) are an important component of seamount benthos south of Tasmania. Besides having lifespans of up to 400 yr, little is known about their basic ecology, nor how to decode potential climate signals encoded in their skeletons. We explored the stable nitrogen isotope and radiocarbon compositions of the skeletal organic fraction of the genera Isidella, Keratoisis and Lepidisis collected from 3 Tasmanian seamounts. Analyses were performed on tissues and organic node growth rings sampled at a temporal resolution of 1 to 4 yr. Radiocarbon chronologies exhibited nuclear bomb signals characteristic of surface waters and constrained radial growth rates to similar to 35 +/- 10 mu m yr(-1) for 3 specimens of the genus Lepidisis and 113 +/- 17 mu m yr(-1) for 1 specimen of Isidella. delta N-15 values of the living tissue and underlying gorgonin were similar and averaged 9 to 12 parts per thousand. Records of delta N-15 from 8 different specimens showed subtle, quasi-decadal patterns over the last similar to 100 yr, although the amplitude of these features (similar to 1 parts per thousand) was similar to the average intra- and inter-colony reproducibility. These results demonstrate the utility of deep-sea corals to track seamount bio-geochemical processes over long time scales, and suggest that the extent of nutrient depletion of surface waters and associated trophic dynamics have remained relatively constant in this region over centuries. This provides an important baseline for the evaluation of the impacts of anthropogenic climate change.</t>
  </si>
  <si>
    <t>[Thresher, Ronald E.; Trull, Thomas W.] CSIRO Marine &amp; Atmospher Res &amp; Wealth Oceans &amp; Cl, Hobart, Tas 7000, Australia; [Fallon, Stewart J.] Australian Natl Univ, Res Sch Earth Sci, Acton, ACT 2000, Australia; [Davies, Diana M.; Trull, Thomas W.] Univ Tasmania, Inst Antarctic &amp; So Ocean Studies, Hobart, Tas 7001, Australia; [Davies, Diana M.; Trull, Thomas W.] Univ Tasmania, ACE CRC, Hobart, Tas 7001, Australia; [Sherwood, Owen A.] Mem Univ Newfoundland, Dept Earth Sci, St John, NF A1C 3X9, Canada</t>
  </si>
  <si>
    <t>Commonwealth Scientific &amp; Industrial Research Organisation (CSIRO); Australian National University; University of Tasmania; Antarctic Climate &amp; Ecosystems Cooperative Research Centre (ACE CRC); University of Tasmania; Memorial University Newfoundland</t>
  </si>
  <si>
    <t>Sherwood, OA (corresponding author), 4 Hipditch Hill, St John, NF A1A 1A5, Canada.</t>
  </si>
  <si>
    <t>osherwood@gmail.com</t>
  </si>
  <si>
    <t>Thresher, Ronald/C-7442-2009; Trull, Tom W/B-7028-2014; Fallon, Stewart/G-6645-2011</t>
  </si>
  <si>
    <t>SHERWOOD, OWEN/0000-0003-1055-3162; Davies, Diana M./0000-0001-6304-3938; Fallon, Stewart/0000-0002-8064-5903</t>
  </si>
  <si>
    <t>Endeavour Research Fellowship; CSIRO Wealth; Australian Commonwealth Cooperative Research Centres Program; Australian Fisheries Research and Development Corporation; Australian Department of Environment and Heritage</t>
  </si>
  <si>
    <t>Endeavour Research Fellowship; CSIRO Wealth; Australian Commonwealth Cooperative Research Centres Program(Australian GovernmentDepartment of Industry, Innovation and ScienceCooperative Research Centres (CRC) Programme); Australian Fisheries Research and Development Corporation; Australian Department of Environment and Heritage(Australian Government)</t>
  </si>
  <si>
    <t>We thank A. Williams, K. Gowlett-Holmes and G. Walker-Smith for the coral samples, and P. Alderslade for taxonomic assistance. O.A.S. was supported by an Endeavour Research Fellowship, R.E.T. by the CSIRO Wealth from Oceans and Climate Adaptation Flagships and T.W.T. and D.M.D. by the Australian Commonwealth Cooperative Research Centres Program. Sample collection was supported by CSIRO, the Australian Fisheries Research and Development Corporation and the Australian Department of Environment and Heritage, This is a contribution from the CSIRO Wealth from Oceans and Climate Adaptation Flagships.</t>
  </si>
  <si>
    <t>10.3354/meps08166</t>
  </si>
  <si>
    <t>WOS:000273968400020</t>
  </si>
  <si>
    <t>Van Parijs, SM; Clark, CW; Sousa-Lima, RS; Parks, SE; Rankin, S; Risch, D; Van Opzeeland, IC</t>
  </si>
  <si>
    <t>Van Parijs, Sofie M.; Clark, Chris W.; Sousa-Lima, Renata S.; Parks, Susan E.; Rankin, Shannon; Risch, Denise; Van Opzeeland, Ilse C.</t>
  </si>
  <si>
    <t>Management and research applications of real-time and archival passive acoustic sensors over varying temporal and spatial scales</t>
  </si>
  <si>
    <t>Passive acoustics; Mesoscale; Archival arrays; Real-time buoys; Towed arrays; Localization; Automated detection; Marine mammals; Fish</t>
  </si>
  <si>
    <t>WHALES EUBALAENA-GLACIALIS; ATLANTIC RIGHT WHALES; MANATEES TRICHECHUS-MANATUS; MEGAPTERA-NOVAEANGLIAE; FINLESS PORPOISES; ISOLATION CALLS; MATING TACTICS; PACIFIC; PATTERNS; VOCALIZATIONS</t>
  </si>
  <si>
    <t>Defining the appropriate scale over which to conduct a study in the marine environment is critical to achieving appropriate scientific, management, mitigation and conservation objectives. This paper focuses on applications of passive acoustic technologies over a range of spatial and temporal scales. It is divided into sections dealing with archival and real-time passive acoustic sensor applications. Each section assesses the principles behind using the respective technology and provides recent examples of research and management applications for marine mammals and fish. The section on archival sensors highlights the need for continued development of automated acoustic detectors to assess large data sets. Case studies are presented of detectors developed for determining seasonal occurrence and distribution of haddock sounds and humpback whale vocalizations. Also presented are studies of other applications using archival sensors: tracking singing humpback whales in Brazil, using vocalizations to assess the reproductive strategies of Arctic bearded seals and assessing regional variability in call patterns for North Atlantic right whales. The section on real-time passive acoustic sensors focuses on real-time buoys and towed arrays. Case studies presented include a real-time buoy system used for monitoring endangered North Atlantic right whales and a stationary autonomous array providing real-time access to Antarctic acoustic data. The value of using towed arrays for real-time applications is also assessed, and a case study is provided on the use of towed arrays to improve abundance estimates of North Pacific cetaceans and to better understand vocalization behaviors.</t>
  </si>
  <si>
    <t>[Van Parijs, Sofie M.; Risch, Denise] NE Fisheries Sci Ctr, Woods Hole, MA 02543 USA; [Clark, Chris W.; Sousa-Lima, Renata S.] Cornell Lab Ornithol, Bioacoust Res Program, Ithaca, NY 14850 USA; [Sousa-Lima, Renata S.] Inst Baleia Jubarte, BR-45900000 Caravelas, BA, Brazil; [Parks, Susan E.] Penn State Univ, Appl Res Lab, State Coll, PA 16804 USA; [Rankin, Shannon] SW Fisheries Sci Ctr, La Jolla, CA 92037 USA; [Risch, Denise] Integrated Stat, Woods Hole, MA 02543 USA; [Van Opzeeland, Ilse C.] Alfred Wegener Inst Polar &amp; Marine Res, Dept Ocean Acoust, D-27568 Bremerhaven, Germany</t>
  </si>
  <si>
    <t>National Oceanic Atmospheric Admin (NOAA) - USA; Cornell University; Pennsylvania Commonwealth System of Higher Education (PCSHE); Pennsylvania State University; National Oceanic Atmospheric Admin (NOAA) - USA; Helmholtz Association; Alfred Wegener Institute, Helmholtz Centre for Polar &amp; Marine Research</t>
  </si>
  <si>
    <t>Van Parijs, SM (corresponding author), NE Fisheries Sci Ctr, 166 Water St, Woods Hole, MA 02543 USA.</t>
  </si>
  <si>
    <t>sofie.vanparijs@noaa.gov</t>
  </si>
  <si>
    <t>Sousa-Lima, Renata S./O-7550-2015; Sousa-Lima, Renata S./AAD-4096-2020; Risch, Denise/W-1070-2019; Parks, Susan E/D-2675-2014</t>
  </si>
  <si>
    <t>Sousa-Lima, Renata S./0000-0002-2638-1695; Sousa-Lima, Renata S./0000-0002-2638-1695; Risch, Denise/0000-0002-3719-7420; Rankin, Shannon/0000-0002-8405-5169</t>
  </si>
  <si>
    <t>Abrolhos National Marine Park; Animal Behavior Society; Brazilian Government (CAPES); Brazilian Navy; Canon National Parks Science Scholars Program; Cornell University Lab of Ornithology; European Union; Instituto Baleia Jubarte; Petroleo Brasileiro S.A. (PETROBRAS); Massachusetts Department of Marine Fisheries; NOAA National Marine Fisheries Service (NEFSC SEFSC); Norwegian National Research Council; Norwegian Polar Institute; Ny- Alesund Large Scale Facility for Arctic Environmental Research; University Studies on Svalbard; US Navy; Alfred Wegener Institute for Polar and Marine Research</t>
  </si>
  <si>
    <t>Abrolhos National Marine Park; Animal Behavior Society; Brazilian Government (CAPES)(Coordenacao de Aperfeicoamento de Pessoal de Nivel Superior (CAPES)); Brazilian Navy; Canon National Parks Science Scholars Program; Cornell University Lab of Ornithology; European Union(European Union (EU)); Instituto Baleia Jubarte; Petroleo Brasileiro S.A. (PETROBRAS)(Fundacao de Amparo a Pesquisa do Amapa (FAPEAP)Petrobras); Massachusetts Department of Marine Fisheries; NOAA National Marine Fisheries Service (NEFSC SEFSC)(National Oceanic Atmospheric Admin (NOAA) - USA); Norwegian National Research Council; Norwegian Polar Institute; Ny- Alesund Large Scale Facility for Arctic Environmental Research; University Studies on Svalbard; US Navy(United States Department of Defense); Alfred Wegener Institute for Polar and Marine Research</t>
  </si>
  <si>
    <t>We thank B. Southall, D. Nowacek and H. Browman for the insight and innovation which made this theme section on passive acoustics possible. An immense number of people contributed to making the case studies in this manuscript happen. However, the hardware and software that were predominately used in these case studies was developed at the Bioacoustics Research Program at Cornell University, without which passive acoustics would not be what it is today. The hardware and software for the towed array studies are the result of a collaborative effort between J. Barlow, J. Oswald, D. K. Mellinger and S. Rankin. Funding for these case studies was received from Abrolhos National Marine Park, Animal Behavior Society, Brazilian Government (CAPES PhD Fellowship to R.S.S.L.), Brazilian Navy, Canon National Parks Science Scholars Program, Cornell University Lab of Ornithology, European Union Marie Curie Postdoctoral, Instituto Baleia Jubarte, Petroleo Brasileiro S.A. (PETROBRAS), Massachusetts Department of Marine Fisheries, NOAA National Marine Fisheries Service (NEFSC &amp; SEFSC), Norwegian National Research Council, Norwegian Polar Institute, Ny- Alesund Large Scale Facility for Arctic Environmental Research and University Studies on Svalbard, US Navy and Alfred Wegener Institute for Polar and Marine Research. We also thank the 3 reviewers who struggled through a much rougher version of this manuscript and who we hope will find the end result a significant improvement as a result of their input.</t>
  </si>
  <si>
    <t>10.3354/meps08123</t>
  </si>
  <si>
    <t>541AV</t>
  </si>
  <si>
    <t>WOS:000273383900003</t>
  </si>
  <si>
    <t>Kaartvedt, S; Rostad, A; Klevjer, TA; Staby, A</t>
  </si>
  <si>
    <t>Kaartvedt, Stein; Rostad, Anders; Klevjer, Thor A.; Staby, Arved</t>
  </si>
  <si>
    <t>Use of bottom-mounted echo sounders in exploring behavior of mesopelagic fishes</t>
  </si>
  <si>
    <t>Mesopelagic; Diel vertical migration; Swimming behavior; Target tracking; Benthosema glaciale; Moored echo sounders</t>
  </si>
  <si>
    <t>DIEL VERTICAL MIGRATION; GULF-OF-MEXICO; SCATTERING LAYER; SWIMMING SPEED; INDIVIDUAL VARIABILITY; WINTER DISTRIBUTION; ANTARCTIC KRILL; TARGET STRENGTH; WESTERN NORWAY; PREDATION RISK</t>
  </si>
  <si>
    <t>We deployed an upward-facing echo sounder mounted on the bottom and cabled to shore in a similar to 400 m fjord location for long-term studies of small mesopelagic fish and their potential predators. The population of the myctophid Benthosema glaciale displayed diverse diel vertical migration (DVM) behaviors, including normal DVM to surface waters at night, reverse DVM in the lower part of the water column in which fish ascended to similar to 200 m at day, as well as nonmigration of some individuals. The relative prevalence of these behavioral modes varied with season. Acoustic target tracking of individuals in deep water showed that B. glaciale was conspicuously inactive and drifted back and forth with weak tidal currents, essentially acting as plankton. Swimming was largely restricted to infrequent short bouts. More active swimming occasionally occurred in the vertical direction, and then in a stepwise pattern. Potential predators in deep water were swimming at speeds of &lt;0.5 body length s-, with maximum speeds of similar to 1 body length s(-1). These results show that submerged echo sounders provide a means of non-intrusively studying both individual and population behavior of deep-living organisms.</t>
  </si>
  <si>
    <t>[Kaartvedt, Stein; Rostad, Anders; Klevjer, Thor A.] Univ Oslo, Dept Biol, N-0316 Oslo, Norway; [Kaartvedt, Stein; Staby, Arved] Univ Bergen, Dept Biol, N-5020 Bergen, Norway</t>
  </si>
  <si>
    <t>University of Oslo; University of Bergen</t>
  </si>
  <si>
    <t>Kaartvedt, S (corresponding author), Univ Oslo, Dept Biol, POB 1066 Blindern, N-0316 Oslo, Norway.</t>
  </si>
  <si>
    <t>stein.kaartvedt@bio.uio.no</t>
  </si>
  <si>
    <t>Rostad, Anders/0000-0002-2512-9033</t>
  </si>
  <si>
    <t>10.3354/meps08174</t>
  </si>
  <si>
    <t>WOS:000273383900009</t>
  </si>
  <si>
    <t>Jagannathan, S; Bertsatos, I; Symonds, D; Chen, TR; Nia, HT; Jain, AD; Andrews, M; Gong, Z; Nero, R; Ngor, L; Jech, M; Godo, OR; Lee, S; Ratilal, P; Makris, N</t>
  </si>
  <si>
    <t>Jagannathan, Srinivasan; Bertsatos, Ioannis; Symonds, Deanelle; Chen, Tianrun; Nia, Hadi Tavakoli; Jain, Ankita Deepak; Andrews, Mark; Gong, Zheng; Nero, Redwood; Ngor, Lena; Jech, Mike; Godo, Olav Rune; Lee, Sunwoong; Ratilal, Purnima; Makris, Nicholas</t>
  </si>
  <si>
    <t>Ocean Acoustic Waveguide Remote Sensing (OAWRS) of marine ecosystems</t>
  </si>
  <si>
    <t>Ecosystem; Acoustic sensing; Instantaneous wide-area; Continuous monitoring; Abundance; Behavior; OAWRS; Remote species classification</t>
  </si>
  <si>
    <t>WHITING MICROMESISTIUS-AUSTRALIS; POLLOCK THERAGRA-CHALCOGRAMMA; DEPENDENT BENCHMARK PROBLEMS; ATLANTIC BLUEFIN TUNA; ANTARCTIC KRILL; TARGET STRENGTH; WALLEYE POLLOCK; TRANSMISSION SCINTILLATION; MULTIPATH SCINTILLATIONS; SOUND-PROPAGATION</t>
  </si>
  <si>
    <t>Ocean Acoustic Waveguide Remote Sensing (OAWRS) has recently been shown to be capable of instantaneously imaging and continuously monitoring fish populations over continental shelf-scale areas, covering thousands of km(2). We show how OAWRS can be used in a variety of oceanic ecosystems to remotely assess populations and study the behavior of fish and other marine organisms, such as Antarctic krill, to help the study of marine ecology and the ecosystem-based approach to fisheries management.</t>
  </si>
  <si>
    <t>[Jagannathan, Srinivasan; Bertsatos, Ioannis; Symonds, Deanelle; Chen, Tianrun; Nia, Hadi Tavakoli; Jain, Ankita Deepak; Ngor, Lena; Lee, Sunwoong; Makris, Nicholas] MIT, Dept Mech Engn, Cambridge, MA 02139 USA; [Andrews, Mark; Gong, Zheng; Ratilal, Purnima] Northeastern Univ, Dept Elect &amp; Comp Engn, Boston, MA 02115 USA; [Nero, Redwood] USN, Res Lab, Washington, DC 20375 USA; [Jech, Mike] NE Fisheries Sci Ctr, Woods Hole, MA 02543 USA; [Godo, Olav Rune] Inst Marine Res, N-5817 Bergen, Norway</t>
  </si>
  <si>
    <t>Massachusetts Institute of Technology (MIT); Northeastern University; United States Department of Defense; United States Navy; Naval Research Laboratory; National Oceanic Atmospheric Admin (NOAA) - USA; Institute of Marine Research - Norway</t>
  </si>
  <si>
    <t>Makris, N (corresponding author), MIT, Dept Mech Engn, 77 Massachusetts Ave, Cambridge, MA 02139 USA.</t>
  </si>
  <si>
    <t>m.akris@mit.edu</t>
  </si>
  <si>
    <t>Nia, Hadi Tavakoli/D-6880-2013; Gong, Zheng/K-5808-2012</t>
  </si>
  <si>
    <t>Lee, Sunwoong/0000-0002-0485-0585; Godo, Olav Rune/0000-0001-8826-8068; Nia, Hadi/0000-0003-1970-9901</t>
  </si>
  <si>
    <t>Office of Naval Research; Alfred P. Sloan Foundation; National Oceanographic Partnership Program</t>
  </si>
  <si>
    <t>Office of Naval Research(Office of Naval Research); Alfred P. Sloan Foundation(Alfred P. Sloan Foundation); National Oceanographic Partnership Program</t>
  </si>
  <si>
    <t>This research was supported by the Office of Naval Research, the Alfred P. Sloan Foundation, and the National Oceanographic Partnership Program, and is a contribution to the Census of Marine Life.</t>
  </si>
  <si>
    <t>10.3354/meps08266</t>
  </si>
  <si>
    <t>WOS:000273383900011</t>
  </si>
  <si>
    <t>Gradinger, RR; Kaufman, MR; Bluhm, BA</t>
  </si>
  <si>
    <t>Gradinger, Rolf R.; Kaufman, Mette R.; Bluhm, Bodil A.</t>
  </si>
  <si>
    <t>Pivotal role of sea ice sediments in the seasonal development of near-shore Arctic fast ice biota</t>
  </si>
  <si>
    <t>Arctic sea ice; Sea ice sediments; Ice algae; Ice fauna; Particulate organic carbon; POC; Particulate organic nitrogen; PON; Stable isotope ratio</t>
  </si>
  <si>
    <t>NORTHERN BAFFIN-BAY; GRADED SNOW COVER; BEAUFORT SEA; PACK ICE; ALGAL PRODUCTION; MICROBIAL COMMUNITIES; TROPHIC RELATIONSHIPS; SYMPAGIC MEIOFAUNA; ONISIMUS-LITORALIS; FAUNAL ASSEMBLAGE</t>
  </si>
  <si>
    <t>The impact of sea ice sediments on the seasonal development of sea ice biota was assessed in Alaskan nearshore fast ice. Ice, water, and seafloor sediment were sampled in spring 2002 and 2003 at 2 locations. Light in the sediment-loaded sea ice location (total particle load = 106 g dry mass, DM, m(-2)) was reduced by more than 99% compared to the clean ice location (total particle load = 6 g DM m(-2)). Strong bottom ice algal blooms developed in sediment-free fast ice, reaching their maximum of 330 mu g chl a l(-1) (36 mg chl a m(-2)) in late May. Pigment levels in sediment-laden ice never exceeded 9 mu g chl a l(-1) (1 mg chl a m(-2)). In the water column, pigment levels remained below 1 mu g chl a l(-1) (&lt;5 mg chl a m(-2)) under both clean and sediment-laden ice. With increasing ice algal biomass, the delta C-13 ratio of sea ice particulate organic matter (POM) in clean ice increased from -25 parts per thousand in February to -16 parts per thousand in May, while no and little enrichment was observed in sediment-laden ice and pelagic POM, respectively. The abundance of ice metazoans in clean ice increased with progressing season from 17 700 (Feb) to 276 200 ind. m(-2) (May), dominated by nematodes and ice-associated polychaete juveniles. In sediment-laden ice, maximum abundance was 16600 ind. m(-2) (May). Abundances of meroplanktic polychaete juveniles were at least one order of magnitude below abundances in the ice, suggesting sea ice is an important feeding habitat for these young life stages. Sediment within the ice had a profound impact on sea ice biota, and delayed or inhibited the spring bloom development.</t>
  </si>
  <si>
    <t>[Gradinger, Rolf R.; Kaufman, Mette R.; Bluhm, Bodil A.] Univ Alaska Fairbanks, Inst Marine Sci, Fairbanks, AK 99775 USA</t>
  </si>
  <si>
    <t>Gradinger, RR (corresponding author), Univ Alaska Fairbanks, Inst Marine Sci, Fairbanks, AK 99775 USA.</t>
  </si>
  <si>
    <t>rgradinger@ims.uaf.edu</t>
  </si>
  <si>
    <t>Gradinger, Rolf/E-4965-2015; Bluhm, Bodil/E-7165-2015</t>
  </si>
  <si>
    <t>Gradinger, Rolf/0000-0001-6035-3957; Bluhm, Bodil/0000-0002-4584-7796</t>
  </si>
  <si>
    <t>Coastal Marine Institute [85242]; School of Fisheries and Oceans Sciences, UAF</t>
  </si>
  <si>
    <t>Coastal Marine Institute; School of Fisheries and Oceans Sciences, UAF</t>
  </si>
  <si>
    <t>We thank the Barrow Arctic Science Consortium (BASC) for the excellent logistical support during our stays in Barrow. H. Eicken, P. McRoy and A. Springer (all University of Alaska Fairbanks, UAF) provided sampling equipment and S. Lee (Korea Polar Research Institute), K. Meiners (Antarctic Climate and Ecosystems, Cooperative Research Centre, Australia), and K. Wedemayer (Minerals Management Service) assisted in the field. M. Hoberg (UAF) identified the polychaete juveniles. We acknowledge the constructive suggestions of 3 external referees. This project was funded through a research grant from the Coastal Marine Institute (CMI Task Order 85242) and by the School of Fisheries and Oceans Sciences, UAF. This article contributes to the Arctic Ocean Diversity Census of Marine Life project.</t>
  </si>
  <si>
    <t>10.3354/meps08320</t>
  </si>
  <si>
    <t>535KA</t>
  </si>
  <si>
    <t>WOS:000272965900004</t>
  </si>
  <si>
    <t>de Bruyn, PJN; Tosh, CA; Oosthuizen, WC; Bester, MN; Arnould, JPY</t>
  </si>
  <si>
    <t>de Bruyn, P. J. Nico; Tosh, Cheryl A.; Oosthuizen, W. Chris; Bester, Marthan N.; Arnould, John P. Y.</t>
  </si>
  <si>
    <t>Bathymetry and frontal system interactions influence seasonal foraging movements of lactating subantarctic fur seals from Marion Island</t>
  </si>
  <si>
    <t>Otariid; Arctocephalus tropicalis; Foraging ecology; Satellite telemetry; Oceanography; Area-restricted movement; Diet; Del Cano Rise</t>
  </si>
  <si>
    <t>PRINCE-EDWARD ISLANDS; SOUTHERN ELEPHANT SEALS; ARCTOCEPHALUS-GAZELLA; OCEANOGRAPHIC FEATURES; PHYTOPLANKTON BLOOM; ATTENDANCE PATTERNS; DIVING BEHAVIOR; CROZET PLATEAU; KILLER WHALES; ORCINUS-ORCA</t>
  </si>
  <si>
    <t>Sixteen lactating subantarctic fur seals Arctocephalus tropicalis were satellite-tracked during the winter of 2006 (n = 6), summer of 2006/07 (n = 6) and autumn/winter (n = 4) of 2007, from Marion Island, Southern Ocean. Despite varied individual movement patterns, a favoured foraging area lay to the northeast of the island. In contrast to findings for populations at similar latitudes, seals from Marion Island did not undertake short overnight foraging trips, but trips consistently went beyond 300 km from the island. This aligns with the at-sea duration of lactating seals' foraging trips from temperate Amsterdam Island, but differs from subantarctic Crozet and Macquarie islands. Time spent at sea, maximum distances travelled and movement variation of tracks from the island varied seasonally. Faecal analysis suggests the diet comprised primarily myctophid fish with limited seasonal variation. Well-defined areas of restricted movement coincided with significant bathymetric features to the west/northwest of the Crozet Plateau, with the Del Cano Rise clearly being important. Positive and negative sea-surface height anomalies (compared to the mean) appeared to be preferred by most seals across seasons. Higher summer sea-surface temperatures correlated with the movements of some seals. Higher chlorophyll a concentrations dictated transit and foraging areas during summer. Bathymetrically influenced oceanographic variables likely explain these preferred long-distance eastward movements. The Iles Crozet and Marion Island subantarctic fur seals differ in their foraging ecology despite being neighbours. Conversely, the subantarctic fur seal populations from the distant Amsterdam and Marion islands appear to be similarly influenced by such environmental factors.</t>
  </si>
  <si>
    <t>[de Bruyn, P. J. Nico; Tosh, Cheryl A.; Oosthuizen, W. Chris; Bester, Marthan N.] Univ Pretoria, Dept Zool &amp; Entomol, Mammal Res Inst, ZA-0002 Pretoria, South Africa; [Arnould, John P. Y.] Deakin Univ, Sch Life &amp; Environm Sci, Burwood, Vic 3125, Australia</t>
  </si>
  <si>
    <t>University of Pretoria; Deakin University</t>
  </si>
  <si>
    <t>de Bruyn, PJN (corresponding author), Univ Pretoria, Dept Zool &amp; Entomol, Mammal Res Inst, ZA-0002 Pretoria, South Africa.</t>
  </si>
  <si>
    <t>pjndebruyn@zoology.up.ac.za</t>
  </si>
  <si>
    <t>de Bruyn, P. J. Nico/E-4176-2010; Oosthuizen, W. Chris/I-2947-2016; Tosh, Cheryl/D-5623-2016; Bester, Marthán N/E-5387-2010</t>
  </si>
  <si>
    <t>de Bruyn, P. J. Nico/0000-0002-9114-9569; Oosthuizen, W. Chris/0000-0003-2905-6297; Tosh, Cheryl/0000-0003-0243-5422;</t>
  </si>
  <si>
    <t>Department of Science and Technology, through the National Research Foundation (NRF); MRI</t>
  </si>
  <si>
    <t>Department of Science and Technology, through the National Research Foundation (NRF)(Department of Science &amp; Technology (India)); MRI</t>
  </si>
  <si>
    <t>The Department of Environmental Affairs and Tourism provided logistical support within the South African National Antarctic Programme. Financial support was provided by the Department of Science and Technology, through the National Research Foundation (NRF), in support of the Marine Mammal Programme of the MRI. During the compilation of this paper both P.J.N.dB. and W.C.O. benefitted from NRF Grantholder-finked bursaries within the project 'Conservation of Seabirds, Shorebirds and Seals' led by L. Underhill of the Animal Demography Unit, Department of Zoology, University of Cape Town. We thank J. A. Ramunasi for assistance with otolith identification and V. M. Phalanndwa for field assistance in 2007. We thank the 3 anonymous reviewers whose comments led to significant improvements in the manuscript. All of the above procedures have ethics clearance from the Animal Use and Care Committee (AUCC) of the Faculty of Natural and Agricultural Sciences, University of Pretoria, South Africa, under AUCC 040827-023.</t>
  </si>
  <si>
    <t>10.3354/meps08292</t>
  </si>
  <si>
    <t>WOS:000272965900020</t>
  </si>
  <si>
    <t>McDonald, BI; Goebel, ME; Crocker, DE; Tremblay, Y; Costa, DP</t>
  </si>
  <si>
    <t>McDonald, Birgitte I.; Goebel, Michael E.; Crocker, Daniel E.; Tremblay, Yann; Costa, Daniel P.</t>
  </si>
  <si>
    <t>Effects of maternal traits and individual behavior on the foraging strategies and provisioning rates of an income breeder, the Antarctic fur seal</t>
  </si>
  <si>
    <t>Diving behavior; Energy allocation; Individual effects; Pinniped; Antarctic fur seal</t>
  </si>
  <si>
    <t>ARCTOCEPHALUS-GAZELLA PUPS; AGE-RELATED-CHANGES; DIVING BEHAVIOR; ENERGY-EXPENDITURE; REPRODUCTIVE SUCCESS; CALLORHINUS-URSINUS; GROWTH EFFICIENCY; SEASONAL-CHANGES; PREY; FOOD</t>
  </si>
  <si>
    <t>The ability of an animal to acquire energy will affect its allocation to offspring and will ultimately influence fitness. This study investigated the relative influence of maternal traits, seasonal demands of pup-rearing, and individual effects on the foraging behavior of 27 female Antarctic fur seals Arctocephalus gazella at Cape Shirreff, Livingston Island, Antarctica during 2 austral summers (2005 and 2006), using time depth recorders, The relationship between foraging and allocation was investigated using pup growth as an indicator of parental investment. While female diving behavior differed between years, trip duration was below the 10 yr mean and did not differ between the 2 years of the study, indicating favorable feeding conditions in both years. Study year and maternal age accounted for a significant amount of the variation in day and night dive characteristics, while maternal mass influenced only parameters related to night dive effort. As the season progressed, females increased their dive effort at night, made shorter daytime dives, with more bout diving. Individual variability accounted for a significant amount of the variation in all foraging parameters. Females could be assigned to one of 4 behavioral dive groups (high effort, low effort, intermediate effort with high dive rate, and intermediate effort), based on 13 dive parameters although year instrumented and age appeared to be important in determining group affiliation, Age, mass, year, and trip number influenced diving behavior; however, there was no relationship between foraging behavior and pup growth rate, except in young females.</t>
  </si>
  <si>
    <t>[McDonald, Birgitte I.; Tremblay, Yann; Costa, Daniel P.] Univ Calif Santa Cruz, Long Marine Lab, Dept Ecol &amp; Evolutionary Biol, Santa Cruz, CA 95060 USA; [Goebel, Michael E.] Natl Ocean &amp; Atmospher Adm, Antarctic Ecosyst Res Div, La Jolla, CA 92038 USA; [Crocker, Daniel E.] Sonoma State Univ, Dept Biol, Rohnert Pk, CA 94928 USA</t>
  </si>
  <si>
    <t>University of California System; University of California Santa Cruz; National Oceanic Atmospheric Admin (NOAA) - USA; California State University System; Sonoma State University</t>
  </si>
  <si>
    <t>McDonald, BI (corresponding author), Univ Calif Santa Cruz, Long Marine Lab, Dept Ecol &amp; Evolutionary Biol, 100 Shaffer Rd, Santa Cruz, CA 95060 USA.</t>
  </si>
  <si>
    <t>mcdonald@biology.ucsc.edu</t>
  </si>
  <si>
    <t>Carlos, Universidade Federal de São/W-8832-2019; McDonald, Birgitte I/I-3602-2019; Costa, Daniel Paul/E-2616-2013</t>
  </si>
  <si>
    <t>Carlos, Universidade Federal de São/0000-0002-0334-3899; McDonald, Birgitte I/0000-0001-5028-066X; Costa, Daniel Paul/0000-0002-0233-5782</t>
  </si>
  <si>
    <t>US AMLR program; National Science Foundation; Raytheon Polar Services; NSF OPP; United States Environmental Protection Agency (EPA)</t>
  </si>
  <si>
    <t>US AMLR program; National Science Foundation(National Science Foundation (NSF)); Raytheon Polar Services; NSF OPP(National Science Foundation (NSF)NSF - Directorate for Geosciences (GEO)); United States Environmental Protection Agency (EPA)(United States Environmental Protection Agency)</t>
  </si>
  <si>
    <t>We thank all those who assisted with the collection and analysis of the data, in particular C. Champagne, R. Haner, P. Robinson, and S. Seganti. Logistical support was provided by the US AMLR program, the National Science Foundation US Antarctic Program and Raytheon Polar Services. This research was funded by the US AMLR program and NSF OPP grant #0440687 to D.P.C, D.E.C., &amp; M.E.G. B.I.M. was supported by the United States Environmental Protection Agency (EPA) under the Science to Achieve Results (STAR) Graduate Fellowship Program and a NSF graduate fellowship. EPA has not officially endorsed this publication, and the views expressed herein may not reflect the views of the EPA. Animal use was completed under National Marine Fisheries Service permit #774-1649. All procedures were approved by the University of California, Santa Cruz, Animal Use Committee.</t>
  </si>
  <si>
    <t>10.3354/meps08308</t>
  </si>
  <si>
    <t>WOS:000272965900021</t>
  </si>
  <si>
    <t>Barnes, DKA; Griffiths, HJ; Kaiser, S</t>
  </si>
  <si>
    <t>Barnes, David K. A.; Griffiths, Huw J.; Kaiser, Stefanie</t>
  </si>
  <si>
    <t>Geographic range shift responses to climate change by Antarctic benthos: where we should look</t>
  </si>
  <si>
    <t>Continental shelf; Southern Ocean; Geographic limits; Regional warming; South Georgia, Kerguelen</t>
  </si>
  <si>
    <t>SOUTHERN-OCEAN; MARINE; BIODIVERSITY; SEA; BIOGEOGRAPHY; TEMPERATE; TOLERANCE; GASTROPOD; TOOL</t>
  </si>
  <si>
    <t>Toleration, adaptation, migration or extinction are the options for species making up Southern Ocean (SO) shelf biodiversity, in response to accelerating change (e.g. warming), Physiological evidence suggests few organisms may tolerate, and slow generational turn-over means fewer will adapt to, unprecedented change. To avoid extinction many organisms must migrate along linear coast, go deeper or both. There is strong evidence that such range shifts are happening, and occurred in the past, along N-S (linear) coastlines (e.g. USA), but there are no continuous shelf/slope connections to Antarctica from elsewhere. There are only 3 major linear shelves in Antarctica: Victoria Land, the Antarctic Peninsula, and the Kerguelen Plateau. Scientific effort has focused on the former two but their temperature gradient is negligible or bi-directional, so most potential for thermally-driven range shifts lies along the Kerguelen Plateau. We investigated ranges of several SO taxa (bivalve and gastropod molluscs, amphipods, ophiuroids and hexacorals), and looked for hotspots of where the geographical range limits of different species coincided. Southern Patagonia, South Georgia and Kerguelen had amongst the greatest range-limit hotspots. Shifts of SO endemics will be mainly range contractions (of northernmost limits), whilst species with ranges crossing the Polar Front (PF; the strongest jet of the Antarctic Circumpolar Current) may become 'new' SO endemics. Species with southernmost limits north of the PF should penetrate the SO, either as returning natives (expelled during glaciations) or invasive non-indigenous species. Monitoring range shifts in only a few suggested key places and taxa should give powerful insights into biodiversity responses and gauge tolerance vs. migration.</t>
  </si>
  <si>
    <t>[Barnes, David K. A.; Griffiths, Huw J.] British Antarctic Survey, NERC, Cambridge CB3 OET, England; [Kaiser, Stefanie] Univ Hamburg, Biozentrum, Grindel &amp; Zool Museum, D-20146 Hamburg, Germany</t>
  </si>
  <si>
    <t>Barnes, DKA (corresponding author), British Antarctic Survey, NERC, Madingley Rd, Cambridge CB3 OET, England.</t>
  </si>
  <si>
    <t>Griffiths, Huw J/0000-0003-1764-223X; Kaiser, Stefanie/0000-0003-2026-4663</t>
  </si>
  <si>
    <t>Natural Environment Research Council [bas0100025] Funding Source: researchfish; NERC [bas0100025] Funding Source: UKRI</t>
  </si>
  <si>
    <t>10.3354/meps08246</t>
  </si>
  <si>
    <t>525BJ</t>
  </si>
  <si>
    <t>WOS:000272187800002</t>
  </si>
  <si>
    <t>Whitehouse, MJ; Atkinson, A; Ward, P; Korb, RE; Rothery, P; Fielding, S</t>
  </si>
  <si>
    <t>Whitehouse, M. J.; Atkinson, A.; Ward, P.; Korb, R. E.; Rothery, P.; Fielding, S.</t>
  </si>
  <si>
    <t>Role of krill versus bottom-up factors in controlling phytoplankton biomass in the northern Antarctic waters of South Georgia</t>
  </si>
  <si>
    <t>Antarctic phytoplankton; Macronutrients; NH4; Temperature; Grazing effect</t>
  </si>
  <si>
    <t>EUPHAUSIA-SUPERBA; SCOTIA SEA; ATLANTIC SECTOR; GRAZING IMPACT; HIGH-NUTRIENT; OCEAN; GROWTH; TEMPERATURE; FOOD; VARIABILITY</t>
  </si>
  <si>
    <t>The extent to which Antarctic phytoplankton stocks are controlled by 'bottom-up' and/or 'top-down' factors is highly variable. Here we consider data collected at South Georgia during 3 summer surveys that recorded substantial hydrographic variability. A suite of bottom-up and top-down controlling factors were measured simultaneously at the mesoscale. Sea surface temperature varied by &gt;2 degrees C, macronutrients ranged from near-winter concentrations to near-depleted, while mean densities of a major grazer, krill Euphausia superba, varied between near-zero and &gt;400 g wet mass m(-2). A general linear model was used to identify the main factors implicated in the observed differences in phytoplankton biomass. Despite east-to-west and on- to off-shelf temperature gradients, temperature per se was not implicated in phytoplankton variability. Also, while there was an abundance of NO3-N in surface waters, NH4-N was the key nutrient throughout. A domed relationship between phytoplankton and krill peaked between 2 and 4 mg chlorophyll a m(-3) and 6 and 30 g krill m(-2). The positive side of this dome was represented by the west off-shelf region downstream of South Georgia. Here, an ample supply of micro- and macronutrients promoted high primary production, and low densities of krill presumably had little grazing effect, This positive relationship between krill and phytoplankton biomasses was interpreted as krill accumulating in areas of good feeding conditions. The negative side of the dome was typified by the east off-shelf region, where macronutrients remained high, primary production rates were low, and krill densities were very high. The grazing rates calculated here suggested that krill affect their food stocks severely, and the negative krill-phytoplankton relationship in this region may reflect locally high krill densities driving down their food supply.</t>
  </si>
  <si>
    <t>[Whitehouse, M. J.; Atkinson, A.; Ward, P.; Korb, R. E.; Fielding, S.] British Antarctic Survey, NERC, Cambridge CB3 0ET, England; [Rothery, P.] NERC, Ctr Ecol &amp; Hydrol, Huntingdon PE28 2LS, England</t>
  </si>
  <si>
    <t>UK Research &amp; Innovation (UKRI); Natural Environment Research Council (NERC); NERC British Antarctic Survey; UK Research &amp; Innovation (UKRI); Natural Environment Research Council (NERC); UK Centre for Ecology &amp; Hydrology (UKCEH)</t>
  </si>
  <si>
    <t>Whitehouse, MJ (corresponding author), British Antarctic Survey, NERC, High Cross,Madingley Rd, Cambridge CB3 0ET, England.</t>
  </si>
  <si>
    <t>mjwh@bas.ac.uk</t>
  </si>
  <si>
    <t>Fielding, Sophie/E-5137-2012; Atkinson, Angus/HOH-3417-2023</t>
  </si>
  <si>
    <t>NERC [bas010017] Funding Source: UKRI; Natural Environment Research Council [CEH010021, bas010017] Funding Source: researchfish</t>
  </si>
  <si>
    <t>10.3354/meps08288</t>
  </si>
  <si>
    <t>WOS:000272187800007</t>
  </si>
  <si>
    <t>Kuhn, CE; Johnson, DS; Ream, RR; Gelatt, TS</t>
  </si>
  <si>
    <t>Kuhn, Carey E.; Johnson, Devin S.; Ream, Rolf R.; Gelatt, Thomas S.</t>
  </si>
  <si>
    <t>Advances in the tracking of marine species: using GPS locations to evaluate satellite track data and a continuous-time movement model</t>
  </si>
  <si>
    <t>Movement patterns; At-sea behaviour; GPS tracking; Correlated random walk</t>
  </si>
  <si>
    <t>ANTARCTIC FUR SEALS; FORAGING BEHAVIOR; OCEANOGRAPHIC CONDITIONS; KERGUELEN ARCHIPELAGO; ELEPHANT SEALS; TURTLES; TELEMETRY; PREDATOR; HABITAT; PENGUINS</t>
  </si>
  <si>
    <t>Argos satellite tracking provides information about the large-scale movements of marine species, but the limitations in position accuracy and frequency make it difficult to interpret fine-scale behaviour. With Fastloc global positioning system (GPS) technology, it is now possible to overcome these limitations when tracking diving marine species. We compared differences among archived GPS (GPS), transmitted GPS (GPS-t) and Argos satellite (PTT) tracks acquired simultaneously on 30 northern fur seals Callorhinus ursinus. We examined times and distances between locations, as well as overall trip characteristics (e.g. distance traveled and transit rate). The GPS data were also used to test the accuracy of a continuous-time correlated random walk model created to cope with the spatial error and gap times associated with PTT locations. Significantly more GPS locations per day were acquired than PTT locations (31.6 +/- 1.9 vs. 12.0 +/- 0.3, respectively), and the GPS locations were more evenly distributed along the track. The influence of data type (GPS, GPS-t, PTT) varied based on the parameter measured, ranging from different among all (e.g. average transit rate) to no significant difference (e.g. maximum distance traveled). Modeling of both PTT and GPS-t data resulted in tracks with over 79% of predicted locations less than 5 km from the GPS location (average location error: 3.2 +/- 0.1 and 1.7 +/- 0.1 km, respectively). This study demonstrates the added benefit of using GPS to track marine species, as well as how and when modeled PTT data may be sufficient to address study questions.</t>
  </si>
  <si>
    <t>[Kuhn, Carey E.; Johnson, Devin S.; Ream, Rolf R.; Gelatt, Thomas S.] NOAA, Alaska Fisheries Sci Ctr, Natl Marine Mammal Lab, Seattle, WA 98115 USA</t>
  </si>
  <si>
    <t>Kuhn, CE (corresponding author), NOAA, Alaska Fisheries Sci Ctr, Natl Marine Mammal Lab, 7600 Sand Point Way NE, Seattle, WA 98115 USA.</t>
  </si>
  <si>
    <t>carey.kuhn@noaa.gov</t>
  </si>
  <si>
    <t>Kuhn, Carey/0000-0002-6835-9744</t>
  </si>
  <si>
    <t>National Research Council Research</t>
  </si>
  <si>
    <t>This research was conducted under Marine Mammal Protection Act permit number 782-1708-04. We thank J. Baker, K. Call, C. Dorr, B. Fadely, E. Kunisch, K. Sweeney, J. Thomason, R. Towell, and T. Zeppelin for assistance with field research and logistical support. Exceptional veterinary support was provided by D. DeGhetto and F. Nutter. J. London, H. Mostman-Liwanag, and M. Rutishauser offered helpful comments on previous drafts. This research was performed while C.E.K. held a National Research Council Research Associateship Award at the Alaska Fisheries Science Center's National Marine Mammal Laboratory (NOAA). Reference to trade names does not imply endorsement by the National Marine Fisheries Service, NOAA.</t>
  </si>
  <si>
    <t>10.3354/meps08229</t>
  </si>
  <si>
    <t>WOS:000272187800009</t>
  </si>
  <si>
    <t>Fauchald, P</t>
  </si>
  <si>
    <t>Fauchald, Per</t>
  </si>
  <si>
    <t>Spatial interaction between seabirds and prey: review and synthesis</t>
  </si>
  <si>
    <t>Game model; Schooling; Local enhancement; Area-restricted search; Euphausia superba; Mallotus villosus; Clupea spp.; Diomedea spp.; Uria spp.; Rissa tridactyla</t>
  </si>
  <si>
    <t>HIERARCHICAL PATCH DYNAMICS; DEPENDENT HABITAT SELECTION; INTRA-SPECIFIC COMPETITION; ANTARCTIC KRILL; PRIBILOF ISLANDS; PRODUCTIVITY GRADIENT; GEOGRAPHIC STRUCTURE; COMMUNITY STRUCTURE; DENSITY-DEPENDENCE; FORAGING HABITAT</t>
  </si>
  <si>
    <t>The Ideal Free Distribution theory predicts a close spatial match between predators and prey. Studies have shown that seabird and prey distribution seldom conforms with this prediction. In this study, I review recent theoretical advances in spatial predator-prey interactions and relate these with studies of seabirds and pelagic schooling fish and crustaceans. Studies on seabirds and prey have generally assumed that prey are nonresponsive. Predator-prey interactions should, however, be viewed as a 2-way spatial game where seabirds track concentrations of prey while prey move away from areas with high risk of predation. The outcome of the game depends on how seabirds and prey are spatially constrained. Constraints include the spatial distribution of resources, interspecific competition, the location of spawning and breeding areas, and limitations on diving depth. Although game theoretic models can explain some general aspects of the spatial interaction, the spatial distribution of seabirds and prey is generally much more aggregated and elusive than can be expected from the game theoretic equilibrium. This is because spatial pattern is formed through self-organizing behavior that includes schooling, local enhancement and area-restricted search (ARS). Schooling and local enhancement are processes with strong positive density dependence that destabilize the predator-prey interaction locally. However, the unstable local dynamics might be stabilized by spatial constraints and the effects of ARS processes at large scales.</t>
  </si>
  <si>
    <t>Norwegian Inst Nat Res, Polar Environm Ctr, N-9296 Tromso, Norway</t>
  </si>
  <si>
    <t>Norwegian Institute Nature Research</t>
  </si>
  <si>
    <t>Fauchald, P (corresponding author), Norwegian Inst Nat Res, Polar Environm Ctr, N-9296 Tromso, Norway.</t>
  </si>
  <si>
    <t>per.fauchald@nina.no</t>
  </si>
  <si>
    <t>Fauchald, Per/AAV-4242-2021</t>
  </si>
  <si>
    <t>Norwegian Research Council</t>
  </si>
  <si>
    <t>Norwegian Research Council(Research Council of Norway)</t>
  </si>
  <si>
    <t>I thank J. Gonzalez-Solis for inviting me to write this paper, T. Tveraa for numerous discussions, and V. H. Hausner for helpful comments on earlier versions. Three anonymous reviewers gave valuable comments that greatly improved the manuscript. This study was financed by the Norwegian Research Council.</t>
  </si>
  <si>
    <t>10.3354/meps07818</t>
  </si>
  <si>
    <t>512BT</t>
  </si>
  <si>
    <t>WOS:000271218100013</t>
  </si>
  <si>
    <t>Tremblay, Y; Bertrand, S; Henry, RW; Kappes, MA; Costa, DP; Shaffer, SA</t>
  </si>
  <si>
    <t>Tremblay, Yann; Bertrand, Sophie; Henry, R. William; Kappes, Michelle A.; Costa, Daniel P.; Shaffer, Scott A.</t>
  </si>
  <si>
    <t>Analytical approaches to investigating seabird-environment interactions: a review</t>
  </si>
  <si>
    <t>Habitat; Top-predators; Seabirds; Interactions; Surveys; Tracking; Methods; At-sea ecology</t>
  </si>
  <si>
    <t>STREAM FRONTAL EDDIES; WHITE-CHINNED PETRELS; ANTARCTIC POLAR FRONT; OCEANOGRAPHIC FEATURES; MESOSCALE EDDIES; SPATIAL-PATTERN; SOUTHERN-OCEAN; INDIAN-OCEAN; WARM-CORE; THALASSARCHE-CHRYSOSTOMA</t>
  </si>
  <si>
    <t>A goal of seabird ecology is to relate the physiology, population dynamics, distribution and behaviour of seabirds with their biotic and abiotic environments. One of the most challenging aspects is to understand how seabirds interact with their environment when direct observations are not always possible or practical. In the present paper, we reviewed 218 published studies that examined associations between seabird distribution, behaviour and their environment, in order to assess current trends, weaknesses and the future directions of research. Based on the number of publications, it is evident that the field is growing rapidly and that methods for evaluating seabird distribution are becoming increasingly more sophisticated and are changing from Eulerian (grid-like) to Lagrangian (particle-like) data types. This has been accompanied by a reduction in the spatial and temporal scale of observation, where, in most cases, no behavioural information is inferred from Lagrangian data; instead they are often used as if they were Eulerian data. In parallel, environmental remote sensing is becoming more common; however, we did not record significant changes in the statistical approaches used to describe seabird distributions and used to link them with oceanographic variables. In particular, despite the spatially explicit nature of the data, spatial statistics have rarely been used. The vast majority of studies used environmental variables that described water masses (descriptive approach), whereas a few studies determined oceanographic features that enhance prey availability to seabirds (process-based approach). Future studies could enhance their ecological interpretation of seabird-environment interactions by making greater use of ad hoc statistical approaches that facilitate appropriate pattern detection (e.g. area-restricted searching pattern for birds, mesoscale patterns for environment). Furthermore, appropriate hypothesis testing and modelling that accounts for the spatially explicit, multiscale and multivariate nature of the interaction between seabirds and their habitats is recommended. Although quantitative methods currently exist (but are rarely used), further application could greatly improve our understanding of the processes linking seabird distribution to their environment.</t>
  </si>
  <si>
    <t>[Tremblay, Yann; Bertrand, Sophie] Ctr Rech Halieut &amp; Mediterraneenne &amp; Trop, UMR 212, Inst Rech &amp; Dev, F-34203 Sete, France; [Henry, R. William; Kappes, Michelle A.; Costa, Daniel P.; Shaffer, Scott A.] Univ Calif Santa Cruz, Dept Ecol &amp; Evolutionary Biol, Santa Cruz, CA 95060 USA; [Henry, R. William; Kappes, Michelle A.; Costa, Daniel P.; Shaffer, Scott A.] Univ Calif Santa Cruz, Inst Marine Sci, Santa Cruz, CA 95060 USA</t>
  </si>
  <si>
    <t>Ifremer; Institut de Recherche pour le Developpement (IRD); Universite de Montpellier; University of California System; University of California Santa Cruz; University of California System; University of California Santa Cruz</t>
  </si>
  <si>
    <t>Tremblay, Y (corresponding author), Ctr Rech Halieut &amp; Mediterraneenne &amp; Trop, UMR 212, Inst Rech &amp; Dev, Ave Jean Monnet BP 171, F-34203 Sete, France.</t>
  </si>
  <si>
    <t>yann.tremblay@ird.fr</t>
  </si>
  <si>
    <t>Carlos, Universidade Federal de São/W-8832-2019; Shaffer, Scott/D-5015-2009; Lanco, Sophie/F-4161-2012; Costa, Daniel Paul/E-2616-2013</t>
  </si>
  <si>
    <t>Carlos, Universidade Federal de São/0000-0002-0334-3899; Shaffer, Scott/0000-0002-7751-5059; Lanco, Sophie/0000-0003-1976-3799; Costa, Daniel Paul/0000-0002-0233-5782</t>
  </si>
  <si>
    <t>National Oceanographic Partnership Program ONR [N00014-05-1-0645]; Gordon and Betty Moore; Packard and Sloan Foundations; National Science Foundation Office of Polar Programs [ANT-0440687, ANT0523332]</t>
  </si>
  <si>
    <t>National Oceanographic Partnership Program ONR; Gordon and Betty Moore; Packard and Sloan Foundations; National Science Foundation Office of Polar Programs(National Science Foundation (NSF)NSF - Directorate for Geosciences (GEO))</t>
  </si>
  <si>
    <t>The preparation of this review was supported by the TOPP program with support from the National Oceanographic Partnership Program ONR (Award N00014-05-1-0645), the Gordon and Betty Moore, the Packard and Sloan Foundations and from the National Science Foundation Office of Polar Programs (Grants ANT-0440687 and ANT0523332).</t>
  </si>
  <si>
    <t>10.3354/meps08146</t>
  </si>
  <si>
    <t>WOS:000271218100014</t>
  </si>
  <si>
    <t>Wakefield, ED; Phillips, RA; Matthiopoulos, J</t>
  </si>
  <si>
    <t>Wakefield, Ewan D.; Phillips, Richard A.; Matthiopoulos, Jason</t>
  </si>
  <si>
    <t>Quantifying habitat use and preferences of pelagic seabirds using individual movement data: a review</t>
  </si>
  <si>
    <t>Satellite tracking; GPS; Platform transmitter terminal; Geolocator; Spatial models; Generalized additive model; State space models; Albatross</t>
  </si>
  <si>
    <t>ALBATROSSES DIOMEDEA-EXULANS; INTRA-SPECIFIC COMPETITION; SEA-SURFACE TEMPERATURE; AREA-RESTRICTED SEARCH; WHITE-CHINNED PETRELS; USE WEATHER SYSTEMS; FLY LONG DISTANCES; WANDERING ALBATROSSES; FORAGING BEHAVIOR; SATELLITE TELEMETRY</t>
  </si>
  <si>
    <t>Colonial seabirds are relatively easy to observe, count, measure and manipulate, and consequently have long been used as models for testing ecological hypotheses. A combination of animal tracking and satellite imagery has the potential to greatly inform such efforts, by allowing seabird-environment interactions to be observed remotely. We review how this can be achieved by applying innovative statistical techniques to quantify habitat use and preferences. Seabird movements are now observable at scales of meters using GPS loggers, and up to several years using light-based geolocation, while satellite remote sensing systems, at resolutions of km, are capable of characterizing the millions of km(2) of habitat that are accessible to seabirds. Physical forcing and biological processes result in a hierarchical, patchy distribution of prey. Hence, analyses of seabird movements should be conducted at appropriate scales. Variation in habitat accessibility should also be considered: this declines with distance from the colony during the breeding season, when seabirds are central place foragers, and may be limited in the nonbreeding period by migration corridors that are defined by wind patterns. Intraspecific competition can further modify spatial usage, leading to spatial segregation of birds foraging from different colonies. We recommend that spatial usage be modeled as a function of habitat preference, accessibility and, potentially, competition. At the population level, this is currently best achieved using an empirical approach (e.g. using mixed-effects generalized additive models), At the individual level, more mechanistic models (e.g. state-space models) are more appropriate and have the advantage of modeling location errors explicitly.</t>
  </si>
  <si>
    <t>[Wakefield, Ewan D.; Phillips, Richard A.] British Antarctic Survey, NERC, Cambridge CB3 0ET, England; [Matthiopoulos, Jason] Univ St Andrews, Gatty Marine Lab, NERC, Sea Mammal Res Unit, St Andrews KY16 8LB, Fife, Scotland</t>
  </si>
  <si>
    <t>UK Research &amp; Innovation (UKRI); Natural Environment Research Council (NERC); NERC British Antarctic Survey; UK Research &amp; Innovation (UKRI); Natural Environment Research Council (NERC); University of St Andrews</t>
  </si>
  <si>
    <t>Wakefield, ED (corresponding author), British Antarctic Survey, NERC, High Cross,Madingley Rd, Cambridge CB3 0ET, England.</t>
  </si>
  <si>
    <t>ewan_wakefield@yahoo.co.uk</t>
  </si>
  <si>
    <t>Matthiopoulos, Jason/N-9808-2013</t>
  </si>
  <si>
    <t>Matthiopoulos, Jason/0000-0003-3639-8172</t>
  </si>
  <si>
    <t>UK Natural Environment Research Council CASE studentship [NER/S/A/2005/13648]; NERC [bas0100025] Funding Source: UKRI; Natural Environment Research Council [smru10001, bas0100025] Funding Source: researchfish</t>
  </si>
  <si>
    <t>UK Natural Environment Research Council CASE studentship; NERC(UK Research &amp; Innovation (UKRI)Natural Environment Research Council (NERC)); Natural Environment Research Council(UK Research &amp; Innovation (UKRI)Natural Environment Research Council (NERC))</t>
  </si>
  <si>
    <t>We thank 4 anonymous reviewers who provided helpful feedback on an early draft of this review. This study was conducted while the first author was in receipt of a UK Natural Environment Research Council CASE studentship (NER/S/A/2005/13648).</t>
  </si>
  <si>
    <t>10.3354/meps08203</t>
  </si>
  <si>
    <t>WOS:000271218100015</t>
  </si>
  <si>
    <t>Shaffer, SA; Weimerskirch, H; Scott, D; Pinaud, D; Thompson, DR; Sagar, PM; Moller, H; Taylor, GA; Foley, DG; Tremblay, Y; Costa, DP</t>
  </si>
  <si>
    <t>Shaffer, Scott A.; Weimerskirch, Henri; Scott, Darren; Pinaud, David; Thompson, David R.; Sagar, Paul M.; Moller, Henrik; Taylor, Graeme A.; Foley, David G.; Tremblay, Yann; Costa, Daniel P.</t>
  </si>
  <si>
    <t>Spatiotemporal habitat use by breeding sooty shearwaters Puffinus griseus</t>
  </si>
  <si>
    <t>Activity; Archival data logger; Diving; Geolocation; Puffinus griseus; Tracking; Sea surface temperature; Sooty shearwater</t>
  </si>
  <si>
    <t>SHORT-TAILED SHEARWATERS; NEW-ZEALAND; SOUTHERN-OCEAN; WANDERING ALBATROSSES; ANTARCTIC WATERS; PELAGIC SEABIRD; DIVING DEPTHS; SEA; GEOLOCATION; ENVIRONMENT</t>
  </si>
  <si>
    <t>Breeding sooty shearwaters Puffin us griseus cycle between long (11 to 14 d) and short (1 to 2 d) foraging bouts at sea, but no information exists on bird behavior during these trips. We tested the hypothesis that shearwaters use these long trips to travel to distant Antarctic waters compared to remaining in local waters. Patterns of habitat use of 28 breeding sooty shearwaters were studied using 6 g archival data loggers that recorded location, environmental temperature, and diving behavior. Dive activity was compared to remotely-sensed environmental data to characterize the habitats visited by shearwaters on long and short trips. Sooty shearwaters traveled predominantly (70% of all long trips) to cold oceanic waters along the Polar Front (mean +/- SD, 1970 +/- 930 km from colony) on long trips or remained within warmer neritic waters of the New Zealand shelf (515 +/- 248 km from colony) on short trips. Diving depths (mean depth 15.9 +/- 10.8 m, max depth 69.9 m, n = 2007 dives) were not significantly different between excursion types. Activity patterns suggest that shearwaters commuted between distant foraging grounds (e.g. Polar Front) and the breeding colony and that more than 95% of diving activity occurred during daylight hours. Although shearwaters traveled primarily to Antarctic waters on long trips, occasional trips around New Zealand waters were observed; all but 2 birds were from the northern-most study colony. Oceanic habitats in Antarctic waters were substantially different from neritic habitats around New Zealand, indicating that shearwaters experience dramatically different environmental conditions associated with each excursion type. The ability of sooty shearwaters to use 2 vastly different habitats provides greater flexibility for maximizing resource acquisition during breeding and reduces competition near the colony.</t>
  </si>
  <si>
    <t>[Shaffer, Scott A.; Tremblay, Yann; Costa, Daniel P.] Univ Calif Santa Cruz, Inst Marine Sci, Santa Cruz, CA 95060 USA; [Weimerskirch, Henri; Pinaud, David] CNRS, Ctr Etud Biol Chize, F-79360 Villiers En Bois, France; [Scott, Darren; Moller, Henrik] Univ Otago, Dept Zool, Dunedin, New Zealand; [Thompson, David R.] Natl Inst Water &amp; Atmospher Res, Wellington, New Zealand; [Sagar, Paul M.] Natl Inst Water &amp; Atmospher Res, Christchurch, New Zealand; [Taylor, Graeme A.] Dept Conservat, Wellington, New Zealand; [Foley, David G.] Univ Hawaii, Joint Inst Marine &amp; Atmospher Res, Honolulu, HI 96822 USA; [Foley, David G.] SW Fisheries Sci Ctr, Natl Ocean &amp; Atmospher Adm, Pacific Grove, CA 93950 USA; [Tremblay, Yann] IRD, Ctr Rech Halieut Mediterraneenne &amp; Trop, F-34203 Sete, France</t>
  </si>
  <si>
    <t>University of California System; University of California Santa Cruz; Centre National de la Recherche Scientifique (CNRS); University of Otago; National Institute of Water &amp; Atmospheric Research (NIWA) - New Zealand; National Institute of Water &amp; Atmospheric Research (NIWA) - New Zealand; University of Hawaii System; National Oceanic Atmospheric Admin (NOAA) - USA; Institut de Recherche pour le Developpement (IRD)</t>
  </si>
  <si>
    <t>Shaffer, SA (corresponding author), Univ Calif Santa Cruz, Inst Marine Sci, 100 Shaffer Rd, Santa Cruz, CA 95060 USA.</t>
  </si>
  <si>
    <t>shaffer@biology.ucsc.edu</t>
  </si>
  <si>
    <t>Weimerskirch, Henri/K-7306-2019; Thompson, David R/E-2431-2018; Weimerskirch, Henri/F-5562-2013; Pinaud, David/B-6326-2008; Thompson, David/C-3520-2008; Carlos, Universidade Federal de São/W-8832-2019; Costa, Daniel Paul/E-2616-2013; Shaffer, Scott/D-5015-2009</t>
  </si>
  <si>
    <t>Weimerskirch, Henri/0000-0002-0457-586X; Pinaud, David/0000-0003-0815-9668; Carlos, Universidade Federal de São/0000-0002-0334-3899; Costa, Daniel Paul/0000-0002-0233-5782; Shaffer, Scott/0000-0002-7751-5059</t>
  </si>
  <si>
    <t>Tagging of Pacific Pelagics (TOPP) program; Moore Foundation; UCSC; National Ocean Partnership Program [N00014-02-1-1012]; Office of Naval Research [N00014-00-1-0880, N00014-03-t-0651]</t>
  </si>
  <si>
    <t>Tagging of Pacific Pelagics (TOPP) program; Moore Foundation(Gordon and Betty Moore Foundation); UCSC; National Ocean Partnership Program; Office of Naval Research(Office of Naval Research)</t>
  </si>
  <si>
    <t>We thank C. Bragg, R. Mules, and B. Newton and the Titi team for assistance in the field and K. M. Middleton for assistance with statistical analyses, We also thank the Southland Department of Conservation, New Zealand, for logistical support, as well as the crews of the Foveaux Express, Akademik Shokalskiy, Tiama, and Southland Helicopters for assistance with travel to the islands. This research was part of the Tagging of Pacific Pelagics (TOPP) program, funded in part by the Moore Foundation, Packard Endowment Grant to UCSC, the National Ocean Partnership Program (N00014-02-1-1012), and the Office of Naval Research (N00014-00-1-0880 &amp; N00014-03-t-0651). All protocols employed in this study were approved by the Institutional Animal Care and Use Committees at UCSC and the Southland and Wellington Conservancies of the Department of Conservation, New Zealand. Kia Mau Te Titi Mo Ake Tonu Atu.</t>
  </si>
  <si>
    <t>10.3354/meps07932</t>
  </si>
  <si>
    <t>WOS:000271218100018</t>
  </si>
  <si>
    <t>González-Solís, J; Felicísimo, A; Fox, JW; Afanasyev, V; Kolbeinsson, Y; Muñoz, J</t>
  </si>
  <si>
    <t>Gonzalez-Solis, Jacob; Felicisimo, Angel; Fox, James W.; Afanasyev, Vsevolod; Kolbeinsson, Yann; Munoz, Jesus</t>
  </si>
  <si>
    <t>Influence of sea surface winds on shearwater migration detours</t>
  </si>
  <si>
    <t>Migration costs; Wind influence; Bird flight; Shearwaters; Global location sensing; GLS; Geolocator</t>
  </si>
  <si>
    <t>WANDERING ALBATROSSES; WEATHER SYSTEMS; FLIGHT; SEABIRDS; OCEAN; BIRDS; TIME</t>
  </si>
  <si>
    <t>To test the potential effects of winds on the migratory detours of shearwaters, transequatorial migrations of 3 shearwaters, the Manx Puffin us puffinus, the Cory's Calonectris diomedea, and the Cape Verde C. edwardsii shearwaters were tracked using geolocators. Concurrent data on the direction and strength of winds were obtained from the NASA SeaWinds scatterometer to calculate daily impedance models reflecting the resistance of sea surface winds to the shearwater movements. From these models we estimated relative wind-mediated costs for the observed synthesis pathway obtained from tracked birds, for the shortest distance pathway and for other simulated alternative pathways for every day of the migration period. We also estimated daily trajectories of the minimum cost pathway and compared distance and relative costs of all pathways. Shearwaters followed 26 to 52% longer pathways than the shortest distance path. In general, estimated wind-mediated costs of both observed synthesis and simulated alternative pathways were strongly dependent on the date of departure. Costs of observed synthesis pathways were about 15% greater than the synthesis pathway with the minimum cost, but, in the Cory's and the Cape Verde shearwaters, these pathways were on average 15 to 20% shorter in distance, suggesting the extra costs of the observed pathways are compensated by saving about 2 travelling days. In Manx shearwaters, however, the distance of the observed synthesis pathway was 25% longer than that of the lowest cost synthesis pathway, probably because birds avoided shorter but potentially more turbulent pathways. Our results suggest that winds are a major determinant of the migratory routes of seabirds.</t>
  </si>
  <si>
    <t>[Gonzalez-Solis, Jacob] Univ Barcelona, Dept Biol Anim Vertebrats, Av Diagonal 645, E-08028 Barcelona, Spain; [Felicisimo, Angel] Univ Extremadura, Escuela Politecn, Caceres 10071, Spain; [Fox, James W.; Afanasyev, Vsevolod] British Antarctic Survey, Cambridge CB3 0ET, England; [Kolbeinsson, Yann] S Iceland Nat Ctr, IS-900 Vestmannaeyjar, Iceland; [Munoz, Jesus] CSIC, Real Jardin Bot, E-28014 Madrid, Spain</t>
  </si>
  <si>
    <t>University of Barcelona; Universidad de Extremadura; UK Research &amp; Innovation (UKRI); Natural Environment Research Council (NERC); NERC British Antarctic Survey; Consejo Superior de Investigaciones Cientificas (CSIC); CSIC - Real Jardin Botanico de Madrid</t>
  </si>
  <si>
    <t>González-Solís, J (corresponding author), Univ Barcelona, Dept Biol Anim Vertebrats, Av Diagonal 645, E-08028 Barcelona, Spain.</t>
  </si>
  <si>
    <t>jgsolis@ub.edu</t>
  </si>
  <si>
    <t>Munoz, Jesus/B-7809-2008; Gonzalez-Solis, Jacob/C-3942-2008; González-Solís, Jacob/AAB-1161-2019; Felicisimo, Angel M./B-4138-2008</t>
  </si>
  <si>
    <t>Munoz, Jesus/0000-0002-9266-2268; Gonzalez-Solis, Jacob/0000-0002-8691-9397; Fox, James W./0000-0002-3107-696X; Felicisimo, Angel M./0000-0002-9953-8614</t>
  </si>
  <si>
    <t>Program Ramon y Cajal of the MEyC; Fondos FEDER; Ministerio de Ciencia e Innovacion [CGL2007-60247/BOS, CGL2006-01315/BOS]; Fundacion Banco Bilbao Vizcaya Argentaria [BIOCON04/099]; NERC [bas010013] Funding Source: UKRI; Natural Environment Research Council [bas010013] Funding Source: researchfish</t>
  </si>
  <si>
    <t>Program Ramon y Cajal of the MEyC(Spanish Government); Fondos FEDER(European Union (EU)); Ministerio de Ciencia e Innovacion(Instituto de Salud Carlos IIISpanish Government); Fundacion Banco Bilbao Vizcaya Argentaria; NERC(UK Research &amp; Innovation (UKRI)Natural Environment Research Council (NERC)); Natural Environment Research Council(UK Research &amp; Innovation (UKRI)Natural Environment Research Council (NERC))</t>
  </si>
  <si>
    <t>We thank all the people who deployed and recovered geolocators and provided support in many different ways, in particular S. Martins, A. Rendall, P. Lopez, L. F. Lopez-Jurado, E. Vendrell, T. Militao, P. Rodrigues, R. Ramos, P. Deane, G. Dell'Omo, P. Calabuig, L. Estevez, I. de Vicente, E. Gomez-Dfaz, J. Navarro, I. A. Sigurdsson, R. Magnfisdottir, A. M. Maul, V. Neves, J. Bried, X. Ruiz, D. Oro, M, Igual, L. Llorens, D. Briggs and J. P. Croxall; the NASA Ocean Wind Vector Science Team for making wind data available; Consejeria de Medio Arnbiente del Cabildo de Gran Canaria, Secretaria Regional do Ambiente da Regiao Autonoma dos A ores, Gobern Balear, South Iceland Nature Centre, Direc do Geral do Ambiente and the Instituto Nacional de Investigacao e Desenvolvimento Agrdrio from Cape Verde, for providing means and support. The comments of 5 anonymous referees greatly improved the first version of the manuscript. J.G-S. was supported by a contract of the Program Ramon y Cajal of the MEyC and by Fondos FEDER during fieldwork and analysis. Additional financial support was provided by the project CGL2007-60247/BOS and CGL2006-01315/BOS from Ministerio de Ciencia e Innovacion and BIOCON04/099 from Fundacion Banco Bilbao Vizcaya Argentaria.</t>
  </si>
  <si>
    <t>10.3354/meps08128</t>
  </si>
  <si>
    <t>Bronze, Green Submitted, Green Published, Green Accepted</t>
  </si>
  <si>
    <t>WOS:000271218100019</t>
  </si>
  <si>
    <t>Catry, T; Ramos, JA; Le Corre, M; Phillips, RA</t>
  </si>
  <si>
    <t>Catry, Teresa; Ramos, Jaime A.; Le Corre, Matthieu; Phillips, Richard A.</t>
  </si>
  <si>
    <t>Movements, at-sea distribution and behaviour of a tropical pelagic seabird: the wedge-tailed shearwater in the western Indian Ocean</t>
  </si>
  <si>
    <t>Wedge-tailed shearwater; Activity patterns; At-sea distribution; Foraging behaviour; Pelagic; Habitat preferences; Indian Ocean; Tuna distribution</t>
  </si>
  <si>
    <t>NONBREEDING ALBATROSSES; SATELLITE TELEMETRY; COMMUNITY STRUCTURE; FORAGING BEHAVIOR; MIGRATION; PACIFIC; PRODUCTIVITY; GEOLOCATION; ENVIRONMENT; SEYCHELLES</t>
  </si>
  <si>
    <t>This is the first study using geolocators (global location sensing, GLS) to track the movements of a pelagic tropical seabird. We used GLS to describe at-sea distribution and activity patterns of wedge-tailed shearwaters Puffinus pacificus breeding on Aride Island, Seychelles, in the late chick-rearing, non-breeding and pre-breeding periods. During late chick-rearing and pre-breeding periods, shearwaters foraged relatively close to the colony. In the non-breeding period, shearwaters; were found on a west-east gradient along the equator, between 5 degrees N and 10 degrees S. Some of the tracked individuals showed little dispersion, staying as close as 1000 km to Aride Island, while others travelled 3500 km to the Central Indian Ocean Basin. Individual core areas of activity showed little overlap. Overall, wedge-tailed shearwaters showed short-distance movements and exploited relatively unproductive oceanic waters. At-sea distribution largely matched that of yellowfin and skipjack tunas, emphasising the importance of the association with subsurface predators rather than associations with physical oceanographic features that enhance primary productivity. During the non-breeding period, the feeding activity of, shearwaters was mainly concentrated in the daylight period, when tunas also forage. A different behaviour, characterised by a much lower proportion of the night sitting on the sea surface, was recorded in the pre-laying exodus of 1 female to more productive waters, suggesting a different feeding strategy and/or targeting of different prey. Knowledge of the at-sea distribution of wedge-tailed shearwaters allows quantification of the overlap with industrial fisheries, which will be crucial to devise fisheries policies for the Indian Ocean with important implications for the conservation of this species.</t>
  </si>
  <si>
    <t>[Catry, Teresa; Ramos, Jaime A.] Univ Coimbra, Dept Zool, Inst Mar, P-3004517 Coimbra, Portugal; [Le Corre, Matthieu] Univ Reunion, Lab ECOMAR, F-97715 St Denis Message 9, France; [Phillips, Richard A.] British Antarctic Survey, NERC, Cambridge CB3 0ET, England</t>
  </si>
  <si>
    <t>Universidade de Coimbra; University of La Reunion; UK Research &amp; Innovation (UKRI); Natural Environment Research Council (NERC); NERC British Antarctic Survey</t>
  </si>
  <si>
    <t>Catry, T (corresponding author), Univ Coimbra, Dept Zool, Inst Mar, P-3004517 Coimbra, Portugal.</t>
  </si>
  <si>
    <t>teresa_catry@yahoo.com</t>
  </si>
  <si>
    <t>Ramos, Jaime A./B-6616-2018; Catry, Teresa/A-8082-2012</t>
  </si>
  <si>
    <t>Ramos, Jaime A./0000-0002-9533-987X; Catry, Teresa/0000-0003-4047-9995</t>
  </si>
  <si>
    <t>Fundaqao Para a Ciencia e Tecnologia [SFRH/BD/16706/2004]; Western Indian Ocean Marine Science Association [MASMA/AG/2004/04]; French Agency for Research; Seychelles Bureau of Standards, Republic of Seychelles; NERC [bas010017] Funding Source: UKRI; Natural Environment Research Council [bas010017] Funding Source: researchfish; Fundação para a Ciência e a Tecnologia [SFRH/BD/16706/2004] Funding Source: FCT</t>
  </si>
  <si>
    <t>Fundaqao Para a Ciencia e Tecnologia; Western Indian Ocean Marine Science Association; French Agency for Research(Agence Nationale de la Recherche (ANR)); Seychelles Bureau of Standards, Republic of Seychelles; NERC(UK Research &amp; Innovation (UKRI)Natural Environment Research Council (NERC)); Natural Environment Research Council(UK Research &amp; Innovation (UKRI)Natural Environment Research Council (NERC)); Fundação para a Ciência e a Tecnologia(Fundacao para a Ciencia e a Tecnologia (FCT))</t>
  </si>
  <si>
    <t>We thank the Island Conservation Society (ICS) for permission to work on Aride Island. B. Sampson provided valuable help during logger retrieval. Two anonymous referees provide valuable revisions to the manuscript. T.C. was funded by a Portuguese doctoral grant from Fundaqao Para a Ciencia e Tecnologia (SFRH/BD/16706/2004). This work is part of a regional programme on seabirds as bioindicators of the marine environment, funded by the Western Indian Ocean Marine Science Association (Marine Science for Management Grant, MASMA/AG/2004/04), and by the French Agency for Research (Programme REMIGEANR Biodiversite 2005-011). This research was conducted with permission of the Seychelles Bureau of Standards, Republic of Seychelles.</t>
  </si>
  <si>
    <t>10.3354/meps07717</t>
  </si>
  <si>
    <t>WOS:000271218100020</t>
  </si>
  <si>
    <t>Phillips, RA; Wakefield, ED; Croxall, JP; Fukuda, A; Higuchi, H</t>
  </si>
  <si>
    <t>Phillips, Richard A.; Wakefield, Ewan D.; Croxall, John P.; Fukuda, Akira; Higuchi, Hiroyoshi</t>
  </si>
  <si>
    <t>Albatross foraging behaviour: no evidence for dual foraging, and limited support for anticipatory regulation of provisioning at South Georgia</t>
  </si>
  <si>
    <t>Foraging behavior; Parental investment; Provisioning; Regulation; Satellite-telemetry</t>
  </si>
  <si>
    <t>LONG-LIVED SEABIRD; WANDERING ALBATROSSES; CORYS SHEARWATER; PELAGIC SEABIRD; THALASSARCHE-CHRYSOSTOMA; CALONECTRIS-DIOMEDEA; MANX SHEARWATERS; SEX-DIFFERENCES; FOOD DELIVERY; BIRD ISLAND</t>
  </si>
  <si>
    <t>Many pelagic seabirds are thought to regulate reproductive effort by adopting a dual foraging strategy, alternating or mixing short foraging trips over local shelf waters (maximising provisioning rates) with longer trips over distant oceanic water (allowing restoration of lost condition). Many species also respond to chick condition, decreasing food supply to over-fed, and sometimes increasing it to under-fed chicks. Analysis of tracking data from 4 albatross species breeding at South Georgia provided evidence that adults responded to prevailing environmental conditions, but did not provide evidence for a dual foraging strategy. Trip durations and maximum foraging ranges tended to follow a positively skewed, unimodal distribution, with the exception of the light-mantled albatross for which no significant modes were apparent. Individual distributions deviated from this, but none were strongly bimodal or showed regular alternation of trip lengths, trip distance or predominant bathy-metric regime. There were significant relationships between meal mass and trip duration, time since the last feed and chick condition on return, reflecting responses to current rather than predicted chick needs. On average, adults returned with smaller meals after 1 to 2 d trips, but otherwise stayed away until a threshold payload was obtained; consequently, provisioning rate (g d(-1)) was much greater after shorter trips. Lack of dual foraging may reflect the diversity of foraging zones available in this highly productive region. By inference, this would mean that adoption of dual foraging elsewhere is a consequence of greater heterogeneity in resource availability in waters surrounding those colonies.</t>
  </si>
  <si>
    <t>[Phillips, Richard A.; Wakefield, Ewan D.; Croxall, John P.] British Antarctic Survey, NERC, Cambridge CB3 0ET, England; [Croxall, John P.] Royal Soc Protect Birds, BirdLife Int Global Seabird Programme, Sandy SG19 2DL, Beds, England; [Fukuda, Akira] Shizuoka Univ, Grad Sch Sci &amp; Technol, Informat Sect, Hamamatsu, Shizuoka 4328561, Japan; [Higuchi, Hiroyoshi] Univ Tokyo, Sch Agr &amp; Life Sci, Lab Biodivers Sci, Tokyo 1138657, Japan</t>
  </si>
  <si>
    <t>UK Research &amp; Innovation (UKRI); Natural Environment Research Council (NERC); NERC British Antarctic Survey; BirdLife International; Royal Society for Protection of Birds; Shizuoka University; University of Tokyo</t>
  </si>
  <si>
    <t>Phillips, RA (corresponding author), British Antarctic Survey, NERC, High Cross,Madingley Rd, Cambridge CB3 0ET, England.</t>
  </si>
  <si>
    <t>raphil@bas.ac.uk</t>
  </si>
  <si>
    <t>NERC [bas0100025] Funding Source: UKRI; Natural Environment Research Council [bas0100025] Funding Source: researchfish</t>
  </si>
  <si>
    <t>10.3354/meps08028</t>
  </si>
  <si>
    <t>WOS:000271218100024</t>
  </si>
  <si>
    <t>Lorrain, A; Graham, B; Ménard, F; Popp, B; Bouillon, S; van Breugel, P; Cherel, Y</t>
  </si>
  <si>
    <t>Lorrain, Anne; Graham, Brittany; Menard, Frederic; Popp, Brian; Bouillon, Steven; van Breugel, Peter; Cherel, Yves</t>
  </si>
  <si>
    <t>Nitrogen and carbon isotope values of individual amino acids: a tool to study foraging ecology of penguins in the Southern Ocean</t>
  </si>
  <si>
    <t>delta N-15; delta C-13; Compound specific; Isotopic niche; Trophic level</t>
  </si>
  <si>
    <t>N-15 NATURAL-ABUNDANCE; STABLE-ISOTOPES; TROPHIC RELATIONSHIPS; SEA-ICE; GEOGRAPHICAL VARIATION; DELTA-N-15 VALUES; ADELIE PENGUINS; DIVING BEHAVIOR; ORGANIC-MATTER; YELLOWFIN TUNA</t>
  </si>
  <si>
    <t>We determined the delta N-15 and delta C-13 values of individual amino acids (AAs) isolated from chick blood of 4 penguin species that forage in different oceanic regions (from the subtropics of the Indian Ocean to Antarctica) to test if: (1) the delta N-15 values of phenylalanine (delta N-15(phe)) revealed different foraging areas among the species; (2) the difference between glutamic acid and phenylalanine delta N-15 values (Delta delta N-15(glu-phe)) accurately predicted trophic levels; and (3) the delta C-13 value of AAs could resolve species foraging locations, similar to bulk delta C-13 values. The delta C-13 values of all AAs decreased with latitude, were positively correlated with bulk delta C-13 data, and, therefore, tracked the isotopic baseline. However, we were not able to discern additional ecological information from these delta C-13 values. In contrast, the delta N-15 values of AAs distinguished the isotopic value of the nitrogen at the base of the food web from the trophic level of the consumer, providing new insight for the study of the trophic ecology of seabirds. The difference in the bulk delta N-15 values of northern and southern rockhopper penguins Eudyptes chrysocome ssp. was due to both a difference in their foraging location (different delta N-15(phe)) and their trophic levels (different Delta delta N-15(glu-phe)). The delta N-15(phe) values of king Aptenodytes patagonicus and Adelie penguins Pygoscelis adeliae were higher than those of rockhoppers, which could reflect a foraging on mesopelagic prey for king penguins and, in the highly productive Antarctic shelf waters, for Adelie penguins. The Delta delta N-15(glu-phc) accurately reflected the relative trophic level of penguins, but further work is required to determine the trophic enrichment factors for compound-specific isotope analysis.</t>
  </si>
  <si>
    <t>[Lorrain, Anne] Ctr IRD Brest, IRD LEMAR, F-29280 Plouzane, France; [Graham, Brittany] Univ Hawaii, Dept Oceanog, Honolulu, HI 96822 USA; [Graham, Brittany] Univ New Brunswick, Canadian Rivers Inst, SINLAB, Fredericton, NB E3B 5A3, Canada; [Menard, Frederic] CRH, IRD, UME EME 212, F-34203 Sete, France; [Popp, Brian] Univ Hawaii, Dept Geol &amp; Geophys, Honolulu, HI 96822 USA; [Bouillon, Steven; van Breugel, Peter] Netherlands Inst Ecol NIOO KNAW, Ctr Estuarine &amp; Marine Ecol, NL-4400 AC Yerseke, Netherlands; [Bouillon, Steven] Vrije Univ Brussel, Dept Analyt &amp; Environm Chem, B-1050 Brussels, Belgium; [Bouillon, Steven] Katholieke Univ Leuven, Dept Earth &amp; Environm Sci, B-3001 Leuven, Belgium; [Cherel, Yves] CNRS, UPR 1934, CEBC, F-79360 Villiers En Bois, France</t>
  </si>
  <si>
    <t>Centre National de la Recherche Scientifique (CNRS); Ifremer; Institut de Recherche pour le Developpement (IRD); University of Hawaii System; University of New Brunswick; Institut de Recherche pour le Developpement (IRD); University of Hawaii System; Royal Netherlands Academy of Arts &amp; Sciences; Netherlands Institute of Ecology (NIOO-KNAW); Vrije Universiteit Brussel; KU Leuven; Centre National de la Recherche Scientifique (CNRS)</t>
  </si>
  <si>
    <t>Lorrain, A (corresponding author), Ctr IRD Brest, IRD LEMAR, BP 70, F-29280 Plouzane, France.</t>
  </si>
  <si>
    <t>anne.lorrain@ird.fr</t>
  </si>
  <si>
    <t>Menard, Frederic/C-3913-2008; Lorrain, Anne/A-4152-2009; Bouillon, Steven/C-5177-2011</t>
  </si>
  <si>
    <t>Menard, Frederic/0000-0003-1162-660X; Lorrain, Anne/0000-0002-1289-2072; Popp, Brian/0000-0001-7021-5478; Bouillon, Steven/0000-0001-7669-2929</t>
  </si>
  <si>
    <t>REMIGE-ANR Biodiversite 2005-011; Netherlands Organisation for Scientific Research</t>
  </si>
  <si>
    <t>REMIGE-ANR Biodiversite 2005-011(Agence Nationale de la Recherche (ANR)); Netherlands Organisation for Scientific Research(Netherlands Organization for Scientific Research (NWO))</t>
  </si>
  <si>
    <t>We thank T. Rust and C. Hannides for their help with delta15N analyses, and J. Middelburg and B. Veuger for making the delta13C analyses of the penguin blood samples possible. We also thank S. Sokolov for providing Indian Ocean front positions and chlorophyll a data for Fig. 1, and M. Patriat and P. Lopez for map and figure processing. This work was supported financially by the Program REMIGE-ANR Biodiversite 2005-011 and, for carbon analyses, partially by the Netherlands Organisation for Scientific Research.</t>
  </si>
  <si>
    <t>10.3354/meps08215</t>
  </si>
  <si>
    <t>WOS:000271218100025</t>
  </si>
  <si>
    <t>Jasmine, P; Muraleedharan, KR; Madhu, NV; Devi, CRA; Alagarsamy, R; Achuthankutty, CT; Jayan, Z; Sanjeevan, VN; Sahayak, S</t>
  </si>
  <si>
    <t>Jasmine, P.; Muraleedharan, K. R.; Madhu, N. V.; Devi, C. R. Asha; Alagarsamy, R.; Achuthankutty, C. T.; Jayan, Zeena; Sanjeevan, V. N.; Sahayak, Satish</t>
  </si>
  <si>
    <t>Hydrographic and productivity characteristics along 45°E longitude in the southwestern Indian Ocean and Southern Ocean during austral summer 2004</t>
  </si>
  <si>
    <t>Fronts; Zones; Microzooplankton; Mesozooplankton; Microbial loop; Southern Ocean</t>
  </si>
  <si>
    <t>POLAR FRONTAL ZONE; SUBTROPICAL CONVERGENCE REGION; MICROBIAL FOOD-WEB; ATLANTIC SECTOR; GRAZING IMPACT; PHYTOPLANKTON PRODUCTION; COMMUNITY STRUCTURE; ALGAL BIOMASS; TROPHIC ROLE; NEW-ZEALAND</t>
  </si>
  <si>
    <t>During the austral summer 2004, an intensive multidisciplinary survey was carried out in the Indian Ocean sector of the Southern Ocean to study the main hydrographic features and the associated productivity processes. This sector includes circumpolar zones and fronts with distinct hydrographic and trophic regimes, such as the Subtropical Zone (STZ), Subtropical Frontal Zone (STFZ), Subantarctic Zone (SAZ), Polar Frontal Zone (PFZ), North Subtropical Front (NSTF), Agulhas Retroflection Front (ARF), South Subtropical Front (SSTF), Subantarctic Front, Surface Polar Front (SPF), and Subsurface Polar Front. Seasonal variations in the solar irradiance and day length, stratification, lack of micronutrients like iron and increased grazing pressure are the major factors that influenced or constrained biological production in this region. Even though broad differences in these controlling factors exist in time and space between the zonal regions, the upper 1000 m of the water column of the main zones, STZ, STFZ, SAZ, PFZ, supported almost identical standing stocks of mesozooplankton, 0.43, 0.47, 0.45 and 0.49 ml m(-3), respectively, during the austral summer. This unexpected similarity can be explained either through the functioning of the microbial loop within STZ, STFZ and SAZ and the multivorous food web ecology within the PFZ. Dominance of ciliates in the microzooplankton community may be one factor resulting in the maintenance of a high mesozooplankton standing stock in SAZ. In contrast to the zones, frontal regions showed wide differences in hydrography and biological characteristics. The SSTF and SPF were far more biologically productive than that of NSTF and ARF.</t>
  </si>
  <si>
    <t>[Jasmine, P.; Muraleedharan, K. R.; Madhu, N. V.; Devi, C. R. Asha; Achuthankutty, C. T.; Sahayak, Satish] Natl Inst Oceanog, Reg Ctr, Kochi 682018, India; [Alagarsamy, R.] Natl Inst Oceanog, Panaji 403004, Goa, India; [Jayan, Zeena] Natl Ctr Anarct &amp; Ocean Res, Sada, Goa, India; [Sanjeevan, V. N.] Minist Earth Sci, Ctr Marine Living Resources &amp; Ecol, Kochi 37, Kakkanad, India</t>
  </si>
  <si>
    <t>Council of Scientific &amp; Industrial Research (CSIR) - India; CSIR - National Institute of Oceanography (NIO); Council of Scientific &amp; Industrial Research (CSIR) - India; CSIR - National Institute of Oceanography (NIO); Ministry of Earth Sciences (MoES) - India; National Centre for Polar and Ocean Research (NCPOR); Ministry of Earth Sciences (MoES) - India; Centre for Marine Living Resources &amp; Ecology (CMLRE)</t>
  </si>
  <si>
    <t>Jasmine, P (corresponding author), Natl Inst Oceanog, Reg Ctr, Dr Salim Ali Rd,PB 1918, Kochi 682018, India.</t>
  </si>
  <si>
    <t>muraleedharan@nio.org</t>
  </si>
  <si>
    <t>P, J/KCK-9262-2024; P, JASMINE/AAM-7033-2020</t>
  </si>
  <si>
    <t>P, JASMINE/0000-0002-3980-4474; ashadevi, cr/0000-0002-0885-0590</t>
  </si>
  <si>
    <t>Ministry of Earth Sciences, Government of India, New Delhi</t>
  </si>
  <si>
    <t>We thank the Director, National Institute of Oceanography, Goa, the Director, Centre for Marine Living Resources and Ecology, Kochi, and the National Centre for Antarctic and Ocean Research, Goa, for providing facilities for the study. We are grateful to Dr. K. Banse, School of Oceanography, University of Washington, Seattle, and Dr. M. V. Angel, Southampton Oceanographic Centre, UK, for critically reading the manuscript. We are also thankful to chief scientist Dr. Sudhakar and all the participants of SK 200 ORV Sagar Kanya for the help rendered in sampling, The anonymous reviewers are greatly acknowledged for their valuable suggestions, which improved the quality and clarity of the manuscript. This investigation was carried out under the pilot expedition to Southern Ocean funded by the Ministry of Earth Sciences, Government of India, New Delhi. This is a NIO contribution.</t>
  </si>
  <si>
    <t>10.3354/meps08126</t>
  </si>
  <si>
    <t>505EO</t>
  </si>
  <si>
    <t>WOS:000270673100008</t>
  </si>
  <si>
    <t>Goldstien, SJ; Gemmell, NJ; Schiel, DR</t>
  </si>
  <si>
    <t>Goldstien, Sharyn J.; Gemmell, Neil J.; Schiel, David R.</t>
  </si>
  <si>
    <t>Colonisation and connectivity by intertidal limpets among New Zealand, Chatham and Sub-Antarctic Islands. I. Genetic connections</t>
  </si>
  <si>
    <t>Marine phylogeography; Cellana; Marine biogeography; Long-distance dispersal; Vicariance; Biogeography</t>
  </si>
  <si>
    <t>LONG-DISTANCE DISPERSAL; SUBTROPICAL FRONT; MOLECULAR PHYLOGENETICS; BIOGEOGRAPHY; PHYLOGEOGRAPHY; INFERENCE; HISTORY; MRBAYES; RISE; EAST</t>
  </si>
  <si>
    <t>Limpets of the genus Cellana are important grazers in the intertidal zone throughout New Zealand and in many ways serve as models for understanding biogeographic patterns along heterogeneous coastlines. This genus is speciose in New Zealand, with some being widely distributed. The C. strigilis species complex in particular provides a good model for population connectivity because it is spread over the southern coast of New Zealand and throughout the Sub-Antarctic Islands, a region of complex hydrography from around 45 degrees to 52 degrees south latitude. In the present study we investigated genetic connectivity and phylogeographic structure of the C. strigilis complex from mainland New Zealand, the Chatham Islands and the Sub-Antarctic Islands using mitochondrial gene sequence data. Partial sequences from mitochondrial cytochrome b, 12S and 16S genes revealed 2 genetic lineages that separate the Chatham, Bounty and Antipodes Island populations from the New Zealand mainland, Auckland and Campbell Island populations. Application of a relaxed molecular clock suggests that these lineages diverged 2 to 5 million years ago. The genetic homogeneity observed among populations of the 2 lineages, in conjunction with larval modelling, suggests that these populations are presently isolated but may have been colonised through long-distance dispersal from the southern island populations within the last 100 000 yr. Alternatively, the lack of genetic differentiation may suggest that the populations experience ongoing bottleneck effects.</t>
  </si>
  <si>
    <t>[Goldstien, Sharyn J.; Schiel, David R.] Univ Canterbury, Sch Biol Sci, Marine Ecol Res Grp, Christchurch 1, New Zealand; [Gemmell, Neil J.] Univ Otago, Dept Anat &amp; Struct Biol, Ctr Reprod &amp; Genom, Dunedin, New Zealand</t>
  </si>
  <si>
    <t>University of Canterbury; University of Otago</t>
  </si>
  <si>
    <t>Goldstien, SJ (corresponding author), Univ Canterbury, Sch Biol Sci, Marine Ecol Res Grp, Private Bag 4800, Christchurch 1, New Zealand.</t>
  </si>
  <si>
    <t>sharyn.goldstien@canterbury.ac.nz</t>
  </si>
  <si>
    <t>Gemmell, Neil/C-6774-2009</t>
  </si>
  <si>
    <t>Gemmell, Neil/0000-0003-0671-3637</t>
  </si>
  <si>
    <t>Andrew W. Mellon Foundation of New York; Foundation for Research, Science and Technology, New Zealand [COIX0501]; Department of Conservation, New Zealand [SO-13905-FAU]</t>
  </si>
  <si>
    <t>Andrew W. Mellon Foundation of New York; Foundation for Research, Science and Technology, New Zealand(New Zealand Foundation for Research, Science and Technology); Department of Conservation, New Zealand</t>
  </si>
  <si>
    <t>We thank everyone who collected the samples from Stewart Island (B. Robertson and family), Chatham Islands (W. Nelson and V. Metcalf), Auckland Island (V. Metcalf), and Campbell, Antipodes and Bounty Islands (Mahalia Expedition). The Andrew W. Mellon Foundation of New York and the Foundation for Research, Science and Technology, New Zealand (Contract No. COIX0501) are gratefully acknowledged for financial support of this study. All Sub-Antarctic samples were collected under permission of the Department of Conservation, New Zealand, Permit number SO-13905-FAU. We also acknowledge the enthusiasm and helpful input of S. Chiswell.</t>
  </si>
  <si>
    <t>10.3354/meps08046</t>
  </si>
  <si>
    <t>495LK</t>
  </si>
  <si>
    <t>WOS:000269892700010</t>
  </si>
  <si>
    <t>Chiswell, SM</t>
  </si>
  <si>
    <t>Chiswell, Stephen M.</t>
  </si>
  <si>
    <t>Colonisation and connectivity by intertidal limpets among New Zealand, Chatham and Sub-Antarctic Islands. II. Oceanographic connections</t>
  </si>
  <si>
    <t>Cellana; Connectivity; Modelling; Larval connections; Dispersal time</t>
  </si>
  <si>
    <t>DRIFTER DATA; RECRUITMENT; SETTLEMENT; DISPERSAL; GROWTH; SCALES</t>
  </si>
  <si>
    <t>Satellite-derived measurements of ocean currents made since 1993 were used to examine whether present-day oceanic circulation can explain 2 observed genetic lineages of the intertidal limpet Cellana strigilis in the New Zealand region. The western lineage comprises the South Island of New Zealand, Auckland and Campbell Islands, and the eastern lineage comprises the Chatham, Antipodes and Bounty Islands. Satellite-derived currents were used to simulate potential larval trajectories and hence estimate dispersal times between the islands. A random walk was added to the model to account for missing high-frequency variance in the satellite-derived currents. Surface drifters were used to calibrate the model. Minimum simulated dispersal times between the islands can easily explain the separation of the 2 lineages, but are too long, except between Antipodes and Bounty Islands, to explain the observed homogeneity within the lineages. It is suggested that rare long-distance dispersal events in the ocean, occurring too infrequently to be observed in 15 yr of simulations, influence the gene flow, and the frequency of these events may be estimated by fitting analytical functions to histograms of simulated larval dispersal. For some island pairs that are genetically connected, the maximum 10 d larval duration of C. strigilis appears at the 10(-4) percentile. If this genetic connection occurs via larval dispersal, this Suggests that connection may occur even when fewer than 1 in 1 million dispersal times is shorter than the larval duration.</t>
  </si>
  <si>
    <t>Natl Inst Water &amp; Atmospher Res, Wellington, New Zealand</t>
  </si>
  <si>
    <t>Chiswell, SM (corresponding author), Natl Inst Water &amp; Atmospher Res, POB 14-901, Wellington, New Zealand.</t>
  </si>
  <si>
    <t>s.chiswell@niwa.cri.nz</t>
  </si>
  <si>
    <t>Chiswell, Stephen/0000-0002-5957-3706</t>
  </si>
  <si>
    <t>Foundation for Research, Science and Technology, New Zealand [C01X0223]</t>
  </si>
  <si>
    <t>Foundation for Research, Science and Technology, New Zealand(New Zealand Foundation for Research, Science and Technology)</t>
  </si>
  <si>
    <t>Thanks to S. Goldstien for suggesting this as an interesting topic and 2 anonymous reviewers for their constructive comments. This work was funded by the Foundation for Research, Science and Technology, New Zealand, Contract No. C01X0223.</t>
  </si>
  <si>
    <t>10.3354/meps08167</t>
  </si>
  <si>
    <t>WOS:000269892700011</t>
  </si>
  <si>
    <t>Guest, MA; Frusher, SD; Nichols, PD; Johnson, CR; Wheatley, KE</t>
  </si>
  <si>
    <t>Guest, M. A.; Frusher, S. D.; Nichols, P. D.; Johnson, C. R.; Wheatley, K. E.</t>
  </si>
  <si>
    <t>Trophic effects of fishing southern rock lobster Jasus edwardsii shown by combined fatty acid and stable isotope analyses</t>
  </si>
  <si>
    <t>Effects of fishing; Food webs; Marine protected areas; Stable isotopes; Fatty acids</t>
  </si>
  <si>
    <t>TASMANIAN MARINE RESERVES; SQUID MOROTEUTHIS-INGENS; LIPID-COMPOSITION; STOMACH CONTENTS; NUTRITIONAL CONDITION; EUPHAUSIA-SUPERBA; PANULIRUS-CYGNUS; ANTARCTIC KRILL; PROTECTED-AREA; SPINY LOBSTER</t>
  </si>
  <si>
    <t>The southern rock lobster Jasus edwardsii is a commercial species that has benefited from the complete protection offered by no-take reserves, with higher abundances and larger animals recorded in reserves than in adjacent fished areas. What remains unclear is whether there is any change in the diet of lobsters in reserves, for example, as a result of increased intraspecific competition for food. We used combined chemical tracers to examine the diet of lobsters in fished and reserve areas in 2 bioregions in eastern Tasmania. delta N-15 values of lobsters were richer in fished than in reserve areas, indicating that lobsters eat a greater proportion of food items from higher trophic levels in fished areas. Mixing models suggest that ascidians, sea urchins and the turbinid gastropod were all important food sources for lobsters, but the importance of these food items differed between bioregions. This spatial variability may suggest that the small size of the reserve in one bioregion is inadequate at ensuring the diet of lobsters is protected from fishing pressure, Fatty acid profiles of lobsters supported the importance of these food sources to lobsters. Differences between bioregions, or inside and outside of reserves, were not apparent using fatty acids. The present study highlights that lobster fishing has the capacity to alter the trophic status of prey for generalist predators and suggests that fatty acid analyses may be limited in detecting changes in the dietary composition of such generalist feeders.</t>
  </si>
  <si>
    <t>[Guest, M. A.; Frusher, S. D.] Tasmanian Aquaculture &amp; Fisheries Inst, Marine Res Labs, Taroona, Tas 7053, Australia; [Nichols, P. D.] CSIRO Marine &amp; Atmospher Res, Hobart, Tas 7000, Australia; [Nichols, P. D.] Univ Tasmania, Hobart, Tas 7001, Australia; [Johnson, C. R.; Wheatley, K. E.] Univ Tasmania, Sch Zool, Hobart, Tas 7001, Australia</t>
  </si>
  <si>
    <t>University of Tasmania; Commonwealth Scientific &amp; Industrial Research Organisation (CSIRO); University of Tasmania; University of Tasmania</t>
  </si>
  <si>
    <t>Guest, MA (corresponding author), Tasmanian Aquaculture &amp; Fisheries Inst, Marine Res Labs, Taroona, Tas 7053, Australia.</t>
  </si>
  <si>
    <t>michaela.guest@utas.edu.au</t>
  </si>
  <si>
    <t>Nichols, Peter D/C-5128-2011; Frusher, Stewart/G-5117-2014; Johnson, Craig/E-1788-2013</t>
  </si>
  <si>
    <t>Frusher, Stewart/0000-0003-2493-3676; Johnson, Craig/0000-0002-9511-905X</t>
  </si>
  <si>
    <t>10.3354/meps08096</t>
  </si>
  <si>
    <t>WOS:000269892700015</t>
  </si>
  <si>
    <t>Hanson, NN; Wurster, CM; Bird, MI; Reid, K; Boyd, IL</t>
  </si>
  <si>
    <t>Hanson, N. N.; Wurster, C. M.; Bird, M. I.; Reid, K.; Boyd, I. L.</t>
  </si>
  <si>
    <t>Intrinsic and extrinsic forcing in life histories: patterns of growth and stable isotopes in male Antarctic fur seal teeth</t>
  </si>
  <si>
    <t>Annulus; Dietary reconstruction; Stable isotope; Time series analysis; Southern Ocean</t>
  </si>
  <si>
    <t>SOUTHERN-OCEAN; ARCTOCEPHALUS-GAZELLA; TROPHIC RELATIONSHIPS; EUPHAUSIA-SUPERBA; BERING-SEA; CARBON; NITROGEN; KRILL; CO2; INVESTIGATE</t>
  </si>
  <si>
    <t>Life-time records of the trophic sources of carbon, nitrogen and of growth rate can be generated from biogenic structures that show accretionary growth, including fish scales, whale baleen and the teeth of some animals. Records generated from individual teeth can also be combined to provide longer time series elucidating changes in environmental conditions encountered by a population. Both intrinsic (i.e. ontogenetic) and extrinsic (i.e. environmental) factors are important in modulating variation in growth and the apparent dietary sources of C and N. We used the canine teeth of a large marine predator, the male Antarctic fur seal Arctocephalus gazella from South Georgia, to investigate both intrinsic and extrinsic sources of variation. Substantial ontogenetic shifts occurred in both delta C-13 and delta N-15 values in individual teeth, indicating a change in the trophic sources of C and N as individual animals age. Over the 40 yr period from 1964 to 2005, and after statistical reduction of ontogenetic variation, we also detected long-term declines in delta C-13 and delta N-15 values, indicating that the population has become more dependent on energy from a lower trophic level. A concurrent decline in annular tooth growth may be a consequence of rapid population growth during this period. The time series of delta C-13 values was also inversely correlated with sea surface temperatures in the region, although isolating a causal relationship remains elusive. Our analyses suggest that both intrinsic and extrinsic sources of variation, and their interaction, must be considered from Such time series data; failure to do so could result in a biased interpretation.</t>
  </si>
  <si>
    <t>[Hanson, N. N.; Boyd, I. L.] Univ St Andrews, Sea Mammal Res Unit, Gatty Marine Lab, St Andrews KY16 8LB, Fife, Scotland; [Wurster, C. M.; Bird, M. I.] Univ St Andrews, Sch Geog &amp; Geosci, St Andrews KY16 9AL, Fife, Scotland; [Reid, K.] British Antarctic Survey, NERC, Cambridge CB3 0ET, England</t>
  </si>
  <si>
    <t>University of St Andrews; University of St Andrews; UK Research &amp; Innovation (UKRI); Natural Environment Research Council (NERC); NERC British Antarctic Survey</t>
  </si>
  <si>
    <t>Hanson, NN (corresponding author), Univ St Andrews, Sea Mammal Res Unit, Gatty Marine Lab, St Andrews KY16 8LB, Fife, Scotland.</t>
  </si>
  <si>
    <t>nnh@st-andrews.ac.uk</t>
  </si>
  <si>
    <t>Bird, Michael/G-5364-2010; Wurster, Christopher M/A-1983-2011</t>
  </si>
  <si>
    <t>Bird, Michael/0000-0003-1801-8703; Wurster, Christopher/0000-0002-2866-5798; Hanson, Nora/0000-0002-0017-8963</t>
  </si>
  <si>
    <t>Natural Environment Research Council [smru10001, bas010020] Funding Source: researchfish; NERC [bas010020] Funding Source: UKRI</t>
  </si>
  <si>
    <t>10.3354/meps08158</t>
  </si>
  <si>
    <t>WOS:000269892700022</t>
  </si>
  <si>
    <t>Drazen, JC; Phleger, CF; Guest, MA; Nichols, PD</t>
  </si>
  <si>
    <t>Drazen, Jeffrey C.; Phleger, Charles F.; Guest, Michaela A.; Nichols, Peter D.</t>
  </si>
  <si>
    <t>Lipid composition and diet inferences in abyssal macrourids of the eastern North Pacific</t>
  </si>
  <si>
    <t>Macrouridae; Deep sea; Trophic ecology; Lipid composition; Sterols; Fatty acid biomarkers; Carrion; Scavenging</t>
  </si>
  <si>
    <t>FATTY-ACID-COMPOSITION; DEEP-SEA FISHES; SQUID MOROTEUTHIS-INGENS; LONG-TERM CHANGE; CORYPHAENOIDES-ACROLEPIS; STOMACH CONTENTS; DEMERSAL FISHES; STABLE-ISOTOPE; FOOD; OCEAN</t>
  </si>
  <si>
    <t>The lipid compositions of 2 abyssal macrourids, Coryphaenoides armatus and C. yaquinae, from the eastern North Pacific were examined and used to infer diet. The resulting fatty acid (FA) profiles are the first published for C. yaquinae and among the first for abyssal fishes, They indicated a greater proportion of polyunsaturated FAs and lower monounsaturated FAs than shallower living congeners, suggestive of homeoviscous adaptations to great pressure. Cholesterol was the predominant sterol, which is frequently the case for exclusively carnivorous species. Comparisons of macrourid FA profiles were made to those of benthic prey and epipelagic carrion sources, including the Humboldt squid Dosidicus gigas captured in surface waters of the abyssal study site. The FA profiles of macrourid muscle were very similar to those of squid mantle muscle. The FA profiles of macrourid liver and swim-bladder were similar to benthic crustaceans, whole squid, squid digestive gland and the epipelagic fish Trachurus symmetricus. For both tissues, the FA profiles of echinoderms were the most different. These comparisons suggest a strong link to carrion and benthic crustaceans and a weak one to echinoderms, the dominant megafauna at the study site and in most of the abyssal ocean. These results support previous stomach content and stable isotope analyses, reinforcing the hypothesis that there are closer food web ties between abyssal fishes and epipelagic nekton than to many abyssal benthic groups.</t>
  </si>
  <si>
    <t>[Drazen, Jeffrey C.] Univ Hawaii, Dept Oceanog, Honolulu, HI 96822 USA; [Phleger, Charles F.; Nichols, Peter D.] CSIRO, Hobart, Tas 7000, Australia; [Phleger, Charles F.; Nichols, Peter D.] Antarctic &amp; Climate Ecosyst CRC, Hobart, Tas 7001, Australia; [Guest, Michaela A.] Tasmanian Aquaculture &amp; Fisheries Inst, Nubeena Crescent, Tas 7053, Australia</t>
  </si>
  <si>
    <t>University of Hawaii System; Commonwealth Scientific &amp; Industrial Research Organisation (CSIRO); University of Tasmania; University of Tasmania</t>
  </si>
  <si>
    <t>Drazen, JC (corresponding author), Univ Hawaii, Dept Oceanog, 1000 Pope Rd, Honolulu, HI 96822 USA.</t>
  </si>
  <si>
    <t>jdrazen@hawaii.edu</t>
  </si>
  <si>
    <t>Nichols, Peter D/C-5128-2011; Drazen, Jeffrey/C-1197-2013</t>
  </si>
  <si>
    <t>Drazen, Jeffrey/0000-0001-9613-3833</t>
  </si>
  <si>
    <t>School of Ocean and Earth Science and Technology, University of Hawaii</t>
  </si>
  <si>
    <t>We thank K. L. Smith for the opportunity to participate on cruise Pulse 49 aboard the RV 'Atlantis' to Station M, and the cruise participants for their assistance with sample collection and processing. D. Holdsworth managed the CSIRO GC-MS facility. This research was supported by funding from the School of Ocean and Earth Science and Technology, University of Hawaii to J.C.D.</t>
  </si>
  <si>
    <t>10.3354/meps08106</t>
  </si>
  <si>
    <t>489FM</t>
  </si>
  <si>
    <t>WOS:000269405500001</t>
  </si>
  <si>
    <t>Webb, KE; Barnes, DKA; Gray, JS</t>
  </si>
  <si>
    <t>Webb, Karen E.; Barnes, David K. A.; Gray, John S.</t>
  </si>
  <si>
    <t>Benthic ecology of pockmarks in the Inner Oslofjord, Norway</t>
  </si>
  <si>
    <t>Benthic community; Pockmarks; Oslofjord; Environmental factors</t>
  </si>
  <si>
    <t>CONTINENTAL-MARGIN; GIANT POCKMARK; NORTH-SEA; SEDIMENTS; FLOOR; COMMUNITIES; FEATURES; SHELF; BAY; BIODIVERSITY</t>
  </si>
  <si>
    <t>Despite pockmarks being one of the most widespread small-scale topographic features of the seabed, almost nothing is known of their influence on fauna. Here we present the first ecological study of fjordic pockmarks, focusing on the contrast between macrofauna inside and outside of these craters. We report an analysis of macrofauna from 27 pockmarks of the Inner Oslofjord, Norway. Five replicate grab samples were collected from each of 3 pockmarks at 3 sites plus a further control (non-pockmark) sample at each site. A single grab sample was collected from an additional 3 pockmarks at 6 sites and 6 control locations. We compared macrofaunal assemblages inside and outside of pockmarks and found important but subtle differences to those on non-pockmarked substrata. The fauna of pockmarks were typical of a disturbed fjord environment with a dominance of small opportunistic taxa, such as pioneer bivalves and polychaetes. The position of sites in the fjord gradient drove the most obvious faunal differences, but contrary to expectations, we could find no influence of pockmarks on the composition of the fauna at any taxonomic level. This makes them very unusual amongst marine topographic features, which usually have considerable influence on the nature of benthic communities. However, we found that pockmarks do significantly alter the abundances of key species and, as such, we suggest that the presence of pockmarks in the Oslofjord has a considerable cumulative influence on densities and populations of benthic organisms.</t>
  </si>
  <si>
    <t>[Webb, Karen E.; Gray, John S.] Univ Oslo, Inst Biol, N-0316 Oslo, Norway; [Barnes, David K. A.] British Antarctic Survey, Nat Environm Res Council, Cambridge CB3 0ET, England</t>
  </si>
  <si>
    <t>University of Oslo; UK Research &amp; Innovation (UKRI); Natural Environment Research Council (NERC); NERC British Antarctic Survey</t>
  </si>
  <si>
    <t>Webb, KE (corresponding author), Univ Oslo, Inst Biol, POB 1048 Blindern, N-0316 Oslo, Norway.</t>
  </si>
  <si>
    <t>k.e.webb@bio.uio.no</t>
  </si>
  <si>
    <t>Webb, Karen/A-5977-2010</t>
  </si>
  <si>
    <t>Norwegian Research Council; NERC [bas010015] Funding Source: UKRI; Natural Environment Research Council [bas010015]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</si>
  <si>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</si>
  <si>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We thank the captain and crew of the RV 'Trygve Braarud' and John Gray's Marine Biodiversity Group for their support with sampling, R. Amundsen and M. Naoroz for their assistance with the sediment analysis, J. Indrehus for her help with the identification of crustaceans and P. Rothery for statistical advice. We are grateful to NGU for use of the bathymetry data. Thanks to 0. Hammer and K. Hylland for their guidance and comments on this manuscript. We thank 3 reviewers for their helpful comments. This study was supported by the Norwegian Research Council.</t>
  </si>
  <si>
    <t>10.3354/meps08079</t>
  </si>
  <si>
    <t>WOS:000269405500002</t>
  </si>
  <si>
    <t>Papadimitriou, S; Thomas, DN; Kennedy, H; Kuosa, H; Dieckmann, GS</t>
  </si>
  <si>
    <t>Papadimitriou, S.; Thomas, D. N.; Kennedy, H.; Kuosa, H.; Dieckmann, G. S.</t>
  </si>
  <si>
    <t>Inorganic carbon removal and isotopic enrichment in Antarctic sea ice gap layers during early austral summer</t>
  </si>
  <si>
    <t>Antarctica; Sea ice; Gap layers; Biogeochemistry; Nutrients; Particulate organic matter; Carbon isotopic composition</t>
  </si>
  <si>
    <t>PARTICULATE ORGANIC-MATTER; WESTERN WEDDELL SEA; PACK-ICE; ROSS SEA; SOUTHERN-OCEAN; MICROBIAL COMMUNITIES; CHLOROPHYLL-A; PLATELET ICE; PHYTOPLANKTON; NITROGEN</t>
  </si>
  <si>
    <t>The biogeochemical composition of 2 spatially separate surface gap layers on a single Antarctic sea ice floe during early austral summer was predominantly controlled by the growth of diatoms and, especially, Phaeocystis. These algal communities in and near the gap layers imposed large geochemical changes in the chemical and isotopic composition of the gap waters, typical of intense autotrophic activity. These included a large deficit in all major dissolved inorganic nutrients (dissolved inorganic carbon [C-T], nitrate, soluble reactive phosphorus, silicic acid), O-2 accumulation above air saturation, large pH shifts into the alkaline spectrum, and a large, closely coupled C-13 enrichment of the CT pool and the accumulated particulate organic carbon, in all cases relative to the composition of surface oceanic water. The amount of inorganic carbon removed from the gap water exceeded that which can be predicted from the deficits of dissolved inorganic nitrogen or phosphorus and the elemental composition of the biogenic matter suspended in it or the mean elemental composition of oceanic phytoplankton. This stoichiometric deviation suggests either (1) the operation of the inorganic carbon overconsumption mechanism via the biological production of particular classes of intra- or extracellular carbon rich compounds, or (2) substantial utilisation of ammonium and urea as autotrophic nitrogen sources in addition to nitrate, or (3) both.</t>
  </si>
  <si>
    <t>[Papadimitriou, S.; Thomas, D. N.; Kennedy, H.] Bangor Univ, Coll Nat Sci, Menai Bridge LL59 5AB, Anglesey, Wales; [Kuosa, H.] Univ Helsinki, Tvarminne Zool Stn, Hango 109100, Finland; [Dieckmann, G. S.] Alfred Wegener Inst Polar &amp; Marine Res, D-27570 Bremerhaven, Germany</t>
  </si>
  <si>
    <t>Bangor University; University of Helsinki; Helmholtz Association; Alfred Wegener Institute, Helmholtz Centre for Polar &amp; Marine Research</t>
  </si>
  <si>
    <t>Papadimitriou, S (corresponding author), Bangor Univ, Coll Nat Sci, Menai Bridge LL59 5AB, Anglesey, Wales.</t>
  </si>
  <si>
    <t>s.papadimitriou@bangor.ac.uk</t>
  </si>
  <si>
    <t>Thomas, David Neville/B-1448-2010; Dieckmann, Gerhard S/B-4307-2010; Kennedy, Hilary A/M-5574-2014</t>
  </si>
  <si>
    <t>Thomas, David Neville/0000-0001-8832-5907; Kennedy, Hilary A/0000-0003-2290-2120; Kuosa, Harri/0000-0002-9641-9054; Papadimitriou, Stathys/0000-0001-8540-1169</t>
  </si>
  <si>
    <t>NERC; Leverhulme Trust; Royal Society; Natural Environment Research Council [NER/A/S/2003/00340] Funding Source: researchfish</t>
  </si>
  <si>
    <t>NERC(UK Research &amp; Innovation (UKRI)Natural Environment Research Council (NERC)); Leverhulme Trust(Leverhulme Trust); Royal Society(Royal Society); Natural Environment Research Council(UK Research &amp; Innovation (UKRI)Natural Environment Research Council (NERC))</t>
  </si>
  <si>
    <t>We thank the master and crew of the RV 'Polarstern' for their help in making this sampling possible, as well as colleagues from the ISPOL team who helped in fieldwork activities. Support with preparation for the expedition and subsequent analyses was given by M. Nicolaus, A. Scheltz, A. Batzke, P. Kennedy, L. Norman, H. Betts, E. Allhusen, R. Thomas, P. Dennis, and A. Marca-Bell. We also thank 3 anonymous reviewers for their helpful comments. This project was supported by NERC, The Leverhulme Trust, and The Royal Society.</t>
  </si>
  <si>
    <t>10.3354/meps08049</t>
  </si>
  <si>
    <t>477XO</t>
  </si>
  <si>
    <t>WOS:000268552500002</t>
  </si>
  <si>
    <t>Lee, JE; Chown, SL</t>
  </si>
  <si>
    <t>Lee, J. E.; Chown, S. L.</t>
  </si>
  <si>
    <t>Temporal development of hull-fouling assemblages associated with an Antarctic supply vessel</t>
  </si>
  <si>
    <t>Hull fouling; Invasion; Non-indigenous; Antarctica; Marion Island; Gough Island; Propagule pressure; ROV</t>
  </si>
  <si>
    <t>CRAB CARCINUS-MAENAS; SEA-ICE EXTENT; BIOLOGICAL INVASIONS; SOUTHERN-OCEAN; RESEARCH AGENDA; GREAT-LAKES; MARINE; VARIABILITY; TRANSPORT; SHIPS</t>
  </si>
  <si>
    <t>Introduction of non-native species poses one of the greatest, but least understood threats to marine biodiversity. Whilst considerable research effort has focused on vectors such as ballast water, hull fouling remains poorly understood and there is a notable lack of data concerning the temporal development of fouling communities. Here we use remote video capture techniques to assess the development and change of fouling assemblages on an Antarctic supply vessel over a 2 yr period. Assemblages were dominated by cosmopolitan species, some of which are known to be invasive. We demonstrate that whilst areas surrounded by sea-ice are at low risk of introductions from this pathway, substantial fouling assemblages are routinely transported to sub-Antarctic islands where the thermal conditions may allow their establishment. Extent of fouling assemblages, and thus the threat of invasion, may be reduced by changing the dry docking regime and minimising port layover times and in-water cleaning of submerged hull surfaces.</t>
  </si>
  <si>
    <t>[Lee, J. E.; Chown, S. L.] Univ Stellenbosch, Dept Bot &amp; Zool, Ctr Invas Biol, ZA-7602 Matieland, South Africa</t>
  </si>
  <si>
    <t>Lee, JE (corresponding author), Univ Stellenbosch, Dept Bot &amp; Zool, Ctr Invas Biol, Private Bag X1, ZA-7602 Matieland, South Africa.</t>
  </si>
  <si>
    <t>jlee@sun.ac.za</t>
  </si>
  <si>
    <t>Chown, Steven/ABD-7646-2021; Chown, Steven/H-3347-2011</t>
  </si>
  <si>
    <t>Chown, Steven/0000-0001-6069-5105</t>
  </si>
  <si>
    <t>10.3354/meps08074</t>
  </si>
  <si>
    <t>WOS:000268552500008</t>
  </si>
  <si>
    <t>Shreeve, RS; Collins, MA; Tarling, GA; Main, CE; Ward, P; Johnston, NM</t>
  </si>
  <si>
    <t>Shreeve, R. S.; Collins, M. A.; Tarling, G. A.; Main, C. E.; Ward, P.; Johnston, N. M.</t>
  </si>
  <si>
    <t>Feeding ecology of myctophid fishes in the northern Scotia Sea</t>
  </si>
  <si>
    <t>Southern Ocean; Diet; Predation mortality; Copepods; Euphausiid; Predator; Prey</t>
  </si>
  <si>
    <t>SOUTH-GEORGIA; ANTARCTIC KRILL; ARCTOCEPHALUS-GAZELLA; ABYSSAL DEPTHS; FOOD-WEB; OCEAN; DIET; COMMUNITY; ECOSYSTEM; ISLANDS</t>
  </si>
  <si>
    <t>The diets of 9 species of myctophid fishes, Electrona carlsbergi, E. antarctica, Gymnoscopelus fraseri, G. nicholsi, G. braueri, Protomyctophum bolini, P. choriodon, Krefftichthys anderssoni and Nannobrachium achirus, were investigated during austral autumn in the northern Scotia Sea. Based on the percent index of relative importance (%IRI), the data suggest dietary specialisation in some species, which may permit resource partitioning. Hierarchical agglomerative cluster analysis of Bray-Curtis similarity (60% threshold) separated the myctophid community into distinct feeding guilds. One group (G. braueri and E. antarctica) fed principally on Themisto gaudichaudii, another (P. choriodon and G. fraseri) primarily on copepods (Metridia spp. and Rhincalanus gigas), and a third group (G. nicholsi and F bolini) consumed copepods and euphausids (mostly Metridia spp. and Euphausia frigida). The diets of E. carlsbergi and K anderssoni differed from the other species, with E. carlsbergi being the only species that consumed salps. There was a general switch in diet from copepods to euphausiids and amphipods as the myctophid predator size increased. Dietary specialisation is likely the result of a combination of predator size, gape size, filtering capacity of the gill rakers and the vertical distribution of predators and prey. Antarctic krill were only consumed by the larger myctophids, which represented a numerically minor part of the myctophid community, supporting the concept that myctophids can provide a krill-independent link between secondary production and higher trophic levels. However, the northern Scotia Sea is dominated by adult krill, which are only suitable as prey for larger fish. In the northern Scotia Sea, myctophid predation had a very small impact on copepod production but a higher impact on macrozooplankton, with a best-estimate of 4% of the daily production of Themisto gaudichaudii and 6% of that of Euphausia superba being consumed.</t>
  </si>
  <si>
    <t>[Shreeve, R. S.; Collins, M. A.; Tarling, G. A.; Main, C. E.; Ward, P.; Johnston, N. M.] British Antarctic Survey, NERC, Cambridge CB3 0ET, England</t>
  </si>
  <si>
    <t>Collins, MA (corresponding author), Govt S Georgia &amp; S Sandwich Isl, Govt House, Stanley, Falkland Isl, Peoples R China.</t>
  </si>
  <si>
    <t>macol@bas.ac.uk</t>
  </si>
  <si>
    <t>, Martin/0000-0001-7132-8650; Johnston, Nadine M/0000-0003-2211-1492</t>
  </si>
  <si>
    <t>10.3354/meps08064</t>
  </si>
  <si>
    <t>WOS:000268552500018</t>
  </si>
  <si>
    <t>Peters, KJ; Amsler, CD; McClintock, JB; van Soest, RWM; Baker, BJ</t>
  </si>
  <si>
    <t>Peters, Kevin J.; Amsler, Charles D.; McClintock, James B.; van Soest, Rob W. M.; Baker, Bill J.</t>
  </si>
  <si>
    <t>Palatability and chemical defenses of sponges from the western Antarctic Peninsula</t>
  </si>
  <si>
    <t>Chemical defenses; Sponge; Antarctica; Predation; Optimal defense theory</t>
  </si>
  <si>
    <t>PREDATORY REEF FISH; CARIBBEAN SPONGES; BIOCHEMICAL-COMPOSITION; NUTRITIONAL QUALITY; SUBTIDAL MACROALGAE; ENERGY CONTENT; MCMURDO-SOUND; ECOLOGY; SEA; METABOLITES</t>
  </si>
  <si>
    <t>The present study Surveyed the palatability of all sponge species that could be collected in sufficient quantities in a shallow-water area along the western Antarctic Peninsula. Of 27 species assayed, 78% had outermost tissues that were significantly unpalatable to the sympatric, omnivorous sea star Odontaster validus. Of those species with unpalatable outer tissues, 62% had inner tissues that were also unpalatable to the sea stars. Sea stars have often been considered as the primary predators of sponges in other regions of Antarctica, and their extra-oral mode of feeding threatens only the outermost sponge tissues. The observation that many of the sponges allocate defenses to inner tissues Suggests the possibility that biting predators such as mesograzers, which could access inner sponge layers, may also be important in communities along the Antarctic Peninsula. In feeding bioassays with extracts from 12 of the unpalatable species in artificial foods, either lipophilic or hydrophilic extracts were deterrent in each species. These data indicate an overall level of chemical defenses in these Antarctic sponges that is comparable to, and slightly greater than, that found in a previous survey of tropical species.</t>
  </si>
  <si>
    <t>[Peters, Kevin J.; Amsler, Charles D.; McClintock, James B.] Univ Alabama Birmingham, Dept Biol, Birmingham, AL 35294 USA; [van Soest, Rob W. M.] Univ Amsterdam, Zool Museum, NL-1090 GT Amsterdam, Netherlands; [Baker, Bill J.] Univ S Florida, Dept Chem, Tampa, FL 33620 USA</t>
  </si>
  <si>
    <t>University of Alabama System; University of Alabama Birmingham; University of Amsterdam; State University System of Florida; University of South Florida</t>
  </si>
  <si>
    <t>Peters, KJ (corresponding author), Univ Alabama Birmingham, Dept Biol, 1300 Univ Blvd, Birmingham, AL 35294 USA.</t>
  </si>
  <si>
    <t>kpeters@uab.edu</t>
  </si>
  <si>
    <t>National Science Foundation awards [OPP-0125181, OPP-0125152]</t>
  </si>
  <si>
    <t>National Science Foundation awards(National Science Foundation (NSF))</t>
  </si>
  <si>
    <t>We are grateful to the numerous members of the Antarctic field teams for assistance with collections. This work would not have been possible without logistical support in Antarctica provided by the employees and subcontractors of Raytheon Polar Services Company. This research was facilitated by National Science Foundation awards to C.D.A. and J.B.M. (OPP-0125181) and to B.J.B. (OPP-0125152).</t>
  </si>
  <si>
    <t>10.3354/meps08026</t>
  </si>
  <si>
    <t>471SO</t>
  </si>
  <si>
    <t>WOS:000268078800007</t>
  </si>
  <si>
    <t>Biuw, M; Krafft, BA; Hofmeyr, GJG; Lydersen, C; Kovacs, KM</t>
  </si>
  <si>
    <t>Biuw, Martin; Krafft, Bjorn A.; Hofmeyr, G. J. Greg; Lydersen, Christian; Kovacs, Kit M.</t>
  </si>
  <si>
    <t>Time budgets and at-sea behaviour of lactating female Antarctic fur seals Arctocephalus gazella at Bouvetoya</t>
  </si>
  <si>
    <t>Foraging ecology; Krill predator; Diving; Satellite tracking; TDRs; Otariids; Southern Ocean</t>
  </si>
  <si>
    <t>SOUTHERN ELEPHANT SEALS; EUPHAUSIA-SUPERBA; FORAGING ECOLOGY; BIRD-ISLAND; KRILL; VARIABILITY; PARAMETERS; RESPONSES; PREDATOR</t>
  </si>
  <si>
    <t>We present the first data on attendance patterns, at-sea movements and (living behaviour of Antarctic fur seals breeding at Bouvetoya (Bouvet Island), Southern Ocean, While other colonies have been extensively studied, this remote and second largest global population remains relatively unknown. Time depth recorders and satellite relay data loggers were deployed on breeding females during the 2000-2001 and 2001-2002 Summers. Attendance and foraging patterns were similar to those observed at colonies in the Scotia Sea region where Antarctic krill Euphausia superba is the predominant prey. Early to mid-lactation trips ranged within similar to 100 km of the island, usually towards the west; the dominant direction shifted later in the season and the range also increased markedly to a peak between early February and early March. Solar elevation influenced arrivals and departures from the island, with most departures occurring around sunset. Diurnal variations in diving behaviour were consistent with the vertical migration of krill. Diving frequency was high er at night and diving effort peaked around morning twilight, Afternoon deep diving was common, suggesting that females might target dense daytime krill aggregations between the photic zone and the thermocline. Trip durations increased throughout early to mid-lactation, peaking in late January to early March, before, again decreasing towards the end of lactation. Our results illustrate the substantial variability, both between individuals and within individuals over time, that is likely to reflect variations in prey distribution and in the growth requirements of pups. Such variations need to be taken into account when estimating habitat use and resource utilisation in marine top predators.</t>
  </si>
  <si>
    <t>[Biuw, Martin; Lydersen, Christian; Kovacs, Kit M.] Polar Environm Ctr, Norwegian Polar Inst, N-9296 Tromso, Norway; [Krafft, Bjorn A.] Inst Marine Res, N-5870 Bergen, Norway; [Hofmeyr, G. J. Greg] Univ Pretoria, Dept Zool &amp; Entomol, Mammal Res Inst, ZA-0002 Pretoria, South Africa</t>
  </si>
  <si>
    <t>Norwegian Polar Institute; Institute of Marine Research - Norway; University of Pretoria</t>
  </si>
  <si>
    <t>Biuw, M (corresponding author), Polar Environm Ctr, Norwegian Polar Inst, N-9296 Tromso, Norway.</t>
  </si>
  <si>
    <t>martin.biuw@npolar.no</t>
  </si>
  <si>
    <t>Hofmeyr, G. J. Greg/AAV-3286-2020; Biuw, Martin/AAF-9895-2021</t>
  </si>
  <si>
    <t>Hofmeyr, G. J. Greg/0000-0003-0283-6058; Biuw, Martin/0000-0001-8051-3399</t>
  </si>
  <si>
    <t>Norwegian Polar Institute; Norwegian Agency for Development Cooperation (NORAD)</t>
  </si>
  <si>
    <t>Norwegian Polar Institute; Norwegian Agency for Development Cooperation (NORAD)(CGIAR)</t>
  </si>
  <si>
    <t>This study was carried out ss part of the 2000-2001 and 2001-2002 Norwegian Antarctic Research Expeditions (NARE) financed by the Norwegian Polar Institute and the Norwegian Agency for Development Cooperation (NORAD). Additional logistic support was kindly provided by the South Africa National Antarctic Program (SANAP) and the Alfred Wegener Institute for Polar and Marine Research (AWI). We thank the captains and crews of the RV 'Polarstern', the RV 'Lance' and the SA 'Agulhas' for transportation to and from the island, and the personnel of the Canadian Helicopter Company Ltd. and Court Helicopters Ltd. for cargo and personnel transfer between the ships and the island. We also thank B, Harck, L, Krag, D. Keith, C. Brady and B, Flascas for valuable assistance in the field.</t>
  </si>
  <si>
    <t>10.3354/meps08025</t>
  </si>
  <si>
    <t>WOS:000268078800023</t>
  </si>
  <si>
    <t>Ichinomiya, M; Nakamachi, M; Honda, M; Fukuchi, M; Taniguchi, A</t>
  </si>
  <si>
    <t>Ichinomiya, Mutsuo; Nakamachi, Miwa; Honda, Masaki; Fukuchi, Mitsuo; Taniguchi, Akira</t>
  </si>
  <si>
    <t>Role of heterotrophic dinoflagellates in the fate of diatoms released from fast ice in coastal water of Lutzow-Holm Bay, East Antarctica</t>
  </si>
  <si>
    <t>Heterotrophic dinoflagellates; Diatoms; Ciliates; Fast ice; Antarctica</t>
  </si>
  <si>
    <t>FECAL PELLET PRODUCTION; SEA-ICE; AUSTRAL SUMMER; MICROBIAL COMMUNITIES; PHYTOPLANKTON BLOOMS; SEASONAL-CHANGES; SYOWA STATION; WEDDELL SEA; HUDSON-BAY; DABOB BAY</t>
  </si>
  <si>
    <t>To understand the fate of ice algal diatoms released from fast ice, we investigated the abundance and sinking loss of diatoms and the grazing impact on diatoms by heterotrophic dinoflagellates (HD) under the ice near Syowa Station, Antarctica, during the austral summer of 2005-2006. After a rapid increase, diatoms showed a clear declining phase. Among the diatom assemblage, Porosira pseudodenticulata and Pseudo-nitzschia cf. turgiduloides were abundant in the water column but low in the sinking flux as they are able to maintain their position in the surface layer after release from the fast ice. Potential grazing impact by HD was calculated to reach 233 mg C m(-2) d(-1), equivalent to 48.7% d(-1) of the diatom biomass being removed daily. Only 14.9 to 71.3 mg C m(-2) d(-1) (2.5 to 3.2% d(-1)) was attributable to diatom sinking loss. This suggests that a significant fraction of the diatoms was consumed in the surface layer and the sinking loss was comparatively small. HD often had ingested diatoms in their cells, although ciliates rarely did, and the abundance of HD fecal pellets peaked after the diatom peak. In bottle incubations at in situ temperature, the growth rates of HD ranged from 0 to 0.19 d(-1) ,indicating almost positive growth of HD in the water column. This demonstrates that HD are major consumers of the diatoms released from the fast ice, forming a dominant trophic link between diatoms and HD in the Antarctic under-ice ecosystem.</t>
  </si>
  <si>
    <t>[Ichinomiya, Mutsuo; Nakamachi, Miwa] Tohoku Natl Fisheries Res Inst, Shiogama, Miyagi 9850001, Japan; [Honda, Masaki] Cent Res Inst Elect Power Ind, Chiba 2701194, Japan; [Fukuchi, Mitsuo] Natl Inst Polar Res, Tokyo 1738515, Japan; [Taniguchi, Akira] Tokyo Univ Agr, Abashiri, Hokkaido 0992493, Japan</t>
  </si>
  <si>
    <t>Japan Fisheries Research &amp; Education Agency (FRA); Central Research Institute of Electric Power Industry - Japan; Research Organization of Information &amp; Systems (ROIS); National Institute of Polar Research (NIPR) - Japan; Tokyo University of Agriculture</t>
  </si>
  <si>
    <t>Ichinomiya, M (corresponding author), Tohoku Natl Fisheries Res Inst, Shinhamacho 3-27-5, Shiogama, Miyagi 9850001, Japan.</t>
  </si>
  <si>
    <t>mutsuo@affrc.go.jp</t>
  </si>
  <si>
    <t>10.3354/meps07966</t>
  </si>
  <si>
    <t>455KA</t>
  </si>
  <si>
    <t>WOS:000266756800003</t>
  </si>
  <si>
    <t>Maloy, AP; Culloty, SC; Slater, JW</t>
  </si>
  <si>
    <t>Maloy, Aaron P.; Culloty, Sarah C.; Slater, John W.</t>
  </si>
  <si>
    <t>Use of PCR-DGGE to investigate the trophic ecology of marine suspension feeding bivalves</t>
  </si>
  <si>
    <t>DGGE; Bivalve; Trophic interaction; Suspension feeding; Dietary biomarker</t>
  </si>
  <si>
    <t>GRADIENT GEL-ELECTROPHORESIS; MYTILUS-EDULIS; CREPIDULA-FORNICATA; CULTIVATED OYSTERS; GENETIC DIVERSITY; CRASSOSTREA-GIGAS; ANTARCTIC KRILL; FOOD SOURCE; ASSEMBLAGES; POPULATIONS</t>
  </si>
  <si>
    <t>Polymerase chain reaction denaturing gradient gel electrophoresis (PCR-DGGE) approaches have previously been used to characterize marine plankton communities, but have rarely been used to investigate the trophic ecology of marine organisms. Here we use PCR-DGGE to obtain complex dietary profiles (often &gt;20 bands) of eukaryotic organisms ingested by various species of bivalves. Sequence-based identification of individual phylotypes revealed ingestion of diatoms, dinoflagellates and other groups of organisms consistent with their known feeding ecology. Simultaneously profiling the seawater (plankton) allowed direct comparison to the dietary profiles. In Mytilus edulis, 50% of the detected plankton community was observed in the dietary profiles. Conversely, 34% of the phylotypes detected in the dietary profiles were not observed in seawater samples. Similarity-based cluster analysis of the dietary profiles from 6 sympatric species (4 epifaunal, 2 infaunal) of bivalves revealed a distinct, species-specific clustering pattern in 5 species, indicating a partial division of food based resources. Interestingly, both infaunal species investigated had dietary profiles that clustered not only at the species-specific level, but also as a distinct infaunal group. Trophic overlap was also present as evidenced by multiple shared phylotypes across all species. Mimachlamys varia did not group in a species-specific manner, suggesting a more generalist feeding strategy. Together, these results demonstrate the utility of a PCR-DGGE approach to study the feeding ecology of marine bivalves. This method offers a fast and accurate way to investigate the trophic interactions of marine bivalves (and presumably other invertebrates) across both large spatial and temporal scales.</t>
  </si>
  <si>
    <t>[Maloy, Aaron P.; Culloty, Sarah C.] Univ Coll Cork, Dept Zool Ecol &amp; Plant Sci, Cork, Ireland; [Maloy, Aaron P.; Slater, John W.] Letterkenny Inst Technol, CAMBio, Letterkenny, County Donegal, Ireland</t>
  </si>
  <si>
    <t>University College Cork; Atlantic Technological University (ATU)</t>
  </si>
  <si>
    <t>Maloy, AP (corresponding author), Univ Coll Cork, Dept Zool Ecol &amp; Plant Sci, Cork, Ireland.</t>
  </si>
  <si>
    <t>aaron.maloy@lyit.ie</t>
  </si>
  <si>
    <t>Nerot, Caroline/C-6952-2009</t>
  </si>
  <si>
    <t>Higher Education Authority of Ireland Strand III</t>
  </si>
  <si>
    <t>We thank S. Gallagher and B. Carney for their expert field assistance and for reading early drafts of the manuscript, and the staff of CAMBio for their assistance and laboratory support. This work was supported by a Higher Education Authority of Ireland Strand III grant awarded to J. W. S.</t>
  </si>
  <si>
    <t>10.3354/meps07959</t>
  </si>
  <si>
    <t>446VQ</t>
  </si>
  <si>
    <t>WOS:000266150000009</t>
  </si>
  <si>
    <t>Montes-Hugo, MA; Ducklow, H; Schoffeld, OM</t>
  </si>
  <si>
    <t>Montes-Hugo, Martin A.; Ducklow, Hugh; Schoffeld, Oscar M.</t>
  </si>
  <si>
    <t>Contribution by different marine bacterial communities to particulate beam attenuation</t>
  </si>
  <si>
    <t>Heterotrophic marine bacteria; Particulate beam attenuation coefficient; Light scattering; Mie theory; Polar environments</t>
  </si>
  <si>
    <t>INHERENT OPTICAL-PROPERTIES; LIGHT-SCATTERING; EQUATORIAL PACIFIC; CHLOROPHYLL CONCENTRATION; ANTARCTIC PENINSULA; REFRACTIVE-INDEX; OCEANIC WATERS; ORGANIC-CARBON; SOUTHERN-OCEAN; PHYTOPLANKTON</t>
  </si>
  <si>
    <t>Contribution of heterotrophic marine bacteria (HB) to the particulate beam attenuation coefficient (c(p)) was estimated as a function of latitude in diverse marine regions. Calculations were based on Surface measurements (0 to 20 in depth) of bacterial abundance and biovolume, physio-optical empirical relationships, and light. scattering models. Relative contribution of spherical HB to c(p) (c(HB)/c(p)) was commonly below 10%, and slightly increased (similar to 3%) when bacterial shape was assumed to be cylindrical. HB accounted for a larger fraction of c(p) magnitude at lower latitudes because of the greater abundance of bacteria. FIB explained about a third of c(p) spatial variability in Antarctic (Antarctic Polar Front, Ross Sea) and non-polar (equatorial Pacific Ocean, Arabian Sea) oceanic regions.</t>
  </si>
  <si>
    <t>[Montes-Hugo, Martin A.; Schoffeld, Oscar M.] Rutgers State Univ, Inst Marine &amp; Coastal Sci, New Brunswick, NJ 08901 USA; [Ducklow, Hugh] Marine Biol Lab, Ctr Ecosyst, Woods Hole, MA 02543 USA</t>
  </si>
  <si>
    <t>Rutgers University System; Rutgers University New Brunswick; Marine Biological Laboratory - Woods Hole</t>
  </si>
  <si>
    <t>Montes-Hugo, MA (corresponding author), Rutgers State Univ, Inst Marine &amp; Coastal Sci, New Brunswick, NJ 08901 USA.</t>
  </si>
  <si>
    <t>Schofield, Oscar/H-4169-2018</t>
  </si>
  <si>
    <t>Schofield, Oscar/0000-0003-2359-4131</t>
  </si>
  <si>
    <t>NSF [OPP-02-17282]</t>
  </si>
  <si>
    <t>We appreciate the suggestions from E. Boss and 2 anonymous reviewers that helped to improve the ideas developed ill the present work. This study was part of the Palmer-LTER (Long-Term Ecological Research) on the western shelf of the Antarctic Peninsula, funded by NSF grant OPP-02-17282.</t>
  </si>
  <si>
    <t>10.3354/meps07883</t>
  </si>
  <si>
    <t>439KE</t>
  </si>
  <si>
    <t>WOS:000265625200002</t>
  </si>
  <si>
    <t>Hilário, A; Vilar, S; Cunha, MR; Tyler, P</t>
  </si>
  <si>
    <t>Hilario, Ana; Vilar, Sara; Cunha, Marina R.; Tyler, Paul</t>
  </si>
  <si>
    <t>Reproductive aspects of two bythograeid crab species from hydrothermal vents in the Pacific-Antarctic Ridge</t>
  </si>
  <si>
    <t>Bythograeid crab; Gonad development; Hydrothermal vent; Pacific-Antarctic Ridge</t>
  </si>
  <si>
    <t>GENUS BYTHOGRAEA; CRUSTACEA; DECAPODA; BIOGEOGRAPHY; THERMYDRON; BIOLOGY</t>
  </si>
  <si>
    <t>Bythograea laubieri, B. vrijenhoeki and alvinellid polychaetes dominate the vent fauna of the Pacific-Antarctic Ridge. We studied gonadal development in females of both crabs. They have ovary microstructures characteristic of brachyuran decapods. The ovaries are paired organs overlying the hepatopancreas beneath the carapace. Oogonia proliferate from the germinal epithelium and develop into previtellogenic oocytes that grow to 60 mu m before undergoing vitellogenesis. The observed maximum sizes of mature oocytes were 209 mu m in B. laubieri and 138 mu m in B. vrijenhoeki. No ovigerous females were found in the samples, which agrees with the segregation behaviour of ovigerous females away from the direct influence of the active chimney in some related species. In contrast to other species of bythograeid crabs, the oocyte size-frequency data suggest that B. laubieri and B, vrijenhoeki lack synchrony in reproduction of the population as a whole. Synchrony and seasonality in reproduction of B. thermydron have been linked to the formation of phytoplankton blooms in surface waters. We suggest that the biogeography of bythograeid crabs is determined by contrasting oceanographic regimes that influence the reproductive patterns observed in different species.</t>
  </si>
  <si>
    <t>[Hilario, Ana; Cunha, Marina R.] Univ Aveiro, Dept Biol, CESAM, P-3810193 Aveiro, Portugal; [Hilario, Ana; Tyler, Paul] Univ Southampton, Natl Oceanog Ctr, Southampton SO14 3ZH, Hants, England</t>
  </si>
  <si>
    <t>Universidade de Aveiro; University of Southampton; NERC National Oceanography Centre</t>
  </si>
  <si>
    <t>Hilário, A (corresponding author), Univ Aveiro, Dept Biol, CESAM, Campus Univ Santiago, P-3810193 Aveiro, Portugal.</t>
  </si>
  <si>
    <t>ahilario@ua.pt</t>
  </si>
  <si>
    <t>Hilario, Ana/C-1260-2008; Cunha, Marina R./B-7644-2008; Vilar, Sara/AAY-5722-2021</t>
  </si>
  <si>
    <t>Hilario, Ana/0000-0001-8287-1528; Cunha, Marina R./0000-0001-8833-6980; Vilar, Sara/0000-0001-9559-2309</t>
  </si>
  <si>
    <t>FCT [SFRH/BPD/22383/2005]; Fundação para a Ciência e a Tecnologia [SFRH/BPD/22383/2005] Funding Source: FCT</t>
  </si>
  <si>
    <t>FCT(Fundacao para a Ciencia e a Tecnologia (FCT)); Fundação para a Ciência e a Tecnologia(Fundacao para a Ciencia e a Tecnologia (FCT))</t>
  </si>
  <si>
    <t>We thank the co-chief scientists of the PAR5 cruise R. Vrijenhoek and C. Van Dover for the invitation to participate in the cruise, as well as the captain and crew of the RV 'Atlantis' and deep-submersible 'Alvin' for assistance in collecting specimens. We also thank M. Segonzac for collecting the specimens and for the species identification. A.H. was supported by a FCT grant (SFRH/BPD/22383/2005) that is gratefully acknowledged.</t>
  </si>
  <si>
    <t>10.3354/meps07858</t>
  </si>
  <si>
    <t>429YF</t>
  </si>
  <si>
    <t>WOS:000264955300015</t>
  </si>
  <si>
    <t>Schaffler, JJ; Reiss, CS; Jones, CM</t>
  </si>
  <si>
    <t>Schaffler, Jason J.; Reiss, Christian S.; Jones, Cynthia M.</t>
  </si>
  <si>
    <t>Patterns of larval Atlantic croaker ingress into Chesapeake Bay, USA</t>
  </si>
  <si>
    <t>Larval ingress; Atlantic croaker; Chesapeake Bay; Depth; Daily age</t>
  </si>
  <si>
    <t>TIDAL-STREAM TRANSPORT; CONTINENTAL-SHELF WATERS; NORTH-CAROLINA; FISH LARVAE; MICROPOGONIAS-UNDULATUS; LEIOSTOMUS-XANTHURUS; VERTICAL MIGRATIONS; BEAUFORT INLET; GROWTH; ABUNDANCE</t>
  </si>
  <si>
    <t>We compared ingress patterns of Atlantic croaker Micropogonias undulatus larvae into Chesapeake Bay, USA, with published ingress patterns through barrier island inlets, the accepted model for larval fish ingress. This model asserts that larvae ingress on night flood tides at the flood-dominated side of the inlet and at all depths. At the Chesapeake Bay mouth and in the adjacent coastal waters, we compared the distribution of abundance, size, age, and growth rates of croaker prior to ingress. In contrast to the barrier island inlet model, croaker larvae were more abundant at depth than closer to the surface regardless of location. However, the response to light was variable, where croaker larvae farther offshore showed no response to light, but croaker larvae in the bay mouth were more abundant at night. Croaker larvae followed an expected pattern of increasing age and length from offshore stations to the bay mouth station. Further, among nearshore coastal stations there was evidence of larger and older croaker larvae at the northern portion of the bay mouth than at middle or southern stations. Patterns in growth were similar at all locations, indicating the likelihood of a single source location or similar environments among transport pathways for croaker larvae. Ingress can occur across the entire mouth of Chesapeake Bay; however, net tidal inflow may result in age and size structuring, which allows more rapid movement into the northern flood-dominated portions of the bay mouth.</t>
  </si>
  <si>
    <t>[Schaffler, Jason J.; Jones, Cynthia M.] Old Dominion Univ, Ctr Quantitat Fisheries Ecol, Norfolk, VA 23529 USA; [Reiss, Christian S.] NOAA, Antarctic Res Div, SWFSC, La Jolla, CA 92037 USA</t>
  </si>
  <si>
    <t>Old Dominion University; National Oceanic Atmospheric Admin (NOAA) - USA</t>
  </si>
  <si>
    <t>Schaffler, JJ (corresponding author), Old Dominion Univ, Ctr Quantitat Fisheries Ecol, 800 W 46th St, Norfolk, VA 23529 USA.</t>
  </si>
  <si>
    <t>jschaffl@odu.edu</t>
  </si>
  <si>
    <t>National Science Foundation [OCE-0525964, OCE-9876565]</t>
  </si>
  <si>
    <t>We thank J. Hare for participating in planning for and collecting the samples that went into this work. Additional thanks go to S. Turner for assistance in extraction and preparation of otoliths for age and growth analysis, D. N. Naik for statistical advice, and 4 anonymous reviewers whose comments improved the quality of this manuscript. Funding for this work was provided by a grant from the National Science Foundation (OCE-0525964 and OCE-9876565) to C.M.J.</t>
  </si>
  <si>
    <t>10.3354/meps07861</t>
  </si>
  <si>
    <t>WOS:000264955300018</t>
  </si>
  <si>
    <t>Cox, MJ; Demer, DA; Warren, JD; Cutter, GR; Brierley, AS</t>
  </si>
  <si>
    <t>Cox, Martin J.; Demer, David A.; Warren, Joseph D.; Cutter, George R.; Brierley, Andrew S.</t>
  </si>
  <si>
    <t>Multibeam echosounder observations reveal interactions between Antarctic krill and air-breathing predators</t>
  </si>
  <si>
    <t>Antarctic krill; Euphausia superba; Predator-prey interactions; Multibeam echosounder; Swarm morphology; Livingston Island</t>
  </si>
  <si>
    <t>SOUTH SHETLAND ISLANDS; EUPHAUSIA-SUPERBA; MEGANYCTIPHANES-NORVEGICA; VERTICAL MIGRATION; TARGET-STRENGTH; BEHAVIOR; MODEL; PREY; FISHERIES; BIOMASS</t>
  </si>
  <si>
    <t>A multibeam echosounder (MBE) was deployed on an inflatable boat (length = 5.5 m) to observe swarms of Antarctic krill Euphausia superba in the nearshore environment off Livingston Island, South Shetland Islands, Antarctica. Visual observations of air-breathing predators, including penguins and fur seals, were made from the boat at the same time. MBEs extend the 2-dimensional acoustic observations that can be made with conventional vertical echosounders to 3 dimensions, enabling direct observation of the surface areas and volumes of entire krill swarms. Krill swarms exhibited a wide range of various size metrics (e.g. height, length and width) but only a narrow range of surf ace-area-to-volume ratios or 'roughnesses', suggesting that krill adopt a consistent group behavior to maintain swarm shape. The variation in R was investigated using generalized additive models (GAMs). GAMs indicated that the presence of air-breathing predators influenced swarm shape (R decreased as the range to predators decreased, and the swarms became more spherical), as did swarm nearest-neighbor distance (R decreased with increasing distance) and swarm position in the water column (R decreased in the upper 70% of the water column). Therefore, swarm shape appears to be influenced by a combination of behavioral responses to predator presence and environmental variables. MBEs have the potential to contribute much to studies of krill, and can provide data to improve our understanding of the behavior of krill in situ.</t>
  </si>
  <si>
    <t>[Cox, Martin J.; Brierley, Andrew S.] Univ St Andrews, Pelag Ecol Res Grp, Gatty Marine Lab, St Andrews KY16 8LB, Fife, Scotland; [Demer, David A.; Cutter, George R.] SW Fisheries Sci Ctr, Adv Survey Technol Program, La Jolla, CA 92037 USA; [Warren, Joseph D.] SUNY Stony Brook, Sch Marine &amp; Atmospher Sci, Southampton, NY 11968 USA</t>
  </si>
  <si>
    <t>University of St Andrews; National Oceanic Atmospheric Admin (NOAA) - USA; State University of New York (SUNY) System; State University of New York (SUNY) Stony Brook</t>
  </si>
  <si>
    <t>Cox, MJ (corresponding author), Univ St Andrews, Pelag Ecol Res Grp, Gatty Marine Lab, St Andrews KY16 8LB, Fife, Scotland.</t>
  </si>
  <si>
    <t>mjc16@st-and.ac.uk</t>
  </si>
  <si>
    <t>Warren, Joseph/Y-4078-2019; , David/ABC-8990-2022; Brierley, Andrew/G-8019-2011</t>
  </si>
  <si>
    <t>, David/0000-0001-5083-8854; Brierley, Andrew/0000-0002-6438-6892</t>
  </si>
  <si>
    <t>NSF [06-OPP-33939]</t>
  </si>
  <si>
    <t>We thank the Royal Society for funds enabling deployment of the MBE; Simrad USA, particularly Jeff Condiotty, for the loan of the SM20, and D. Needham and M. Patterson of Sea Technology Services for designing and constructing the transducer mount. We are grateful to the United States Antarctic Marine Living Resources Program; the Master, officers and crew of the RV 'Yuzhmorgeologiya', and the personnel at the Cape Shirreff field station for logistical, equipment and ship support. M.J.C. was supported by a NERC PhD studentship. This work was carried out in association with an NSF-funded (grant #06-OPP-33939) investigation of the Livingston Island nearshore environment. We thank A. Jenkins, T. S. Sessions and M. van den Berg for skippering the nearshore boats, and T. S. Sessions for providing invaluable expertise in the field.</t>
  </si>
  <si>
    <t>10.3354/meps07795</t>
  </si>
  <si>
    <t>WOS:000264955300019</t>
  </si>
  <si>
    <t>Reiss, CS; Hewes, CD; Holm-Hansen, O</t>
  </si>
  <si>
    <t>Reiss, Christian S.; Hewes, Christopher D.; Holm-Hansen, Osmund</t>
  </si>
  <si>
    <t>Influence of atmospheric teleconnections and Upper Circumpolar Deep Water on phytoplankton biomass around Elephant Island, Antarctica</t>
  </si>
  <si>
    <t>Climate change; Upper Circumpolar Deep Water; Antarctic; South Shetland Islands; Phytoplankton; El Nino; ENSO; SOI; Sea ice</t>
  </si>
  <si>
    <t>WEDDELL-SCOTIA CONFLUENCE; UPPER-OCEAN VARIABILITY; SEA-ICE EXTENT; SOUTHERN-OCEAN; CONTINENTAL-SHELF; CLIMATE-CHANGE; DRAKE PASSAGE; PENINSULA; PRODUCTIVITY; CHLOROPHYLL</t>
  </si>
  <si>
    <t>Using 18 years of hydrographic data collected during austral summer from 1990 to 2007, we examined the association between atmospheric teleconnections, seasonal mean water column properties and phytoplankton biomass around Elephant Island (EI), Antarctica. We developed an index of the extent of Upper Circumpolar Deep Water (UCDW) in the El region, defined as the mean temperature at the 27.6 kg m(-3) (sigma(t)) isopycnal. We found a positive correlation (r = 0.60; p &lt; 0.001) between this index of UCDW extent and the magnitude of the seasonal Southern Oscillation Index (SOI). No linear secular trend was observed in temperature at the 27.6 sigma(t) isopycnal, but significant interannual patterns of variability were observed and polynomial regression suggested that potential long-term decadal (or longer) scale variability was captured. Mean Upper Mixed Layer (UML) chlorophyll a (chl a) concentration was not correlated with this UCDW index, but was positively correlated with the strength of the SOL Mean integrated chl a biomass of the UML was positively correlated (r = 0.88; p &lt; 0.001) with the mean UML chl a concentration. Stepwise regression showed that variability in mean UML chl a concentration over the 18-yr time series was more strongly correlated with UML temperature than UML depth. Although the correlations were weak, these results suggest that the deepening of the UML during El Nino conditions was likely the result of colder temperatures within the UML that limited bloom conditions over this 18-yr time series, with the opposite pattern during La Nina.</t>
  </si>
  <si>
    <t>[Reiss, Christian S.] NOAA Fisheries, SW Fisheries Sci Ctr, Antarctic Ecosyst Res Div, La Jolla, CA 92037 USA; [Hewes, Christopher D.; Holm-Hansen, Osmund] Univ Calif San Diego, Scripps Inst Oceanog, Polar Res Program, La Jolla, CA 92093 USA</t>
  </si>
  <si>
    <t>National Oceanic Atmospheric Admin (NOAA) - USA; University of California System; University of California San Diego; Scripps Institution of Oceanography</t>
  </si>
  <si>
    <t>Reiss, CS (corresponding author), NOAA Fisheries, SW Fisheries Sci Ctr, Antarctic Ecosyst Res Div, La Jolla, CA 92037 USA.</t>
  </si>
  <si>
    <t>christian.reiss@noaa.gov</t>
  </si>
  <si>
    <t>US AMLR program; National Oceanic and Atmospheric Administration; U.S. Department of Commerce [NA17RJ1231]</t>
  </si>
  <si>
    <t>US AMLR program; National Oceanic and Atmospheric Administration(National Oceanic Atmospheric Admin (NOAA) - USA); U.S. Department of Commerce</t>
  </si>
  <si>
    <t>This work was supported by the US AMLR program, administered by the Antarctic Ecosystem Research Division at NOAA's Southwest Fisheries Research Center, La Jolla, California, funded in part by the National Oceanic and Atmospheric Administration, U.S. Department of Commerce under a series of continuing grants to O.H.-H., most recently NA17RJ1231. We thank all the researchers who helped collect these data over the last 18 yr. We thank V. Loeb and S. McClatchie who provided helpful comments on different versions of this manuscript.</t>
  </si>
  <si>
    <t>10.3354/meps07840</t>
  </si>
  <si>
    <t>424HH</t>
  </si>
  <si>
    <t>WOS:000264557300006</t>
  </si>
  <si>
    <t>Papetti, C; Susana, E; Patarnello, T; Zane, L</t>
  </si>
  <si>
    <t>Papetti, Chiara; Susana, Emanuele; Patarnello, Tomaso; Zane, Lorenzo</t>
  </si>
  <si>
    <t>Spatial and temporal boundaries to gene flow between Chaenocephalus aceratus populations at South Orkney and South Shetlands</t>
  </si>
  <si>
    <t>Chaenocephalus aceratus; Icefish; Southern Ocean; Microsatellite; Automatic allele calling; Geographic and temporal differentiation; Gene flow; N-e</t>
  </si>
  <si>
    <t>HERRING CLUPEA-HARENGUS; MAXIMUM-LIKELIHOOD-ESTIMATION; COD GADUS-MORHUA; SCOTIA SEA; CHAMPSOCEPHALUS-GUNNARI; PATAGONIAN TOOTHFISH; MICROSATELLITE LOCI; LARVAL DISPERSAL; MACKEREL ICEFISH; ELEPHANT ISLAND</t>
  </si>
  <si>
    <t>The black-fin icefish Chaenocephalus aceratus is among the most abundant fish species on the Antarctic continental shelves of the Scotia Arc, and Bouvet Island. We genotyped 11 microsatellite loci in C. aceratus population samples from South Orkney, southern South Shetlands, and Elephant Island (northern South Shetlands) collected in 2002 and 2006. This investigation further develops a previous study on the species reporting the presence of one panmittic population in southern South Shetlands and Elephant Island, with genetic differentiation between year classes. Our results reveal a more complex pattern of differentiation than shown previously, as genetic differences occur both at the temporal level at Elephant Island and at the geographic scale between southern South Shetland-Elephant Islands and South Orkney population samples. In particular, the magnitude of genetic differentiation at the temporal scale, the relatively high effective population size (N-e) and high gene flow indicate that genetic differentiation is not only driven by geographic distance. At present, our results should be taken into account when defining conservation measures and management boundaries in regions where fishery is still open or where other Antarctic fish species are still exploited.</t>
  </si>
  <si>
    <t>[Papetti, Chiara; Susana, Emanuele; Patarnello, Tomaso; Zane, Lorenzo] Univ Padua, Dept Biol, I-35121 Padua, Italy; [Susana, Emanuele] Ctr Anal Chim Srl, I-35030 Sarmeola di Rubano, PD, Italy; [Patarnello, Tomaso] Univ Padua, Dept Publ Hlth Comparat Pathol &amp; Vet Hyg, I-35020 Legnaro, PD, Italy</t>
  </si>
  <si>
    <t>University of Padua; University of Padua</t>
  </si>
  <si>
    <t>Zane, L (corresponding author), Univ Padua, Dept Biol, Via G Colombo 3, I-35121 Padua, Italy.</t>
  </si>
  <si>
    <t>lorenz@bio.unipd.it</t>
  </si>
  <si>
    <t>Zane, Lorenzo/G-6249-2010</t>
  </si>
  <si>
    <t>Zane, Lorenzo/0000-0002-6963-2132; Papetti, Chiara/0000-0002-4567-459X; PATARNELLO, Tomaso/0000-0003-1794-5791</t>
  </si>
  <si>
    <t>Italian National Program for Research in Antarctica; Natural Environment Research Council grant [NERC AFI 6/16]</t>
  </si>
  <si>
    <t>Italian National Program for Research in Antarctica(Ministry of Education, Universities and Research (MIUR)); Natural Environment Research Council grant(UK Research &amp; Innovation (UKRI)Natural Environment Research Council (NERC))</t>
  </si>
  <si>
    <t>This work was supported by the Italian National Program for Research in Antarctica (PNRA) (grant to T.P.). We thank K. H. Kock and AWI (Alfred-Wegener-Institute fur Polar- und Meeresforschung) that allowed us to collect the 2002 samples during the ANT-XIX/3 'Polarstern' cruise. We thank J. Rock and T. North for providing us the 2006 samples analyzed in this study and collected during the JR145 cruise of the 'James Clark Ross' (British Antarctic Survey) thanks to a Natural Environment Research Council grant, NERC AFI 6/16, to G. Carvalho, Bangor University, UK. We also thank M. Langgaard Madsen for figures and maps improvement.</t>
  </si>
  <si>
    <t>10.3354/meps07831</t>
  </si>
  <si>
    <t>416IR</t>
  </si>
  <si>
    <t>WOS:000263999900022</t>
  </si>
  <si>
    <t>Boersma, PD; Rebstock, GA</t>
  </si>
  <si>
    <t>Boersma, P. Dee; Rebstock, Ginger A.</t>
  </si>
  <si>
    <t>Foraging distance affects reproductive success in Magellanic penguins</t>
  </si>
  <si>
    <t>Spheniscus magellanicus; Magellanic penguin; Foraging-trip distance; Variability; Reproductive success; Satellite tracking; Argos; Argentina</t>
  </si>
  <si>
    <t>ANTARCTIC FUR SEALS; PROVISIONING BEHAVIOR; TRIP DURATION; MARINE BIRDS; VARIABILITY; CONSERVATION; ATTACHMENT; ECOLOGY; ISLAND; TEMPERATURES</t>
  </si>
  <si>
    <t>Foraging distance affects reproductive success and other demographic parameters in seabirds and pinnipeds. We tracked breeding Magellanic penguins Spheniscus magellanicus at Punta Tombo, Argentina using satellite transmitters from 1996 to 2006 (n=148 males, 57 females) to investigate the variability in foraging distance and its effects on reproductive success. The time a penguin was away from its nest predicted the distance it swam during all stages of the breeding season (p&lt;0.005); this relationship was linear during incubation and nonlinear during chick rearing. During incubation, penguins went 1.0 km farther from the colony for every additional hour they were away from the nest, and the distance penguins traveled predicted the mean colony reproductive success. When chicks were &gt;30 d old, the probability of fledging 2 chicks was highest when penguins went less than 70 km from their nests. Penguins that went between 70 and 180 km from their nests were most likely to raise one chick, and the probability of losing both chicks increased with trip distance. Females and males made trips of similar distance. Foraging-trip distance varied within breeding season (p&lt;0.005). Penguins went farthest during incubation (411 +/- 11.8 km), and stayed closest (61 +/- 3.9 km) when chicks were &lt;30 d old, requiring parents to guard them. When chicks were older, adults traveled 111 +/- 5.0 km. Mean foraging-trip distance varied among years (p&lt;0.005) by factors of 1.5 to 1.8, and trips by an individual penguin varied by a factor of 22.</t>
  </si>
  <si>
    <t>[Boersma, P. Dee; Rebstock, Ginger A.] Univ Washington, Dept Biol, Seattle, WA 98195 USA</t>
  </si>
  <si>
    <t>University of Washington; University of Washington Seattle</t>
  </si>
  <si>
    <t>Boersma, PD (corresponding author), Univ Washington, Dept Biol, Box 351800, Seattle, WA 98195 USA.</t>
  </si>
  <si>
    <t>boersma@u.washington.edu</t>
  </si>
  <si>
    <t>Boersma, Dee/0000-0002-8644-6059</t>
  </si>
  <si>
    <t>ExxonMobil Foundation; Esso Argentina; National Geographic Society; Thorne Foundation; Offield Foundation; Disney Wildlife Conservation Fund; MKCG Foundation; Pew Charitable Trust</t>
  </si>
  <si>
    <t>ExxonMobil Foundation(Exxon Mobil Corporation); Esso Argentina; National Geographic Society(National Geographic Society); Thorne Foundation; Offield Foundation; Disney Wildlife Conservation Fund; MKCG Foundation; Pew Charitable Trust</t>
  </si>
  <si>
    <t>The Wildlife Conservation Society, ExxonMobil Foundation, Esso Argentina, National Geographic Society, Thorne Foundation, Offield Foundation, Disney Wildlife Conservation Fund, MKCG Foundation, The Pew Charitable Trust marine fellows program, Friends of the Penguins and the Wadsworth Endowed Chair in Conservation Science supported the project. The research was carried out under a joint agreement between the Wildlife Conservation Society and the Office of Tourism, Province of Chubut, Argentina. We thank the Province of Chubut and the La Regina family for access to the penguin colony, and the many students and field volunteers who collected data over the years. S. Moore, E. Skewgar, A. Van Buren, and 3 anonymous reviewers improved the manuscript.</t>
  </si>
  <si>
    <t>10.3354/meps07753</t>
  </si>
  <si>
    <t>410WS</t>
  </si>
  <si>
    <t>WOS:000263609600023</t>
  </si>
  <si>
    <t>Anderson, ORJ; Phillips, RA; McDonald, RA; Shore, RF; Mcgill, RAR; Bearhop, S</t>
  </si>
  <si>
    <t>Anderson, O. R. J.; Phillips, R. A.; McDonald, R. A.; Shore, R. F.; Mcgill, R. A. R.; Bearhop, S.</t>
  </si>
  <si>
    <t>Influence of trophic position and foraging range on mercury levels within a seabird community</t>
  </si>
  <si>
    <t>Mercury; Procellariiformes; delta N-15; delta C-13; Trophic position; Diet; Seabird</t>
  </si>
  <si>
    <t>HEAVY-METAL CONCENTRATIONS; STABLE-ISOTOPES INDICATE; FOOD WEB STRUCTURE; SOUTH GEORGIA; INTERANNUAL VARIATION; FEEDING ECOLOGY; CATHARACTA-SKUA; ORGANIC-MATTER; AVIAN BLOOD; GREAT SKUAS</t>
  </si>
  <si>
    <t>Seabirds are often advocated as biomonitors for marine contaminants such as mercury (Hg). However, contaminant levels can vary widely depending on among-individual and among-species variation in foraging preferences and physiology, and on tissue types used for analyses. Using stable isotope analysis (SIA), we investigated the effects of trophic position, season, and tissue type on Hg burdens in a group of 10 closely related seabirds (Procellariiformes) from a single colony in the South Atlantic. Analysis of blood (reflecting breeding season diet) showed that among-species Hg concentrations varied as a function of trophic position (delta N-15) and were also influenced to a lesser degree by foraging range (delta C-13). This pattern did not hold for feathers, which reflect the non-breeding period. Mercury levels in feathers formed during the non-breeding season appear to be more strongly governed by species effects (such as moult schedule), demonstrating the need to carefully consider tissue type when formulating predictions regarding Hg burdens and dynamics. Assessment at a community rather than the species level, and across a number of tissue types, provided a more complete picture of the complex interactions between Hg and foraging ecology in seabirds.</t>
  </si>
  <si>
    <t>[Anderson, O. R. J.; Bearhop, S.] Queens Univ Belfast, MBC, Sch Biol Sci, Belfast BT9 7BL, Antrim, North Ireland; [Phillips, R. A.] British Antarctic Survey, NERC, Cambridge CB3 0ET, England; [McDonald, R. A.] Cent Sci Lab, York YO41 1LZ, N Yorkshire, England; [Shore, R. F.] Lancaster Environm Ctr, Ctr Ecol &amp; Hydrol, Lancaster LA1 4AP, England; [Mcgill, R. A. R.] Scottish Univ, Environm Res Ctr, E Kilbride G75 0QF, Lanark, Scotland; [Bearhop, S.] Univ Exeter, Sch Biosci, Ctr Ecol &amp; Conservat, Penryn TR10 9EZ, England</t>
  </si>
  <si>
    <t>Queens University Belfast; UK Research &amp; Innovation (UKRI); Natural Environment Research Council (NERC); NERC British Antarctic Survey; Food &amp; Environment Research Agency; UK Centre for Ecology &amp; Hydrology (UKCEH); Lancaster University; Scottish Universities Research &amp; Reactor Center; University of Exeter</t>
  </si>
  <si>
    <t>Anderson, ORJ (corresponding author), Queens Univ Belfast, MBC, Sch Biol Sci, Lisburn Rd, Belfast BT9 7BL, Antrim, North Ireland.</t>
  </si>
  <si>
    <t>oanderson02@qub.ac.uk</t>
  </si>
  <si>
    <t>McGill, Rona/JAC-6969-2023; Bond, Alexander L/A-3786-2010; McDonald, Robbie/AAK-2718-2020; McDonald, Robbie A/A-2931-2012; McGill, Rona/F-1793-2010; Shore, Richard/A-2638-2012; Bearhop, Stuart/G-3105-2012</t>
  </si>
  <si>
    <t>McDonald, Robbie/0000-0002-6922-3195; McGill, Rona/0000-0003-0400-7288; Shore, Richard/0000-0002-9337-8883; Bearhop, Stuart/0000-0002-5864-0129</t>
  </si>
  <si>
    <t>Department of Employment and Learning; NERC Life Sciences Stable Isotope Facility; Natural Environment Research Council [lsmsf010002, bas010017, ceh010023] Funding Source: researchfish; NERC [bas010017, lsmsf010002] Funding Source: UKRI</t>
  </si>
  <si>
    <t>Department of Employment and Learning; NERC Life Sciences Stable Isotope Facility(UK Research &amp; Innovation (UKRI)Natural Environment Research Council (NERC)); Natural Environment Research Council(UK Research &amp; Innovation (UKRI)Natural Environment Research Council (NERC)); NERC(UK Research &amp; Innovation (UKRI)Natural Environment Research Council (NERC))</t>
  </si>
  <si>
    <t>We extend our thanks to the many field workers on Bird Island, South Georgia and to B. Phalan and D. Roberts in particular for their efforts in collecting samples. We are grateful to the fisheries observers and field workers of King Edward Point, South Georgia, and to A. Atkinson for provision of fish and Krili samples. O.A. was funded by a Department of Employment and Learning (DEL, UK) grant . Stable isotope analyses were conducted at SUERC, East Kil bride with financial support from a NERC Life Sciences Stable Isotope Facility Grant. Mercury analyses were conducted at CEH Monks Wood and CEH Lancaster with the help of J. Wright and G. Ainsworth.</t>
  </si>
  <si>
    <t>10.3354/meps07784</t>
  </si>
  <si>
    <t>WOS:000263609600024</t>
  </si>
  <si>
    <t>Krägefsky, S; Bathmann, U; Strass, V; Wolf-Gladrow, D</t>
  </si>
  <si>
    <t>Kraegefsky, S.; Bathmann, U.; Strass, V.; Wolf-Gladrow, D.</t>
  </si>
  <si>
    <t>Response of small copepods to an iron-induced phytoplankton bloom: a model to address the mechanisms of aggregation</t>
  </si>
  <si>
    <t>Copepod aggregation; Oithona spp.; Southern Ocean; Iron fertilisation; Vertical migration; Oceanic flow field; Food-finding strategy</t>
  </si>
  <si>
    <t>ANTARCTIC POLAR FRONT; MIDWATER FOOD WEB; SOUTHERN-OCEAN; VERTICAL MIGRATION; OITHONA-SIMILIS; FEEDING-BEHAVIOR; MARINE COPEPOD; NE PACIFIC; SEA; FERTILIZATION</t>
  </si>
  <si>
    <t>We investigated the causes of a large increase in abundance of small copepods, in particular Oithona similis, that was observed during the iron fertilisation experiment EisenEx in the Southern Ocean. Oithona spp. individuals showed a pronounced migratory response and shifted their vertical distribution towards the progressively phytoplankton-enriched surface layer in the bloom area, while outside, in the area with dilute food concentration, a substantial number of individuals resided in deeper layers. This deep-dwelling behaviour affected an increased drift relative to scarce food in the surface layer, whereas upward migration led to a gradual accumulation of animals in the bloom area. Our simulation study takes into account the particular flow field and the migratory response of Oithona spp. and shows that it can explain most of the abundance increase in Oithona spp. observed during EisenEx. The migratory behaviour of Oithona spp. may be considered as a food-finding strategy to cope with the patchy, mostly poor food environment of the Southern Ocean.</t>
  </si>
  <si>
    <t>[Kraegefsky, S.; Bathmann, U.; Strass, V.; Wolf-Gladrow, D.] Alfred Wegener Inst Polar &amp; Marine Res, D-27570 Bremerhaven, Germany</t>
  </si>
  <si>
    <t>Krägefsky, S (corresponding author), Alfred Wegener Inst Polar &amp; Marine Res, Handelshafen 12, D-27570 Bremerhaven, Germany.</t>
  </si>
  <si>
    <t>soeren.kraegefsky@awi.de</t>
  </si>
  <si>
    <t>Wolf-Gladrow, Dieter A/E-7666-2010; Bathmann, Ulrich/ISV-4351-2023</t>
  </si>
  <si>
    <t>Wolf-Gladrow, Dieter/0000-0001-9531-8668; Strass, Volker/0000-0002-7539-1400</t>
  </si>
  <si>
    <t>10.3354/meps07761</t>
  </si>
  <si>
    <t>405LW</t>
  </si>
  <si>
    <t>WOS:000263227300017</t>
  </si>
  <si>
    <t>Massom, RA; Hill, K; Barbraud, C; Adams, N; Ancel, A; Emmerson, L; Pook, MJ</t>
  </si>
  <si>
    <t>Massom, Robert A.; Hill, Katrina; Barbraud, Christophe; Adams, Neil; Ancel, Andre; Emmerson, Louise; Pook, Michael J.</t>
  </si>
  <si>
    <t>Fast ice distribution in Adelie Land, East Antarctica: interannual variability and implications for emperor penguins Aptenodytes forsteri</t>
  </si>
  <si>
    <t>Antarctic fast ice; Emperor penguin; Breeding success; Pointe Geologie; Wind; Interannual variability</t>
  </si>
  <si>
    <t>SOUTHERN ANNULAR MODE; SEA-ICE; FORAGING ECOLOGY; CLIMATE; OCEAN; SYSTEM; TRENDS; SEABIRDS; BEHAVIOR; SHELF</t>
  </si>
  <si>
    <t>Antarctic fast ice is of key climatic and ecological importance, yet its distribution and variability are poorly understood. We present a detailed analysis of fast ice along the Adelie Land coast (East Antarctica) using satellite data from 1992 to 1999. Fast ice formation along this coastline is intimately linked to grounded iceberg distribution in waters of &lt;350 m depth. Considerable interannual variability occurs in areal extent and formation/break-up; the variability is related to wind direction. Distance to the fast ice edge and its extent are major determinants of emperor penguin Aptenodytes forsteri breeding success at Pointe (Geologie. Of crucial importance are the frequency and duration of fast ice break-out events in the deep-water trough north-northwest of the colony. Successful penguin breeding seasons in 1993, 1998 and 1999 ([number of fledged chicks in late November / number of breeding pairs] &gt;75% success) coincided with lower-than-average fast ice extents and persistently short distances to nearest: open water (foraging grounds), and corresponded to a strong positive phase of the Southern Annular Mode. Poor breeding seasons in 1992, 1994 and 1995 (success &lt;15 %) coincided with average to slightly higher-than-average ice extents and persistently long distances to foraging grounds. Poor-to-moderate breeding years (success similar to 40 to 50 %), e.g. 1996 and 1997, occurred with above-average ice extents combined with fairly long distances from breeding to foraging grounds during the chick nurturing season. The overall correlation between breeding success and distance was high (r(2) = 0.89), albeit based on a limited number of years (n = 8). Substantially less fast ice was present in two Argon Satellite photographs taken in August and October 1963. This coincided with a highly successful breeding season and appears to have been related to stronger and more southerly winds.</t>
  </si>
  <si>
    <t>[Massom, Robert A.; Emmerson, Louise] Australian Antarctic Div, Dept Environm Water Heritage &amp; Arts, Kingston, Tas 7050, Australia; [Massom, Robert A.; Adams, Neil] Univ Tasmania, Antarctic Climate &amp; Ecosyst Cooperat Res Ctr, Hobart, Tas 7001, Australia; [Hill, Katrina] Univ Tasmania, Inst Antarctic &amp; So Ocean Studies, Hobart, Tas 7001, Australia; [Barbraud, Christophe] CNRS, Ctr Etud Biol Chize, UPR 1934, F-79360 Villiers En Bois, France; [Adams, Neil] Australian Bur Meteorol, Hobart, Tas 7001, Australia; [Ancel, Andre] ULP, CNRS, Inst Pluridisciplinaire Hubert Curien, Dept Ecol Physiol &amp; Ethol,UMR 7178, F-67087 Strasbourg, France; [Pook, Michael J.] CSIRO Marine &amp; Atmospher Res, Hobart, Tas 7001, Australia</t>
  </si>
  <si>
    <t>Australian Antarctic Division; Antarctic Climate &amp; Ecosystems Cooperative Research Centre (ACE CRC); University of Tasmania; University of Tasmania; Centre National de la Recherche Scientifique (CNRS); Bureau of Meteorology - Australia; Centre National de la Recherche Scientifique (CNRS); CNRS - National Institute of Nuclear and Particle Physics (IN2P3); Universites de Strasbourg Etablissements Associes; Universite de Strasbourg; Commonwealth Scientific &amp; Industrial Research Organisation (CSIRO)</t>
  </si>
  <si>
    <t>Massom, RA (corresponding author), Australian Antarctic Div, Dept Environm Water Heritage &amp; Arts, Channel Highway, Kingston, Tas 7050, Australia.</t>
  </si>
  <si>
    <t>R.Massom@utas.edu.au</t>
  </si>
  <si>
    <t>Barbraud, Christophe/A-5870-2012; Pook, Michael J/A-3810-2012</t>
  </si>
  <si>
    <t>Barbraud, Christophe/0000-0003-0146-212X; Massom, Robert/0000-0003-1533-5084; Hill, Katrina/0000-0002-9549-6939</t>
  </si>
  <si>
    <t>NASA [NRA-99-OES-10]; Australian Government's Cooperative Research Centre programme through the Antarctic Climate and Ecosystems Cooperative Research Centre [3024]</t>
  </si>
  <si>
    <t>NASA(National Aeronautics &amp; Space Administration (NASA)); Australian Government's Cooperative Research Centre programme through the Antarctic Climate and Ecosystems Cooperative Research Centre(Australian GovernmentDepartment of Industry, Innovation and ScienceCooperative Research Centres (CRC) Programme)</t>
  </si>
  <si>
    <t>Sincere thanks are extended to: S. Pendlebury and Australian Bureau of Meteorology staff for Casey AVHRR data; R. Porter-Smith (CSIRO Marine and Atmospheric Research, Australia) for providing bathymetric data; B. Giles (Australian Antarctic Division [AAD]) for information on grounded versus drifting icebergs and help with Fig. 3; D. Lubin and the Arctic and Antarctic Research Center, Scripps Institution of Oceanography for AVHRR and DMSP OLS data/processing; P. Virtue and K. Michael (IASOS, University of Tasmania) and B. Wienecke and G. Robertson (AAD) for their helpful comments; and B. Murphy (Australian Bureau of Meteorology) for information on the station meteorological data. The review comments of K. Reid (CCAMLR) and 2 anonymous reviewers greatly improved the paper. SSM/I sea ice concentration data were obtained from the NASA Earth Observing System Distributed Active Archive Center at the U.S. National Snow and Ice Data Center, University of Colorado, Boulder (available at: www.nsidc.org). Radarsat SAR data (courtesy of the Canadian Space Agency and Radarsat International) were obtained from NASA grant NRA-99-OES-10, and processed by the Alaska Satellite Facility (Fairbanks, Alaska). Meteorological data for Dumont d'Urville were obtained from the SCAR READER project (available at: www.antarctica.ac.uk/met/READER/). SAM index data were obtained from G. Marshall (BAS) at: www.nerc-bas.ac.uk/icd/gjma/sam.html, and SOI data from the Australian Bureau of Meteorology (available at: www.bom.gov.au/climate/current/soihtm1.shtml). Thanks are also due to P. Reid (BoM and ACE CRC) for help with the SOI data. The Australian Antarctic Territory coastline data come from the Australian Antarctic Data Centre. Argon satellite imagery was obtained from the USGS EROS Data Center at: http://edcsns17.cr.usgs.gov/EarthExplorer/. This work was supported by the Australian Government's Cooperative Research Centre programme through the Antarctic Climate and Ecosystems Cooperative Research Centre, and contributes to Australian Antarctic Science Project 3024.</t>
  </si>
  <si>
    <t>10.3354/meps07734</t>
  </si>
  <si>
    <t>WOS:000263227300021</t>
  </si>
  <si>
    <t>Bugoni, L; D'Alba, L; Furness, RW</t>
  </si>
  <si>
    <t>Bugoni, Leandro; D'Alba, Liliana; Furness, Robert W.</t>
  </si>
  <si>
    <t>Marine habitat use of wintering spectacled petrels Procellaria conspicillata, and overlap with longline fishery</t>
  </si>
  <si>
    <t>Procellariiformes; Foraging grounds; Procellaria conspicillata; Wintering; Longline fishery; Kernel habitat use</t>
  </si>
  <si>
    <t>WHITE-CHINNED PETRELS; AT-SEA DISTRIBUTION; SATELLITE-TRACKING; FORAGING BEHAVIOR; SEABIRD BYCATCH; NORTHERN FULMARS; ACTIVITY PATTERN; ATLANTIC-OCEAN; SOUTH-GEORGIA; ALBATROSSES</t>
  </si>
  <si>
    <t>Satellite transmitters were used to determine the marine habitat utilization and fishery overlap of wintering spectacled petrels Procellaria conspicillata in the southwestern Atlantic Ocean in 2006 and 2007. Kernel density analysis of tracked birds demonstrated intense use of waters in the Brazilian Exclusive Economic Zone, from 26 to 31 degrees S, mainly over the continental shelf break and offshore waters (mean depth in the &lt; 20 % kernel density areas = 1043 +/- 794 m), over warm tropical and subtropical waters (mean SST = 22 degrees C and 21 degrees C in 2006 and 2007, respectively) and mesotrophic/oligotrophic waters (chlorophyll a density = 0.301 and 0.281 mg m(-3) in 2006 and 2007, respectively). These habitats used by spectacled petrels are remarkably different. from those used by their sister species, the white-chinned petrel P. aequinoctialis, which occurs mainly over the continental shelf on sub-Antarctic and productive waters. A close association between spectacled petrels and the pelagic longline fishery was demonstrated through comparison of the main kernel areas used by spectacled petrels and the areas used by the pelagic longline fleet determined by fishing effort at resolution of 1 x 1 degrees quadrants. Travel speeds and distances during night and daytime periods did not differ. The present study demonstrates the importance of high resolution fishing effort data to address relationships between bird marine habitat use and specific fishing fleets, and to determine marine habitats and investigate at sea segregation between closely related species.</t>
  </si>
  <si>
    <t>[Bugoni, Leandro; D'Alba, Liliana; Furness, Robert W.] Univ Glasgow, Inst Biomed &amp; Life Sci, Glasgow G12 8QQ, Lanark, Scotland; [Bugoni, Leandro] Projeto Albatroz, BR-11030300 Santos, SP, Brazil</t>
  </si>
  <si>
    <t>University of Glasgow</t>
  </si>
  <si>
    <t>Bugoni, L (corresponding author), Univ Glasgow, Inst Biomed &amp; Life Sci, Glasgow G12 8QQ, Lanark, Scotland.</t>
  </si>
  <si>
    <t>lbugoni@yahoo.com.br</t>
  </si>
  <si>
    <t>Bugoni, Leandro/F-9539-2012; D'Alba, Liliana/AAC-4969-2022</t>
  </si>
  <si>
    <t>Bugoni, Leandro/0000-0003-0689-7026; D'Alba, Liliana/0000-0002-2478-3455</t>
  </si>
  <si>
    <t>Brazilian Environmental Agency [0128931BR, 203/2006, 02001.005981/2005, 023/2006, 040/2006, 1282/1]; Brazilian Government [0975-06]; CAPES [POAO 2007/91]; North Star Science and Technology; American Bird Conservancy</t>
  </si>
  <si>
    <t>Brazilian Environmental Agency; Brazilian Government; CAPES(Coordenacao de Aperfeicoamento de Pessoal de Nivel Superior (CAPES)); North Star Science and Technology; American Bird Conservancy</t>
  </si>
  <si>
    <t>Authors acknowledge the Projeto Albatroz team, which contributed to this project in several ways particularly for gathering fishing effort data at harbours and Captain C. Oliveira and crew of the FV 'Akira V' for logistic support onboard. Thanks are also due to K. Griffiths for genetic sexing of birds, H. Beyer for software advice, G. C. Feldman (NASA, USA) and P. S. Polito (USP, Brazil), who gave us all support for chl a data access and usage. H. Beyer (University of Glasgow) helped us with GIS software and kernel analysis. P. R. Pezzuto from GEP-UNIVALI provided us valuable unpublished data on longline fishing effort. This study was carried out with permits from the Brazilian Environmental Agency (IBAMA) Nos. 0128931BR, 203/2006, 02001.005981/2005, 023/2006, 040/2006 and 1282/1, and International Animal Health Certificate No. 0975-06, issued by the Brazilian Government. The Scottish Executive Rural Directorate also kindly provided us the permit POAO 2007/91 to import samples into Scotland. L.B. received a CAPES Scholarship. Transmitters deployed in 2007 were granted by North Star Science and Technology and American Bird Conservancy. Early drafts were greatly benefited from suggestions from R. A. Phillips and anonymous referees.</t>
  </si>
  <si>
    <t>10.3354/meps07750</t>
  </si>
  <si>
    <t>WOS:000263227300023</t>
  </si>
  <si>
    <t>Goldstien, SJ; Schiel, DR</t>
  </si>
  <si>
    <t>Wahl, M</t>
  </si>
  <si>
    <t>Goldstien, Sharyn J.; Schiel, David R.</t>
  </si>
  <si>
    <t>Evolutionary Patterns of Diversity and Their Causes</t>
  </si>
  <si>
    <t>MARINE HARD BOTTOM COMMUNITIES: PATTERNS, DYNAMICS, DIVERSITY, AND CHANGE</t>
  </si>
  <si>
    <t>Ecological Studies-Analysis and Synthesis</t>
  </si>
  <si>
    <t>INDO-WEST PACIFIC; NEW-ZEALAND; GENE FLOW; REPRODUCTIVE ISOLATION; MARINE-ENVIRONMENT; ANTARCTIC WATERS; GOODBYE GONDWANA; ENGLISH-CHANNEL; DISPERSAL; SPECIATION</t>
  </si>
  <si>
    <t>[Goldstien, Sharyn J.; Schiel, David R.] Univ Canterbury, Marine Ecol Res Grp, Sch Biol Sci, Christchurch 8140, New Zealand</t>
  </si>
  <si>
    <t>Goldstien, SJ (corresponding author), Univ Canterbury, Marine Ecol Res Grp, Sch Biol Sci, Private Bag 4800, Christchurch 8140, New Zealand.</t>
  </si>
  <si>
    <t>sharyn.goldstien@canterbury.ac.nz; david.schiel@canterbury.ac.nz</t>
  </si>
  <si>
    <t>0070-8356</t>
  </si>
  <si>
    <t>978-3-540-92703-7</t>
  </si>
  <si>
    <t>ECOL STUD-ANAL SYNTH</t>
  </si>
  <si>
    <t>Ecol. Stud.</t>
  </si>
  <si>
    <t>10.1007/978-3-540-92704-4_8</t>
  </si>
  <si>
    <t>10.1007/b76710</t>
  </si>
  <si>
    <t>BLJ95</t>
  </si>
  <si>
    <t>WOS:000270337900010</t>
  </si>
  <si>
    <t>Gili, JM; Petraitis, PS</t>
  </si>
  <si>
    <t>Gili, Josep-Maria; Petraitis, Peter S.</t>
  </si>
  <si>
    <t>Seasonal Dynamics</t>
  </si>
  <si>
    <t>ROCKY INTERTIDAL COMMUNITY; TEMPORAL VARIATION; ORGANIC-MATTER; BIOCHEMICAL-COMPOSITION; PARAMURICEA-CLAVATA; ANTARCTIC SHELF; CLIMATE-CHANGE; GROWTH; SEA; ENVIRONMENT</t>
  </si>
  <si>
    <t>[Gili, Josep-Maria] Inst Ciencies Mar CSIC, Dept Biol Marina &amp; Oceanog, Barcelona 08003, Spain; [Petraitis, Peter S.] Univ Penn, Dept Biol, Philadelphia, PA 19104 USA</t>
  </si>
  <si>
    <t>Consejo Superior de Investigaciones Cientificas (CSIC); CSIC - Centro Mediterraneo de Investigaciones Marinas y Ambientales (CMIMA); CSIC - Instituto de Ciencias del Mar (ICM); University of Pennsylvania</t>
  </si>
  <si>
    <t>Gili, JM (corresponding author), Inst Ciencies Mar CSIC, Dept Biol Marina &amp; Oceanog, Passeig Maritirn Barceloneta 37-49, Barcelona 08003, Spain.</t>
  </si>
  <si>
    <t>gili@icm.csic.es; ppetrait@sas.upenn.edu</t>
  </si>
  <si>
    <t>Petraitis, Peter S/D-1048-2013</t>
  </si>
  <si>
    <t>10.1007/978-3-540-92704-4_13</t>
  </si>
  <si>
    <t>WOS:000270337900016</t>
  </si>
  <si>
    <t>Sirovic, A; Hildebrand, JA; Wiggins, SM; Thiele, D</t>
  </si>
  <si>
    <t>Sirovic, Ana; Hildebrand, John A.; Wiggins, Sean M.; Thiele, Deborah</t>
  </si>
  <si>
    <t>Blue and fin whale acoustic presence around Antarctica during 2003 and 2004</t>
  </si>
  <si>
    <t>blue whale; Balaenoptera musculus; fin whale; Balaenoptera physalus; passive acoustics; Southern Ocean; circumpolar; distribution</t>
  </si>
  <si>
    <t>CIRCUMPOLAR CURRENT; PENINSULA; OCEAN; CALLS; CALIFORNIA; INCREASES; SOUNDS; SEA</t>
  </si>
  <si>
    <t>Seasonal and spatial variations of blue (Balaenoptera musculus) and fin whale (B. physalus) calls were analyzed from recordings collected with Acoustic Recording Packages (ARPs) deployed between January 2003 and July 2004 at four circumpolar locations: the Western Antarctic Peninsula (WAP), the Scotia Sea (SS), Eastern Antarctica (EA), and the Ross Sea (RS). Call characteristics were compared among sites using the average pressure spectrum levels from 1 month of data at each location. Presence of calls was analyzed using automatic call detection and acoustic power analysis methods. Blue whale calls were recorded year-round, with the highest detections in February-May and November. This suggests that the blue whale population may not migrate synchronously, and may indicate long duration calls are more common during migrations. Fin whale calls were detected only during February-July. Two distinct fin whale call types were recorded, suggesting a possible separation into two populations. The calls at the EA site had a secondary frequency peak in the pressure spectrum at 99 Hz and the calls at the WAP and the SS sites had a peak at 89 Hz. No fin whale calls were detected at the RS site. Acoustics are a good tool to monitor large whales in the Southern Ocean.</t>
  </si>
  <si>
    <t>[Sirovic, Ana; Hildebrand, John A.; Wiggins, Sean M.] Univ Calif San Diego, Scripps Inst Oceanog, La Jolla, CA 92093 USA; [Thiele, Deborah] Deakin Univ, Whale Ecol Grp, Warrnambool, Vic 3280, Australia</t>
  </si>
  <si>
    <t>University of California System; University of California San Diego; Scripps Institution of Oceanography; Deakin University</t>
  </si>
  <si>
    <t>Sirovic, A (corresponding author), Univ Calif San Diego, Scripps Inst Oceanog, 9500 Gilman Dr MC 0205, La Jolla, CA 92093 USA.</t>
  </si>
  <si>
    <t>asirovic@alaskapacific.edu</t>
  </si>
  <si>
    <t>Hildebrand, John A/ABA-6213-2022</t>
  </si>
  <si>
    <t>Hildebrand, John A/0000-0002-5418-9799; Sirovic, Ana/0000-0001-5097-1268</t>
  </si>
  <si>
    <t>National Science Foundation's Office of Polar Programs [NSF-OPP 05-23349]</t>
  </si>
  <si>
    <t>National Science Foundation's Office of Polar Programs(National Science Foundation (NSF))</t>
  </si>
  <si>
    <t>We thank everyone who helped in the deployment and recovery of the ARPs: Allan Sauter, Mark McDonald, Kate Stafford, Julie Oswald, masters and crews aboard ARSV L. M. Gould, RVIB N. B. Palmer, RRS J. C. Ross, Aurora Australis, and MV Vasiliy Golovnin, and the personnel of Raytheon Polar Services. Thanks to the IWC-SOCEP program, Australian Antarctic Division, and British Antarctic Survey for securing space aboard ships. Comments from Phillip Clapham and three anonymous reviewers greatly helped in improving the manuscript. This work was funded by the National Science Foundation's Office of Polar Programs grant NSF-OPP 05-23349 as part of the SO GLOBEC program.</t>
  </si>
  <si>
    <t>10.1111/j.1748-7692.2008.00239.x</t>
  </si>
  <si>
    <t>394VI</t>
  </si>
  <si>
    <t>WOS:000262479000008</t>
  </si>
  <si>
    <t>Lindqvist, C; Probst, A; Martin, AR; Wiig, O; Bachmann, L</t>
  </si>
  <si>
    <t>Lindqvist, Charlotte; Probst, Anja; Martin, Anthony R.; Wiig, Oystein; Bachmann, Lutz</t>
  </si>
  <si>
    <t>Molecular species identification of historical whale remains from South Georgia</t>
  </si>
  <si>
    <t>MITOCHONDRIAL-DNA; BOWHEAD WHALES; BALEEN WHALE; ANCIENT DNA; EVOLUTION; SEQUENCE; ICE</t>
  </si>
  <si>
    <t>[Lindqvist, Charlotte; Probst, Anja; Wiig, Oystein; Bachmann, Lutz] Univ Oslo, Nat Hist Museum, N-0318 Oslo, Norway; [Martin, Anthony R.] British Antarctic Survey, Cambridge CB3 0ET, England</t>
  </si>
  <si>
    <t>Lindqvist, C (corresponding author), Univ Oslo, Nat Hist Museum, POB 1172, N-0318 Oslo, Norway.</t>
  </si>
  <si>
    <t>charlotte.lindqvist@nhm.uio.no</t>
  </si>
  <si>
    <t>Wiig, Øystein/AAT-9518-2020; Wiig, Øystein/J-8383-2012</t>
  </si>
  <si>
    <t>Wiig, Øystein/0000-0003-0395-5251; Wiig, Øystein/0000-0003-0395-5251</t>
  </si>
  <si>
    <t>Natural History Museum; University of Oslo; British Antarctic Survey; NERC [bas010017] Funding Source: UKRI; Natural Environment Research Council [bas010017] Funding Source: researchfish</t>
  </si>
  <si>
    <t>Natural History Museum; University of Oslo; British Antarctic Survey; NERC(UK Research &amp; Innovation (UKRI)Natural Environment Research Council (NERC)); Natural Environment Research Council(UK Research &amp; Innovation (UKRI)Natural Environment Research Council (NERC))</t>
  </si>
  <si>
    <t>We are grateful for funding from the Natural History Museum, University of Oslo and the British Antarctic Survey. We thank Victor A. Albert for helpful comments. The bone samples were collected under permit from the Government of South Georgia and the South Sandwich Islands to ARM.</t>
  </si>
  <si>
    <t>10.1111/j.1748-7692.2008.00248.x</t>
  </si>
  <si>
    <t>WOS:000262479000017</t>
  </si>
  <si>
    <t>Colabuono, FI; Barquete, V; Domingues, BS; Montone, RC</t>
  </si>
  <si>
    <t>Colabuono, Fernanda I.; Barquete, Viviane; Domingues, Beatriz S.; Montone, Rosalinda C.</t>
  </si>
  <si>
    <t>Plastic ingestion by Procellariiformes in Southern Brazil</t>
  </si>
  <si>
    <t>MARINE POLLUTION BULLETIN</t>
  </si>
  <si>
    <t>Plastic; Procellariiformes; Southern Brazil</t>
  </si>
  <si>
    <t>POLYCHLORINATED-BIPHENYLS PCBS; PARTICLE POLLUTION; SURFACE WATERS; RESIN PELLETS; GOUGH-ISLAND; SEABIRDS; ACCUMULATION; ALBATROSSES; DEBRIS</t>
  </si>
  <si>
    <t>The Procellariiformes are the birds most affected by plastic pollution. Plastic fragments and pellets were the most frequent items found in, the digestive tract of eight species of Procellariiformes incidentally caught by longline fisheries as well as beached birds in Southern Brazil. Plastic objects were found in 62% of the petrels and 12% of the albatrosses. The Great shearwater, Manx shearwater, Cory's shearwater and Antarctic fulmar were found to have greater quantities and frequencies of occurrence of plastic. There was no significant difference in the number of plastics between the birds from longline fisheries and beached birds. No correlation was found between the number of prey and number of plastics in the digestive tract of the birds analyzed, but this does not discard the hypothesis that, in some cases, the presence of plastic in the digestive tract has a negative effect on the feeding efficiency of these birds. (C) 2008 Elsevier Ltd. All rights reserved.</t>
  </si>
  <si>
    <t>[Colabuono, Fernanda I.; Montone, Rosalinda C.] IO USP, Lab Quim Organ Marinha, BR-05508900 Sao Paulo, Brazil; [Barquete, Viviane] Univ Cape Town, Fitzpatrick Inst, ZA-7701 Rondebosch, South Africa; [Domingues, Beatriz S.] Fundacao Univ Fed Rio Grande, Rio Grande, RS, Brazil</t>
  </si>
  <si>
    <t>University of Cape Town; Universidade Federal do Rio Grande</t>
  </si>
  <si>
    <t>Colabuono, FI (corresponding author), IO USP, Lab Quim Organ Marinha, BR-05508900 Sao Paulo, Brazil.</t>
  </si>
  <si>
    <t>ficolabuono@lycos.com</t>
  </si>
  <si>
    <t>Colabuono, Fernanda Imperatrice/B-7197-2012; Montone, Rosalinda C/J-9110-2012</t>
  </si>
  <si>
    <t>Brazilian Research Council (CNPq)</t>
  </si>
  <si>
    <t>Brazilian Research Council (CNPq)(Conselho Nacional de Desenvolvimento Cientifico e Tecnologico (CNPQ))</t>
  </si>
  <si>
    <t>We thank Jules M.R. Soto (Museu Oceanografico do Vale do Itajai) for providing samples and the Fundacao Universidade Federal do Rio Grande (FURG) for institutional and logistic support. The Brazilian Research Council (CNPq) provided a Ph.D. Grant to F.I. Colabuono.</t>
  </si>
  <si>
    <t>0025-326X</t>
  </si>
  <si>
    <t>1879-3363</t>
  </si>
  <si>
    <t>MAR POLLUT BULL</t>
  </si>
  <si>
    <t>Mar. Pollut. Bull.</t>
  </si>
  <si>
    <t>10.1016/j.marpolbul.2008.08.020</t>
  </si>
  <si>
    <t>Environmental Sciences; Marine &amp; Freshwater Biology</t>
  </si>
  <si>
    <t>401SX</t>
  </si>
  <si>
    <t>WOS:000262963500023</t>
  </si>
  <si>
    <t>Taniguchi, S; Montone, RC; Bicego, MC; Colabuono, FI; Weber, RR; Sericano, JL</t>
  </si>
  <si>
    <t>Taniguchi, Satie; Montone, Rosalinda C.; Bicego, Marcia C.; Colabuono, Fernanda Imperatrice; Weber, Rolf Roland; Sericano, Jose L.</t>
  </si>
  <si>
    <t>Chlorinated pesticides, polychlorinated biphenyls and polycyclic aromatic hydrocarbons in the fat tissue of seabirds from King George Island, Antarctica</t>
  </si>
  <si>
    <t>PHALACROCORAX-ATRICEPS-BRANSFIELDENSIS; SOUTH SHETLAND ISLANDS; BLUE-EYED SHAG; ADMIRALTY BAY; PCBS; ATMOSPHERE; SEDIMENTS; RESIDUES; BIRDS; DIET</t>
  </si>
  <si>
    <t>[Taniguchi, Satie; Montone, Rosalinda C.; Bicego, Marcia C.; Colabuono, Fernanda Imperatrice; Weber, Rolf Roland] Univ Sao Paulo, Inst Oceanog, BR-05508120 Sao Paulo, Brazil; [Sericano, Jose L.] Texas A&amp;M Univ, Geochem &amp; Environm Res Grp, College Stn, TX 77845 USA</t>
  </si>
  <si>
    <t>Universidade de Sao Paulo; Texas A&amp;M University System; Texas A&amp;M University College Station</t>
  </si>
  <si>
    <t>Taniguchi, S (corresponding author), Univ Sao Paulo, Inst Oceanog, Praca Oceanog 191,Cidade Univ, BR-05508120 Sao Paulo, Brazil.</t>
  </si>
  <si>
    <t>satie@io.usp.br</t>
  </si>
  <si>
    <t>Bicego, Marcia C/D-1996-2013; Colabuono, Fernanda Imperatrice/B-7197-2012; Montone, Rosalinda C/J-9110-2012; Taniguchi, Satie/D-2552-2013</t>
  </si>
  <si>
    <t>Taniguchi, Satie/0000-0002-6825-6390; Bicego, Marcia/0000-0002-9939-9853</t>
  </si>
  <si>
    <t>Antarctic Brazilian Program (PROANTAR); Conselho Nacional de Pesquisa (CNPq); Secretaria da Comissao Interministerial para os Recursos do Mar (SECIRM)</t>
  </si>
  <si>
    <t>Antarctic Brazilian Program (PROANTAR); Conselho Nacional de Pesquisa (CNPq)(Conselho Nacional de Desenvolvimento Cientifico e Tecnologico (CNPQ)); Secretaria da Comissao Interministerial para os Recursos do Mar (SECIRM)</t>
  </si>
  <si>
    <t>We are thankful to Dr. Marcelo dos Santos and Sergio Pedro de Alcantara, who kindly collected fat samples from the seabirds. Financial support was obtained from the Antarctic Brazilian Program (PROANTAR) by a grant from the Conselho Nacional de Pesquisa (CNPq), with logistical support from the Secretaria da Comissao Interministerial para os Recursos do Mar (SECIRM).</t>
  </si>
  <si>
    <t>10.1016/j.marpolbul.2008.09.026</t>
  </si>
  <si>
    <t>WOS:000262963500028</t>
  </si>
  <si>
    <t>Lal, RP; Ram, S</t>
  </si>
  <si>
    <t>Lal, R. P.; Ram, Suresh</t>
  </si>
  <si>
    <t>Climatology of blizzards over Schirmacher Oasis, east Antarctica</t>
  </si>
  <si>
    <t>MAUSAM</t>
  </si>
  <si>
    <t>Antarctic Meteorology; Climatology; Blizzards</t>
  </si>
  <si>
    <t>SURFACE WINDS</t>
  </si>
  <si>
    <t>Weather in Antarctica is subject to frequent and sudden changes. Strong winds and blizzards dominate Antarctic weather. A combination of blowing snow, gale force wind and very low visibility is normally defined as blizzard. Meteorological data recorded at Indian Antarctic Station Maitri, in respect of blizzards recorded during the period 1990-2005 has been studied to find out climatological features of blizzards affecting Schirmacher Oasis. At Maitri the blizzard is mostly associated with extra-tropical storms and is normally preceded by precipitation. On average (luring the year about 21 blizzards affects the station for 45 days during the year. During the month of April to August 3 to 4 blizzards affects the station. Maximum number of blizzards occurs in the month of August with about 7 blizzard days. Average wind speed recorded during the blizzard is about 52 kt but it exceeded 100 kt on several occasions. The duration may vary from hours to days with average of 25 hours. Longest duration of 168 hours was recorded in June 1997. There are about 12 such occasions when blizzard lasted more than 72 hours. No correlation has been found between maximum wind speed and temperature rise during blizzard and the speed is also not correlated with pressure departure during the period.</t>
  </si>
  <si>
    <t>[Lal, R. P.] Indian Meteorol Dept, New Delhi, India; [Ram, Suresh] Meteorol Off, New Delhi, India</t>
  </si>
  <si>
    <t>Ministry of Earth Sciences (MoES) - India; India Meteorological Department (IMD)</t>
  </si>
  <si>
    <t>Lal, RP (corresponding author), Indian Meteorol Dept, New Delhi, India.</t>
  </si>
  <si>
    <t>lalrp@yahoo.com; suresh265@hotmail.com</t>
  </si>
  <si>
    <t>INDIA METEOROLOGICAL DEPT</t>
  </si>
  <si>
    <t>MAUSAM BHAWAN, LODI RD, NEW DELHI, 110 003, INDIA</t>
  </si>
  <si>
    <t>0252-9416</t>
  </si>
  <si>
    <t>Mausam</t>
  </si>
  <si>
    <t>413GJ</t>
  </si>
  <si>
    <t>WOS:000263780600004</t>
  </si>
  <si>
    <t>Dommergue, A; Ferrari, CP; Amyot, M; Brooks, S; Sprovieri, F; Steffen, A</t>
  </si>
  <si>
    <t>Pirrone, N; Mason, R</t>
  </si>
  <si>
    <t>Dommergue, Aurelien; Ferrari, Christophe P.; Amyot, Marc; Brooks, Steve; Sprovieri, Francesca; Steffen, Alexandra</t>
  </si>
  <si>
    <t>Spatial Coverage and Temporal Trends of Atmospheric Mercury Measurements in Polar Regions</t>
  </si>
  <si>
    <t>MERCURY FATE AND TRANSPORT IN THE GLOBAL ATMOSPHERE: EMISSIONS, MEASUREMENTS AND MODELS</t>
  </si>
  <si>
    <t>GASEOUS ELEMENTAL MERCURY; NY-ALESUND; DEPLETION EVENTS; ARCTIC SNOW; REDOX TRANSFORMATIONS; SPRINGTIME DEPLETION; OZONE DESTRUCTION; ATLANTIC-OCEAN; BOUNDARY-LAYER; TIME-SERIES</t>
  </si>
  <si>
    <t>The discovery of atmospheric mercury depletion events (AMDEs) in the Canadian Arctic at Alert in 1995 initiated the intense study of atmospheric Hg processes. Mercury has unique characteristics that include long-range atmospheric transport to regions like the Arctic and the Antarctica, the transformation to more toxic methylmercury compounds and the ability of these compounds to biomagnify in the aquatic food chain. Following the discovery of AMDEs, studies have been conducted throughout Polar Regions where the same phenomenon was observed. Since then, many scientific projects have focused on studying the mechanisms related to AMDEs. Additionally, special attention is paid to the consequences of AMDEs in terms of contamination of Polar Regions because AMDEs rapidly convert atmospheric gaseous mercury into reactive and water-soluble forms that may potentially become bioavailable. Finally, the contribution of this unique reactivity occurring in polar atmospheres to the global budget of atmospheric mercury and the role played by snow and ice surfaces of these regions are important issues. This chapter presents a review of atmospheric measurements conducted both in the Arctic and the Antarctic since 1995 (continuous data). Our current understanding of AMDEs in these regions is presented.</t>
  </si>
  <si>
    <t>[Dommergue, Aurelien; Ferrari, Christophe P.] Lab Glaciol &amp; Geophys Environm, F-38402 St Martin Dheres, France; [Amyot, Marc] Univ Montreal, Dept Sci Biol, Montreal, PQ H3C 3J7, Canada; [Brooks, Steve] NOAA, Oak Ridge, TN USA; [Sprovieri, Francesca] CNR Inst Atmospher Pollut, Div Rende, Arcavacata Di Rende, Italy; [Steffen, Alexandra] Environm Canada, Air Qual Res Div, Toronto, ON, Canada</t>
  </si>
  <si>
    <t>Universite de Montreal; National Oceanic Atmospheric Admin (NOAA) - USA; Consiglio Nazionale delle Ricerche (CNR); Istituto Sull'inquinamento Atmosferico (IIA-CNR); Environment &amp; Climate Change Canada</t>
  </si>
  <si>
    <t>Dommergue, A (corresponding author), Lab Glaciol &amp; Geophys Environm, F-38402 St Martin Dheres, France.</t>
  </si>
  <si>
    <t>dommergue, aurelien/HLP-6539-2023; Dommergue, Aurelien/A-2829-2009; Amyot, Marc/A-7182-2008</t>
  </si>
  <si>
    <t>dommergue, aurelien/0000-0002-8185-9604; Dommergue, Aurelien/0000-0002-8185-9604; Amyot, Marc/0000-0002-0340-3249</t>
  </si>
  <si>
    <t>978-0-387-93957-5</t>
  </si>
  <si>
    <t>10.1007/978-0-387-93958-2_10</t>
  </si>
  <si>
    <t>10.1007/978-0-387-93958-2</t>
  </si>
  <si>
    <t>BLE61</t>
  </si>
  <si>
    <t>WOS:000270022200010</t>
  </si>
  <si>
    <t>Haderka, P; Galybin, AN; Mukhamediev, SA</t>
  </si>
  <si>
    <t>Brebbia, CA</t>
  </si>
  <si>
    <t>Haderka, P.; Galybin, A. N.; Mukhamediev, Sh. A.</t>
  </si>
  <si>
    <t>Stress field in the Antarctic tectonic plate: elastic and plastic models</t>
  </si>
  <si>
    <t>MESH REDUCTION METHODS: BEM/MRM XXXI</t>
  </si>
  <si>
    <t>WIT Transactions on Modelling and Simulation</t>
  </si>
  <si>
    <t>31st International Conference on Boundary Elements and Other Mesh Reduction Methods</t>
  </si>
  <si>
    <t>SEP 02-04, 2009</t>
  </si>
  <si>
    <t>New Forest, ENGLAND</t>
  </si>
  <si>
    <t>stress field; elasticity; plasticity; geodynamics; tectonics</t>
  </si>
  <si>
    <t>REGIONAL STRESS; EARTHQUAKE; ORIGINS</t>
  </si>
  <si>
    <t>The purpose of this study is to compare different theological models of tectonic plates for the same set of input data. First, the 2D elastic tectonic stress field in Antarctic plate is modelled by employing experimental data on principal stress orientations. Then the determination of the 2D stress field by assuming the Antarctic lithospheric plate to be in fully plastic state follows. Boundary conditions for the plastic model are specified from the elastic solution. A finite-difference type approach based of alternation of the Cauchy boundary value problems for the construction of the slip lines and the principal stress trajectories is applied to obtain distribution of the mean stress within Antarctic plate. The significance of rheology is underpinned by comparing the elastic and plastic fields of the mean stress.</t>
  </si>
  <si>
    <t>[Haderka, P.; Galybin, A. N.] Wessex Inst Technol, Southampton, Hants, England; [Mukhamediev, Sh. A.] Inst Phys Earth, Moscow, Russia</t>
  </si>
  <si>
    <t>Russian Academy of Sciences; Schmidt Institute of Physics of the Earth of the Russian Academy of Sciences</t>
  </si>
  <si>
    <t>Haderka, P (corresponding author), Wessex Inst Technol, Southampton, Hants, England.</t>
  </si>
  <si>
    <t>Galybin, Alexander N/B-6183-2017; Mukhamediev, Shamil A./B-8202-2014</t>
  </si>
  <si>
    <t>Galybin, Alexander/0000-0003-3948-5685</t>
  </si>
  <si>
    <t>EPSRC through Research Grant [EP/E032494/1]</t>
  </si>
  <si>
    <t>EPSRC through Research Grant(UK Research &amp; Innovation (UKRI)Engineering &amp; Physical Sciences Research Council (EPSRC))</t>
  </si>
  <si>
    <t>The authors acknowledge the support of EPSRC through Research Grant EP/E032494/1.</t>
  </si>
  <si>
    <t>WIT PRESS/COMPUTATIONAL MECHANICS PUBLICATIONS</t>
  </si>
  <si>
    <t>SOUTHAMPTON</t>
  </si>
  <si>
    <t>ASHURST LODGE, ASHURST, SOUTHAMPTON SO40 7AA, ENGLAND</t>
  </si>
  <si>
    <t>1746-4064</t>
  </si>
  <si>
    <t>978-1-84564-197-9</t>
  </si>
  <si>
    <t>WIT TRANS MODEL SIM</t>
  </si>
  <si>
    <t>10.2495/BE090231</t>
  </si>
  <si>
    <t>Engineering, Electrical &amp; Electronic; Engineering, Mechanical; Materials Science, Multidisciplinary; Mathematics, Applied; Mechanics</t>
  </si>
  <si>
    <t>Engineering; Materials Science; Mathematics; Mechanics</t>
  </si>
  <si>
    <t>BNL24</t>
  </si>
  <si>
    <t>WOS:000274847400023</t>
  </si>
  <si>
    <t>Hill, E; Taylor, LA; Floss, C; Liu, Y</t>
  </si>
  <si>
    <t>Hill, Eddy; Taylor, Lawrence A.; Floss, Christine; Liu, Yang</t>
  </si>
  <si>
    <t>Lunar meteorite LaPaz Icefield 04841: Petrology, texture, and impact-shock effects of a low-Ti mare basalt</t>
  </si>
  <si>
    <t>METAMORPHISM; GEOCHEMISTRY; CRATER</t>
  </si>
  <si>
    <t>Found during the 2004 U.S. Antarctic Search for Meteorites season, LaPaz Icefeld (LAP) 04841 represents an addition to the LaPaz lunar basalts suite and brings the total mass collected to 1.93 kg. The presence of FeNi grains, troilite, and the anorthositic composition of plagioclase are evidence for the lunar origin of this meteorite. Pyroxene and olivine Mn/Fe values plot along the trend set for lunar basalts. Analyses of chromite grains provide a V/(Al + Cr) ratio of 1.33 +/- 13, translating to an fO(2) one log unit below the IW buffer, in accordance with previous fO(2) estimates for lunar basalts. Application of the Zr-cooling speedometer, for ilmenite and ulvospinel pairs, gives a cooling rate of 5.2 degrees C/day, matching previous estimates of cooling rates for the LaPaz lunar meteorites and Apollo mare basalts. Mineral modes and chemistries, as well as trace-element patterns, provide compelling evidence for pairing of this meteorite to others in the LaPaz lunar basalt suite.</t>
  </si>
  <si>
    <t>[Hill, Eddy; Taylor, Lawrence A.; Liu, Yang] Univ Tennessee, Planetary Geosci Inst, Dept Earth &amp; Planetary Sci, Knoxville, TN 37996 USA; [Hill, Eddy] Univ Arizona, Lunar &amp; Planetary Lab, Tucson, AZ 85721 USA; [Floss, Christine] Washington Univ, Space Sci Lab, St Louis, MO 63130 USA</t>
  </si>
  <si>
    <t>University of Tennessee System; University of Tennessee Knoxville; University of Arizona; Washington University (WUSTL)</t>
  </si>
  <si>
    <t>Hill, E (corresponding author), Univ Tennessee, Planetary Geosci Inst, Dept Earth &amp; Planetary Sci, Knoxville, TN 37996 USA.</t>
  </si>
  <si>
    <t>eddy@lpl.arizona.edu</t>
  </si>
  <si>
    <t>Liu, Yang/A-4708-2012; Liu, Yang/F-3775-2017</t>
  </si>
  <si>
    <t>Liu, Yang/0000-0003-0308-0942</t>
  </si>
  <si>
    <t>NASA [NNG05GG03G]; Planetary Geosciences Institute at the University of Tennessee</t>
  </si>
  <si>
    <t>NASA(National Aeronautics &amp; Space Administration (NASA)); Planetary Geosciences Institute at the University of Tennessee</t>
  </si>
  <si>
    <t>The authors would like to extend thanks to T. Fagan and T. Mikouchi for helpful reviews of the original text. Thanks are also extended to K. McBride and K. Righter for access to LAP 04841 and information pertaining to the geographical relationship of the sections studied. This research has been supported through NASA Cosmochemistry Grant NNG05GG03G (L. A. T.) and additional funding provided by Planetary Geosciences Institute at the University of Tennessee.</t>
  </si>
  <si>
    <t>10.1111/j.1945-5100.2009.tb00719.x</t>
  </si>
  <si>
    <t>423DJ</t>
  </si>
  <si>
    <t>WOS:000264476300007</t>
  </si>
  <si>
    <t>Müller, R</t>
  </si>
  <si>
    <t>Mueller, Rolf</t>
  </si>
  <si>
    <t>A brief history of stratospheric ozone research</t>
  </si>
  <si>
    <t>METEOROLOGISCHE ZEITSCHRIFT</t>
  </si>
  <si>
    <t>HALOGEN OCCULTATION EXPERIMENT; ATMOSPHERE RESEARCH SATELLITE; NITRIC-ACID TRIHYDRATE; ANTARCTIC OZONE; ARCTIC STRATOSPHERE; HETEROGENEOUS CHEMISTRY; CHLORINE ACTIVATION; MESOSPHERIC OZONE; THERMAL DECOMPOSITION; VERTICAL-DISTRIBUTION</t>
  </si>
  <si>
    <t>Ozone is one of the most important trace species in the atmosphere. Therefore, the history of research oil ozone has also received a good deal of attention. Here a short overview of ozone research (with a focus on the stratosphere) is given, starting from the first atmospheric measurements and ending with current developments. It is valuable to study the history of ozone research, because much can be learned for current research from an understanding of how previous discoveries were made. Moreover, since the 1970s, the history of ozone research has also encompassed also the history of the human impact oil the ozone layer and thus the history of policy measures taken to protect the ozone layer, notably the Montreal Protocol and its amendments and adjustments. The history of this development is particularly important because it may serve as a prototype for the development of policy measures for the protection of the Earth's climate.</t>
  </si>
  <si>
    <t>Forschungszentrum Julich, ICG 1, D-52425 Julich, Germany</t>
  </si>
  <si>
    <t>Helmholtz Association; Research Center Julich</t>
  </si>
  <si>
    <t>Müller, R (corresponding author), Forschungszentrum Julich, ICG 1, Postfach 1913, D-52425 Julich, Germany.</t>
  </si>
  <si>
    <t>ro.mueller@fz-juelich.de</t>
  </si>
  <si>
    <t>Müller, Rolf/ABA-8213-2021</t>
  </si>
  <si>
    <t>Müller, Rolf/0000-0002-5024-9977</t>
  </si>
  <si>
    <t>E SCHWEIZERBARTSCHE VERLAGSBUCHHANDLUNG</t>
  </si>
  <si>
    <t>NAEGELE U OBERMILLER, SCIENCE PUBLISHERS, JOHANNESSTRASSE 3A, D 70176 STUTTGART, GERMANY</t>
  </si>
  <si>
    <t>0941-2948</t>
  </si>
  <si>
    <t>1610-1227</t>
  </si>
  <si>
    <t>METEOROL Z</t>
  </si>
  <si>
    <t>Meteorol. Z.</t>
  </si>
  <si>
    <t>10.1127/0941-2948/2009/353</t>
  </si>
  <si>
    <t>422IU</t>
  </si>
  <si>
    <t>WOS:000264421900001</t>
  </si>
  <si>
    <t>Kouznetsov, RD</t>
  </si>
  <si>
    <t>Kouznetsov, Rostislav D.</t>
  </si>
  <si>
    <t>The summertime ABL structure over an antarctic oasis with a vertical Doppler sodar</t>
  </si>
  <si>
    <t>14th International Symposium for the Advancement of Boundary Layer Remote Sensing</t>
  </si>
  <si>
    <t>JUN 23-25, 2008</t>
  </si>
  <si>
    <t>Tech Univ Denmark, Copenhagen, DENMARK</t>
  </si>
  <si>
    <t>Tech Univ Denmark</t>
  </si>
  <si>
    <t>EAST ANTARCTICA; BOUNDARY-LAYER; KATABATIC FLOW; PROFILES; VELOCITY; LAND</t>
  </si>
  <si>
    <t>The one-component version of the multiple-frequency LATAN-3M sodar was operated during the summer 2006-2007 at the Russian Antarctic station Novolazarevskaya at Schirmacher oasis. We show the typical echograms for the prevailing conditions of forced turbulence, convective turbulence, strong katabatic flows and moist air advection with wave structures. The profiles of the vertical wind component and its variance reveal the vertical structure of local diurnal katabatic winds. We observed the core of a drainage flow at a height of 10-30 m. During the sea air mass advection, the wavy structures are clearly seen in the echograms at heights of 100-200 m a.g.l. The vertical wind component time series show that these waves are propagating rather than advected. The spectrum of the waves has a pronounced peak corresponding to the Brunt-Vaisala frequency in the layer 400-1000 m a.g.l. but not to that in the layer where the waves appear.</t>
  </si>
  <si>
    <t>Obukhov Inst Atmospher Phys, Moscow 119017, Russia</t>
  </si>
  <si>
    <t>Russian Academy of Sciences; Obukhov Institute of Atmospheric Physics of Russian Academy of Sciences</t>
  </si>
  <si>
    <t>Kouznetsov, RD (corresponding author), Obukhov Inst Atmospher Phys, 3 Pyzhevskii, Moscow 119017, Russia.</t>
  </si>
  <si>
    <t>roux@ifaran.ru</t>
  </si>
  <si>
    <t>Kouznetsov, Rostislav/ABD-3737-2020</t>
  </si>
  <si>
    <t>Kouznetsov, Rostislav/0000-0001-5140-0037</t>
  </si>
  <si>
    <t>10.1127/0941-2948/2009/0369</t>
  </si>
  <si>
    <t>447XF</t>
  </si>
  <si>
    <t>WOS:000266224600007</t>
  </si>
  <si>
    <t>Grant, AN; Brönnimann, S; Ewen, T; Griesser, T; Stickler, A</t>
  </si>
  <si>
    <t>Grant, Andrea N.; Broennimann, Stefan; Ewen, Tracy; Griesser, Thomas; Stickler, Alexander</t>
  </si>
  <si>
    <t>The early twentieth century warm period in the European Arctic</t>
  </si>
  <si>
    <t>NORTH-ATLANTIC SST; SEA-ICE ANOMALIES; ATMOSPHERIC CIRCULATION; WINTER CIRCULATION; VERTICAL STRUCTURE; AIR-TEMPERATURE; CLIMATE-CHANGE; HEMISPHERE; TRENDS; STRATOSPHERE</t>
  </si>
  <si>
    <t>The European Arctic experienced a pronounced warming around 1920 and a sustained warm period in the 1920s and 1930s. The causes of this climatic event are not fully known. However, understanding this event is considered important for assessing current and future climate change in the Arctic. Here we investigate the role of atmospheric circulation variability based on newly available historical upper-air data and statistical reconstructions of atmospheric circulation. The strongest warming at the ground from the 191 Os to the 1920s and 1930s was found in wintertime. Historical upper-air data in this region from the 1930s show warm temperatures also in the lower troposphere. Reconstructed geopotential height fields suggest stronger than normal meridional transport of warm air into the European Arctic during the warm period compared to the preceding cold period. We propose that the 1920-1940 warm period can be subdivided into two periods with distinct circulation regimes: During the 1920s, warm, relatively clean air masses from the North Atlantic lead to a warming, while during the 1930s warm, rather polluted air masses from Western Europe played an important role. This is reflected in a sudden increase in sulphate concentrations in an ice core from Svalbard around 1930. The aerosols might have amplified the warming via changing Cloud long wave emissivity, but this mechanism remains to be further studied. The circulation anomalies in the North Atlantic region during the early 20(th) century warm period that are shown in this paper form an observation-based counterpart against which model studies can be compared.</t>
  </si>
  <si>
    <t>[Grant, Andrea N.; Broennimann, Stefan; Ewen, Tracy; Griesser, Thomas; Stickler, Alexander] ETH, Inst Atmospher &amp; Climate Sci, CH-8092 Zurich, Switzerland</t>
  </si>
  <si>
    <t>Swiss Federal Institutes of Technology Domain; ETH Zurich</t>
  </si>
  <si>
    <t>Brönnimann, S (corresponding author), ETH, Inst Atmospher &amp; Climate Sci, CHN M 11,Univ Str 16, CH-8092 Zurich, Switzerland.</t>
  </si>
  <si>
    <t>stefan.bronnimann@env.ethz.ch</t>
  </si>
  <si>
    <t>Brönnimann, Stefan/A-5737-2008; Ewen, Tracy/AAG-7948-2019; Grant, Andrea/A-1693-2008</t>
  </si>
  <si>
    <t>Ewen, Tracy/0000-0002-7751-5235; Bronnimann, Stefan/0000-0001-9502-7991; Grant, Andrea/0000-0002-1553-596X</t>
  </si>
  <si>
    <t>Swiss National Science Foundation [PP002-120871]</t>
  </si>
  <si>
    <t>Swiss National Science Foundation(Swiss National Science Foundation (SNSF))</t>
  </si>
  <si>
    <t>This work was supported by the Swiss National Science Foundation (PP002-120871). We thank Andrey NAGURNY at the Arctic and Antarctic Research Institute for the Russian radiosonde data. The TD54 and CARDS542 datasets were kindly provided by Joey COMEAUX at NCAR, and the TD6201 dataset by Joe Elms at NCDC. We would like to thank Teija KEKONEN and John MOORE for letting us reproduce their sulphate data and Margit SCHWIKOWSKI for helpful discussions.</t>
  </si>
  <si>
    <t>10.1127/0941-2948/2009/0391</t>
  </si>
  <si>
    <t>496NO</t>
  </si>
  <si>
    <t>WOS:000269981500006</t>
  </si>
  <si>
    <t>Mikhalevich, VI</t>
  </si>
  <si>
    <t>Mikhalevich, Valeria I.</t>
  </si>
  <si>
    <t>Comparison between the test and wall structure of the Miliolata and Fusulinoida (Foraminifera), based on new data from Antarctic miliolids</t>
  </si>
  <si>
    <t>MICROPALEONTOLOGY</t>
  </si>
  <si>
    <t>PHYLOGENY; EVOLUTION</t>
  </si>
  <si>
    <t>The morphological similarities of the outer and inner test structure of primitive and advanced Fusulinoida (Tournayellida, Endothyrida, Fusulinida) and primitive and advanced Miliolata (Baisalinidae, Ophthalmidiidae, Miliolidae, Alveolinina, Soritinida) have been traditionally viewed as a result of convergent evolution. A detailed comparison of the test and apertural shape, of the inner supplementary deposits of the test material (mound;, nodes, spine like projections, nodosities and teeth and flaps in the thin sections) of the both taxonomic groups studied, as well as the comparison of the fusulinacean wall with newly discovered unique ultrastructural features of the porcelaneous wall of large Antarctic miliolids (along with the high magnesium level in the both calcareous groups) lead us to an understanding of their close relationship. Both groups represent two smaller branches of one phylogenetic lineage and hence the similarity of the outer and inner structures of their shells could be considered as parallelism in the closely related groups.</t>
  </si>
  <si>
    <t>Russian Acad Sci, Inst Zool, St Petersburg 199034, Russia</t>
  </si>
  <si>
    <t>Russian Academy of Sciences; Zoological Institute of the Russian Academy of Sciences</t>
  </si>
  <si>
    <t>Mikhalevich, VI (corresponding author), Russian Acad Sci, Inst Zool, 1 Univ Skaya Nab, St Petersburg 199034, Russia.</t>
  </si>
  <si>
    <t>mikha@JS1238.sph.edu</t>
  </si>
  <si>
    <t>MICRO PRESS</t>
  </si>
  <si>
    <t>FLUSHING</t>
  </si>
  <si>
    <t>6530 KISSENA BLVD, FLUSHING, NY 11367 USA</t>
  </si>
  <si>
    <t>0026-2803</t>
  </si>
  <si>
    <t>1937-2795</t>
  </si>
  <si>
    <t>Micropaleontology</t>
  </si>
  <si>
    <t>424CD</t>
  </si>
  <si>
    <t>WOS:000264542200001</t>
  </si>
  <si>
    <t>Lupi, C</t>
  </si>
  <si>
    <t>Lupi, Claudia</t>
  </si>
  <si>
    <t>Biostratigraphic correlation and paleoceanographic interpretation of Pleistocene calcareous nannofossils from the subtropical front to the Antarctic divergence</t>
  </si>
  <si>
    <t>COCCOLITHOPHORE CALCIDISCUS-LEPTOPORUS; WESTERN BOUNDARY CURRENT; EARLY-MIDDLE PLEISTOCENE; SOUTH ATLANTIC-OCEAN; CHATHAM RISE; NEW-ZEALAND; SURFACE SEDIMENTS; BENGUELA SYSTEM; UPPER PLIOCENE; CLIMATE-CHANGE</t>
  </si>
  <si>
    <t>The study of calcareous nannofossil distributions in three cores from the subtropical front to the Antarctic Divergence (IMAGES MD 97-2114, Subtropical Front; PNRA Anta 95-157, Polar Front; ODP 188-1165. Antarctic Divergence) provides a way to check the reproducibility from low to high latitudes of the mose recent calcareous nannoplankton biostratigraphic schemes (Raffi et al. 2006) and to verify the geographic calcareous nannofossil distribution during the Quaternary climate phases. The cores cover different sedimentary records and have various degrees of preservation. Four bioevents are recorded in all studied successions. From older to younger, these are: the re-entry of Medium Gephyrocapsa, the Highest Occurrence (HO) of Reticulofenestra asanoi the Pseudoemiliania lacunosa HO, and the Lowest Occurrence (LO) of Emiliania huxley. This study interprets the calcareous nannofossil distributions in the cores in paleoceanographic terms, evaluating the Anatarctic ice-sheet evolution and testifying to the climate relationships between the different geographic areas. During the Early Pleistocene (Jaramillo subchron), while the calcareous nannofossils experienced their maximal abundance in the subtropical region, they are also found near the Antarctic Divergence. From this interval upwards at the Antarctic Divergence, the calcareous nannofossils decrease in relation to more stable glacial conditions of Antarctica. The climate evolution of the Antarctic continent influences the entire Southern Ocean and has led to a sporaidc occurrence of calcareous nannofossils near the polar front (PNRA Anta 95-157) and to a slight decrease in their abudance in the subtropical region (MD 97-2114).</t>
  </si>
  <si>
    <t>Univ Pavia, Dipartimento Sci Terra, I-27100 Pavia, Italy</t>
  </si>
  <si>
    <t>University of Pavia</t>
  </si>
  <si>
    <t>Lupi, C (corresponding author), Univ Pavia, Dipartimento Sci Terra, Via Ferrata 1, I-27100 Pavia, Italy.</t>
  </si>
  <si>
    <t>clupi@dst.unipv.it</t>
  </si>
  <si>
    <t>473KR</t>
  </si>
  <si>
    <t>WOS:000268205400004</t>
  </si>
  <si>
    <t>Gimenez, O; Barbraud, C</t>
  </si>
  <si>
    <t>Thomson, DL; Cooch, EG; Conroy, MJ</t>
  </si>
  <si>
    <t>Gimenez, Olivier; Barbraud, Christophe</t>
  </si>
  <si>
    <t>The Efficient Semiparametric Regression Modeling of Capture-Recapture Data: Assessing the Impact of Climate on Survival of Two Antarctic Seabird Species</t>
  </si>
  <si>
    <t>MODELING DEMOGRAPHIC PROCESSES IN MARKED POPULATIONS</t>
  </si>
  <si>
    <t>Environmental and Ecological Statistics Series</t>
  </si>
  <si>
    <t>Auxiliary variables; Bayesian inference; Bivariate smoothing; Computational efficiency; Demographic rates; Environmental covariates; Interactions; Multivariate normal approximation; Penalized-splines; WinBUGS</t>
  </si>
  <si>
    <t>MARK; CONSEQUENCES; VARIABILITY; RESPONSES; ANIMALS; WILD</t>
  </si>
  <si>
    <t>A nonparametric approach has recently been proposed for estimating survival in capture-recapture models, which uses penalized splines to achieve flexibility in exploring the relationships with environmental covariates. However, this method is highly time-consuming because it is implemented through a fully Bayesian approach using Markov chain Monte Carlo simulations. To cope with this issue, we developed a two-step approach in which the existing method is used in conjunction with a multivariate normal approximation to the capture-recapture data likelihood. The ability of our approach to capture various nonlinearities in demographic parameters was validated by carrying out a simulation study. Two examples dealing with Snow petrel and Emperor penguin capture-recapture data sets were also considered to illustrate our procedure, including the relationship between survival rate, population size and climatic covariates.</t>
  </si>
  <si>
    <t>[Gimenez, Olivier] CNRS, Ctr Ecol Fonct &amp; Evolut, UMR 5175, F-34293 Montpellier 5, France; [Barbraud, Christophe] CNRS, Ctr Etud Biol Chize, UPR 1934, F-79360 Villiers En Bois, France</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</si>
  <si>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Centre National de la Recherche Scientifique (CNRS)</t>
  </si>
  <si>
    <t>Gimenez, O (corresponding author), CNRS, Ctr Ecol Fonct &amp; Evolut, UMR 5175, 1919 Route Mende, F-34293 Montpellier 5, France.</t>
  </si>
  <si>
    <t>olivier.gimenez@cefe.cnrs.fr</t>
  </si>
  <si>
    <t>Barbraud, Christophe/A-5870-2012; Gimenez, Olivier/G-4281-2010</t>
  </si>
  <si>
    <t>Barbraud, Christophe/0000-0003-0146-212X; Gimenez, Olivier/0000-0001-7001-5142</t>
  </si>
  <si>
    <t>978-0-387-78151-8; 978-0-387-78150-1</t>
  </si>
  <si>
    <t>ENVIRON ECOL STAT SE</t>
  </si>
  <si>
    <t>10.1007/978-0-387-78151-8_3</t>
  </si>
  <si>
    <t>10.1007/978-0-387-78151-8</t>
  </si>
  <si>
    <t>Ecology; Environmental Sciences; Statistics &amp; Probability</t>
  </si>
  <si>
    <t>BKG60</t>
  </si>
  <si>
    <t>WOS:000268029000054</t>
  </si>
  <si>
    <t>Buckley, SL; Lillford, PJ</t>
  </si>
  <si>
    <t>Kasapis, S; Norton, IT; Ubbink, JB</t>
  </si>
  <si>
    <t>Buckley, Sarah L.; Lillford, Peter J.</t>
  </si>
  <si>
    <t>Antifreeze Proteins: Their Structure, Binding and Use</t>
  </si>
  <si>
    <t>MODERN BIOPOLYMER SCIENCE: BRIDGING THE DIVIDE BETWEEN FUNDAMENTAL TREATISE AND INDUSTRIAL APPLICATION</t>
  </si>
  <si>
    <t>THERMAL HYSTERESIS PROTEIN; ICE GROWTH-INHIBITION; RICH-REPEAT PROTEIN; WINTER FLOUNDER; MYOXOCEPHALUS-OCTODECIMSPINOSIS; NONEQUILIBRIUM ANTIFREEZE; FREEZING RESISTANCE; ANTARCTIC FISHES; LONGHORN SCULPIN; POLYPEPTIDE</t>
  </si>
  <si>
    <t>[Lillford, Peter J.] Univ York, CNAP, Dept Biol, York YO10 5DG, N Yorkshire, England</t>
  </si>
  <si>
    <t>University of York - UK</t>
  </si>
  <si>
    <t>978-0-08-092114-3; 978-0-12-374195-0</t>
  </si>
  <si>
    <t>10.1016/B978-0-12-374195-0.00003-3</t>
  </si>
  <si>
    <t>Chemistry, Applied; Polymer Science</t>
  </si>
  <si>
    <t>Chemistry; Polymer Science</t>
  </si>
  <si>
    <t>BCT52</t>
  </si>
  <si>
    <t>WOS:000311357800004</t>
  </si>
  <si>
    <t>Miller, KJ; Maynard, BT; Mundy, CN</t>
  </si>
  <si>
    <t>Miller, K. J.; Maynard, B. T.; Mundy, C. N.</t>
  </si>
  <si>
    <t>Genetic diversity and gene flow in collapsed and healthy abalone fisheries</t>
  </si>
  <si>
    <t>connectivity; conservation; fisheries management; microsatellite DNA; larval dispersal; self-recruitment</t>
  </si>
  <si>
    <t>BLACKLIP ABALONE; HALIOTIS-RUBRA; RECRUITMENT; DISPERSAL; MOLLUSCA; VARIABILITY; POPULATION; RECOVERY; LARVAE; LEACH</t>
  </si>
  <si>
    <t>Overexploitation of marine species invariably results in population decline but can also have indirect effects on ecological processes such as larval dispersal and recruitment that ultimately affect genetic diversity and population resilience. We compared microsatellite DNA variation among depleted and healthy populations of the black-lip abalone Haliotis rubra from Tasmania, Australia, to determine if over-fishing had affected genetic diversity. We also used genetic data to assess whether variation in the scale and frequency of larval dispersal was linked to greater population decline in some regions than in others, and if larval dispersal was sufficient to facilitate natural recovery of depleted populations. Surprisingly, allelic diversity was higher in depleted populations than in healthy populations (P &lt; 0.05). Significant subdivision across hundreds of metres among our sampling sites (F-ST = 0.026, P &lt; 0.01), coupled with assignment tests, indicated that larval dispersal is restricted in all regions studied, and that abalone populations across Tasmania are largely self-recruiting. Low levels of larval exchange appear to occur at the meso-scale (7-20 km), but age estimates based on shell size indicated that successful migration of larvae between any two sites may happen only once every few years. We suggest that genetic diversity may be higher in depleted populations due to the higher relative ratio of migrant to self-recruiting larvae. In addition, we expect that recovery of depleted abalone populations will be reliant on sources of larvae at the meso-scale (tens of km), but that natural recovery is only likely to occur on a timescale unacceptable to fishers and resource managers.</t>
  </si>
  <si>
    <t>[Miller, K. J.] Univ Tasmania, Inst Antarctic &amp; So Ocean Studies, Hobart, Tas 7000, Australia; [Maynard, B. T.; Mundy, C. N.] Univ Tasmania, Tasmanian Aquaculture &amp; Fisheries Inst, Marine Res Lab, Hobart, Tas 7000, Australia</t>
  </si>
  <si>
    <t>Miller, KJ (corresponding author), Univ Tasmania, Inst Antarctic &amp; So Ocean Studies, Private Bag 77, Hobart, Tas 7000, Australia.</t>
  </si>
  <si>
    <t>Miller, Karen/A-7902-2011; Mundy, Craig/G-3390-2014; Miller, Karen/V-4098-2019</t>
  </si>
  <si>
    <t>Mundy, Craig/0000-0002-1945-3750;</t>
  </si>
  <si>
    <t>Fisheries Research and Development Council [FRDC 2005/029]; TAFI-MRL [M0014586]</t>
  </si>
  <si>
    <t>Fisheries Research and Development Council; TAFI-MRL</t>
  </si>
  <si>
    <t>This work was funded by the Fisheries Research and Development Council grant (FRDC 2005/029) awarded to C. Mundy &amp; K. Miller under TAFI-MRL contract M0014586. We thank Mike Porteus, Luisa Lyall, Marlene Davey and Chris Jarvis for assistance with the field collections.</t>
  </si>
  <si>
    <t>10.1111/j.1365-294X.2008.04019.x</t>
  </si>
  <si>
    <t>394VG</t>
  </si>
  <si>
    <t>WOS:000262478700003</t>
  </si>
  <si>
    <t>Anseeuw, B; Marshall, BA; Terryn, Y</t>
  </si>
  <si>
    <t>Anseeuw, Bruno; Marshall, Bruce A.; Terryn, Yves</t>
  </si>
  <si>
    <t>The New Zealand chitons Ischnochiton luteoroseus Suter, 1907 and Ischnochiton granulifer Thiele, 1909 (Mollusca: Polyplacophora)</t>
  </si>
  <si>
    <t>MOLLUSCAN RESEARCH</t>
  </si>
  <si>
    <t>New Zealand; Polyplacophora; Ischnochiton; synonymy</t>
  </si>
  <si>
    <t>Comparison of type specimens and additional material reveals that the poorly known taxon Ischnochiton granulifer Thiele, 1909 described from an unspecified locality in New Zealand, is specifically distinct from Ischnochiton luteoroseus Suter, 1907 with which it had been synonymised. The two species are redescribed and their distributions detailed. They are strongly allopatric off the north-eastern North Island of New Zealand and the sub-Antarctic islands south of New Zealand respectively.</t>
  </si>
  <si>
    <t>[Marshall, Bruce A.] Museum New Zealand Papa Tongarewa, Wellington, New Zealand; [Anseeuw, Bruno] Royal Belgian Inst Nat Sci, Malacol Sect, B-9820 Merelbeke, Belgium; [Terryn, Yves] Royal Belgian Inst Nat Sci, Malacol Sect, B-9000 Ghent, Belgium</t>
  </si>
  <si>
    <t>Royal Belgian Institute of Natural Sciences; Royal Belgian Institute of Natural Sciences</t>
  </si>
  <si>
    <t>Marshall, BA (corresponding author), Museum New Zealand Papa Tongarewa, POB 467, Wellington, New Zealand.</t>
  </si>
  <si>
    <t>chiton@pandora.be; brucem@tepapa.govt.nz; loricata@pandora.be</t>
  </si>
  <si>
    <t>1323-5818</t>
  </si>
  <si>
    <t>1448-6067</t>
  </si>
  <si>
    <t>MOLLUSCAN RES</t>
  </si>
  <si>
    <t>Molluscan Res.</t>
  </si>
  <si>
    <t>505VP</t>
  </si>
  <si>
    <t>WOS:000270727500002</t>
  </si>
  <si>
    <t>von Gosen, W; Buggisch, W; Prozzi, C</t>
  </si>
  <si>
    <t>von Gosen, Werner; Buggisch, Werner; Prozzi, Cesar</t>
  </si>
  <si>
    <t>Provenance and geotectonic setting of Late Proterozoic - Early Cambrian metasediments in the Sierras de Cordoba and Guasayan (western Argentina): a geochemical approach</t>
  </si>
  <si>
    <t>NEUES JAHRBUCH FUR GEOLOGIE UND PALAONTOLOGIE-ABHANDLUNGEN</t>
  </si>
  <si>
    <t>Gondwana; Sierras Pampeanas; geochemistry; sedimentation; provenance</t>
  </si>
  <si>
    <t>SAN-LUIS; DISCRIMINATION DIAGRAMS; CRUSTAL EVOLUTION; SEDIMENTARY-ROCKS; PASSIVE-MARGIN; U-PB; BASIN; SR; ENVIRONMENT; DEFORMATION</t>
  </si>
  <si>
    <t>Geochemical analyses from Late Proterozoic - Early Cambrian elastic metasediments of the Sierras Norte de Cordoba, Sierras Grandes de Cordoba and Sierra de Guasayan (western Argentina) show a wide spread from arkoses over litharenites and wackes to shales, and partly greywackes. Discriminant function diagrams suggest a felsic igneous and quartzose sedimentary provenance for the sediments of the Lower and Upper Unit in the Sierras Norte de Cordoba, respectively, and a quartzose provenance for those in both other areas. The analyses record a weak weathering suggesting short sedimentary transports. Major element diagrams suggest passive and partly active continental margins for the Sierras Norte and an active continental margin with an overlap to the passive margin for the Sierras Grandes de Cordoba/Guasayin. The trace element diagrams do not indicate a setting of the Upper Unit samples in an active margin. They show that the Lower Unit was dominated by recycling of acidic continental crustal material whereas the other sediments point to the influence of old sediment components. Also, in view of the rare earth element diagrams, a setting of the Lower and Upper Unit on a passive margin is probable. With its elastic content derived from local elastic and magmatic rocks, the Lower Unit probably was covered by the Upper Unit deposited in a shelf area that received elastic and magmatic detritus also from a hinterland in the east. Sedimentary transports into a wide Puncoviscana basin in the west are according to the situation in northwest Argentina and have an equivalent in the Antarctic area of the later-formed Ross orogen. This suggests a comparable passive margin development at the paleo-Pacific side of Gondwana in the South American (Pampean) and Transantarctic (Ross) sectors, with sedimentary transports from inner Gondwanan cratonic areas during the Late Proterozoic - Early Cambrian times.</t>
  </si>
  <si>
    <t>[von Gosen, Werner; Buggisch, Werner] Univ Erlangen Nurnberg, Geozentrum Nordbayern, D-91054 Erlangen, Germany; [Prozzi, Cesar] Univ Nacl Sur, Dept Geol, RA-8000 Bahia Blanca, Buenos Aires, Argentina</t>
  </si>
  <si>
    <t>University of Erlangen Nuremberg; National University of the South</t>
  </si>
  <si>
    <t>von Gosen, W (corresponding author), Univ Erlangen Nurnberg, Geozentrum Nordbayern, Schlossgarten 5, D-91054 Erlangen, Germany.</t>
  </si>
  <si>
    <t>vgosen@geol.uni-erlangen.de; buggisch@geol.uni-erlangen.de; cprozzi@uns.edu.ar</t>
  </si>
  <si>
    <t>German Research Foundation; DFG [Bu 312/41-1, Go 405/5-1, 5-2]</t>
  </si>
  <si>
    <t>German Research Foundation(German Research Foundation (DFG)); DFG(German Research Foundation (DFG))</t>
  </si>
  <si>
    <t>Field work benefited by discussions with Prof. Dr. VICTOR A. RAMOS, Buenos Aires, Prof. Dr. DANIEL A. GREGORI, Bahia Blanca, and Prof. Dr. EDUARDO LLAMBiAS, La Plata. We would like to thank Prof Dr. ALDo A. BONALUMI, Cordoba, Prof. LUCIANO DINARDO, Prof. Dr. JORGE DRISTAS, Bahia Blanca, and Prof. Dr. BERNARD SCHULZ Freiberg, for their support. Many thanks to both reviewers, Prof. Dr. HEINRICH BAHLBURG, Munster, and Prof. Dr. UwE ZIMMERMANN, Johannesburg, for their comments and suggestions that helped to improve the manuscript. This study was enabled by grants from the German Research Foundation (DFG, projs. Bu 312/41-1 and Go 405/5-1 and 5-2) which are gratefully acknowledged.</t>
  </si>
  <si>
    <t>0077-7749</t>
  </si>
  <si>
    <t>NEUES JAHRB GEOL P-A</t>
  </si>
  <si>
    <t>Neues. Jahrb. Geol. Palaontol.-Abh.</t>
  </si>
  <si>
    <t>10.1127/0077-7749/2009/0251-0257</t>
  </si>
  <si>
    <t>427YX</t>
  </si>
  <si>
    <t>WOS:000264816100001</t>
  </si>
  <si>
    <t>Matsukura, R; Mukai, T; Ando, Y; Iida, K</t>
  </si>
  <si>
    <t>Matsukura, Ryuichi; Mukai, Tohru; Ando, Yasuhiro; Iida, Kohji</t>
  </si>
  <si>
    <t>The variation of density and sound speed contrasts and theoretical target strength estimation of Euphausia pacifica</t>
  </si>
  <si>
    <t>NIPPON SUISAN GAKKAISHI</t>
  </si>
  <si>
    <t>Japanese</t>
  </si>
  <si>
    <t>ANTARCTIC KRILL; 120 KHZ; ZOOPLANKTON; SCATTERING; ORIENTATION; VELOCITY; LIPIDS</t>
  </si>
  <si>
    <t>The density and sound speed contrasts between Euphausia pacifica and sea water change with the season. In this study, we examined the effect on target strength (TS) and lipid content which is a cause of these changes. Density contrasts increased from spring to summer, but sound speed contrasts decreased. There was a negative correlation between density contrasts and wax esters, which are one of the lipid contents, and a positive correlation between sound speed contrasts and total lipid. The range of variation estimated by the DWBA model using both ratios was narrow. The mean TS of E. pacifica (TL 15 mm) ranged from -105.9 to -105.2 dB at 38 kHz, from -91.3 to -90.5 dB at 120 kHz and from -86.3 to -85.4 dB at 200 kHz.</t>
  </si>
  <si>
    <t>[Matsukura, Ryuichi] Hokkaido Univ, Grad Sch Environm Sci, Hakodate, Hokkaido 0418611, Japan; [Mukai, Tohru; Ando, Yasuhiro; Iida, Kohji] Hokkaido Univ, Fac Fisheries Sci, Hakodate, Hokkaido 0418611, Japan</t>
  </si>
  <si>
    <t>Matsukura, R (corresponding author), Hokkaido Univ, Grad Sch Environm Sci, Hakodate, Hokkaido 0418611, Japan.</t>
  </si>
  <si>
    <t>matukura@ees.hokudai.ac.jp</t>
  </si>
  <si>
    <t>Ando, Yasuhiro/D-6371-2012; Matsukura, Ryuichi/S-1094-2019; Mukai, Tohru/F-9143-2012</t>
  </si>
  <si>
    <t>JAPANESE SOC FISHERIES SCIENCE</t>
  </si>
  <si>
    <t>C/O TOKYO UNIV FISHERIES, KONAN 4, MINATO, TOKYO, 108-8477, JAPAN</t>
  </si>
  <si>
    <t>0021-5392</t>
  </si>
  <si>
    <t>1349-998X</t>
  </si>
  <si>
    <t>NIPPON SUISAN GAKK</t>
  </si>
  <si>
    <t>Nippon Suisan Gakkaishi</t>
  </si>
  <si>
    <t>10.2331/suisan.75.38</t>
  </si>
  <si>
    <t>416VW</t>
  </si>
  <si>
    <t>WOS:000264034600005</t>
  </si>
  <si>
    <t>Mudelsee, M; Scholz, D; Röthlisberger, R; Fleitmann, D; Mangini, A; Wolff, EW</t>
  </si>
  <si>
    <t>Mudelsee, M.; Scholz, D.; Roethlisberger, R.; Fleitmann, D.; Mangini, A.; Wolff, E. W.</t>
  </si>
  <si>
    <t>Climate spectrum estimation in the presence of timescale errors</t>
  </si>
  <si>
    <t>NONLINEAR PROCESSES IN GEOPHYSICS</t>
  </si>
  <si>
    <t>TIME-SERIES ANALYSIS; MONSOON; AUTOCORRELATION; VARIABILITY; WINDOWS; RECORD; OMAN</t>
  </si>
  <si>
    <t>We introduce an algorithm (called REDFITmc2) for spectrum estimation in the presence of timescale errors. It is based on the Lomb-Scargle periodogram for unevenly spaced time series, in combination with the Welch's Overlapped Segment Averaging procedure, bootstrap bias correction and persistence estimation. The timescale errors are modelled parametrically and included in the simulations for determining (1) the upper levels of the spectrum of the red-noise AR(1) alternative and (2) the uncertainty of the frequency of a spectral peak. Application of REDFITmc2 to ice core and stalagmite records of palaeoclimate allowed a more realistic evaluation of spectral peaks than when ignoring this source of uncertainty. The results support qualitatively the intuition that stronger effects on the spectrum estimate (decreased detectability and increased frequency uncertainty) occur for higher frequencies. The surplus information brought by algorithm REDFITmc2 is that those effects are quantified. Regarding timescale construction, not only the fixpoints, dating errors and the functional form of the age-depth model play a role. Also the joint distribution of all time points (serial correlation, stratigraphic order) determines spectrum estimation.</t>
  </si>
  <si>
    <t>[Mudelsee, M.; Roethlisberger, R.; Wolff, E. W.] British Antarctic Survey, Cambridge CB3 0ET, England; [Mudelsee, M.] Climate Risk Anal, Hannover, Germany; [Scholz, D.; Mangini, A.] Heidelberg Acad Sci, Heidelberg, Germany; [Scholz, D.] Univ Bristol, Sch Geog Sci, Bristol Isotope Grp, Bristol, Avon, England; [Fleitmann, D.] Univ Bern, Inst Geol Sci, Bern, Switzerland; [Scholz, D.] Univ Bern, Oeschger Ctr Climate Change Res, Bern, Switzerland</t>
  </si>
  <si>
    <t>UK Research &amp; Innovation (UKRI); Natural Environment Research Council (NERC); NERC British Antarctic Survey; University of Bristol; University of Bern; University of Bern</t>
  </si>
  <si>
    <t>Mudelsee, M (corresponding author), British Antarctic Survey, Cambridge CB3 0ET, England.</t>
  </si>
  <si>
    <t>mudelsee@mudelsee.com</t>
  </si>
  <si>
    <t>Scholz, Denis/G-1861-2016; Fleitmann, Domnik/HSF-0516-2023; Wolff, Eric W/D-7925-2014; Mudelsee, Manfred/C-6063-2018</t>
  </si>
  <si>
    <t>Scholz, Denis/0000-0002-0055-8915; Wolff, Eric W/0000-0002-5914-8531; Mudelsee, Manfred/0000-0002-2364-9561</t>
  </si>
  <si>
    <t>BCF/CACHE program (British Antarctic Survey); FG 668 of the DFG; NERC [bas010016] Funding Source: UKRI; Natural Environment Research Council [bas010016] Funding Source: researchfish</t>
  </si>
  <si>
    <t>BCF/CACHE program (British Antarctic Survey); FG 668 of the DFG(German Research Foundation (DFG)); NERC(UK Research &amp; Innovation (UKRI)Natural Environment Research Council (NERC)); Natural Environment Research Council(UK Research &amp; Innovation (UKRI)Natural Environment Research Council (NERC))</t>
  </si>
  <si>
    <t>MM acknowledges financial support from the BCF/CACHE program (British Antarctic Survey) and FG 668 of the DFG (Daphne).</t>
  </si>
  <si>
    <t>1023-5809</t>
  </si>
  <si>
    <t>NONLINEAR PROC GEOPH</t>
  </si>
  <si>
    <t>Nonlinear Process Geophys.</t>
  </si>
  <si>
    <t>10.5194/npg-16-43-2009</t>
  </si>
  <si>
    <t>Geosciences, Multidisciplinary; Mathematics, Interdisciplinary Applications; Meteorology &amp; Atmospheric Sciences; Physics, Fluids &amp; Plasmas</t>
  </si>
  <si>
    <t>Geology; Mathematics; Meteorology &amp; Atmospheric Sciences; Physics</t>
  </si>
  <si>
    <t>414BD</t>
  </si>
  <si>
    <t>WOS:000263838000005</t>
  </si>
  <si>
    <t>Franzke, C</t>
  </si>
  <si>
    <t>Franzke, C.</t>
  </si>
  <si>
    <t>Multi-scale analysis of teleconnection indices: climate noise and nonlinear trend analysis</t>
  </si>
  <si>
    <t>EMPIRICAL MODE DECOMPOSITION; NORTH-ATLANTIC OSCILLATION; TIME-SERIES; VARIABILITY; GROWTH; DYNAMICS</t>
  </si>
  <si>
    <t>The multi-scale nature and climate noise properties of teleconnection indices are examined by using the Empirical Mode Decomposition (EMD) procedure. The EMD procedure allows for the analysis of non-stationary time series to extract physically meaningful intrinsic mode functions (IMF) and nonlinear trends. The climatologically relevant monthly mean teleconnection indices of the North Atlantic Oscillation (NAO), the North Pacific index (NP) and the Southern Annular Mode (SAM) are analyzed. The significance of IMFs and trends are tested against the null hypothesis of climate noise. The analysis of surrogate monthly mean time series from a red noise process shows that the EMD procedure is effectively a dyadic filter bank and the IMFs (except the first IMF) are nearly Gaussian distributed. The distribution of the variance contained in IMFs of an ensemble of AR(1) simulations is nearly chi(2) distributed. To test the statistical significance of the IMFs of the teleconnection indices and their nonlinear trends we utilize an ensemble of corresponding monthly averaged AR(1) processes, which we refer to as climate noise. Our results indicate that most of the interannual and decadal variability of the analysed teleconnection indices cannot be distinguished from climate noise. The NP and SAM indices have significant nonlinear trends, while the NAO has no significant trend when tested against a climate noise hypothesis.</t>
  </si>
  <si>
    <t>NERC, British Antarctic Survey, Cambridge, England</t>
  </si>
  <si>
    <t>Franzke, C (corresponding author), NERC, British Antarctic Survey, Cambridge, England.</t>
  </si>
  <si>
    <t>chan1@bas.ac.uk</t>
  </si>
  <si>
    <t>Franzke, Christian/A-6191-2012</t>
  </si>
  <si>
    <t>Franzke, Christian/0000-0003-4111-1228</t>
  </si>
  <si>
    <t>1607-7946</t>
  </si>
  <si>
    <t>10.5194/npg-16-65-2009</t>
  </si>
  <si>
    <t>WOS:000263838000007</t>
  </si>
  <si>
    <t>Rolstad, C</t>
  </si>
  <si>
    <t>Rolstad, C.</t>
  </si>
  <si>
    <t>Large-scale force budget: Identification of interest areas and assessment of a data set for the large drainage basin of Jutulstraumen, East Antarctica</t>
  </si>
  <si>
    <t>NORSK GEOGRAFISK TIDSSKRIFT-NORWEGIAN JOURNAL OF GEOGRAPHY</t>
  </si>
  <si>
    <t>International-Association-of-Geomorphologists Regional Conference</t>
  </si>
  <si>
    <t>JUL, 2007</t>
  </si>
  <si>
    <t>Kota Kinabalu, MALAYSIA</t>
  </si>
  <si>
    <t>Antarctica; force budget; Jutulstraumen; measurement uncertainties; numerical modelling</t>
  </si>
  <si>
    <t>DRONNING MAUD LAND; ICE-SHEET; FLOW; GLACIER; DEFORMATION; ELEVATION; CLIMATE</t>
  </si>
  <si>
    <t>A large-scale force budget is a relatively simple but useful tool for initial investigation of ice dynamics; however, it requires an extensive data set. Identification of key measurement areas and assessment of the spatial variability of the required measurement accuracies is advantageous prior to measuring such large drainage basins. Identification of areas and assessment of data requires several steps and in the paper velocities and surface topography are modelled numerically for Jutulstraumen drainage basin, representing similar to 1% of the Antarctic ice sheet (124,000 km2). A preliminary large-scale force budget is calculated from the modelled results, and key areas are identified. Finally, the required measurement accuracies yielding 10% uncertainty of the estimated stresses are calculated through error propagation of the force budget equations. Based on the results it is recommended to prioritize more accurate measurements for determining the driving stresses for the entire basin, and the longitudinal stresses in the funnel area of Jutulstraumen. The required measurement accuracy varies strongly over the basin, limiting the effective use of remote sensed data for deriving stresses. Radar altimetry surface elevation data can be used on the lower half of the plateau, and InSAR velocity data on the lower parts of the plateau and down-glacier.</t>
  </si>
  <si>
    <t>Norwegian Univ Life Sci UMB, Dept Math Sci &amp; Technol, NO-1432 As, Norway</t>
  </si>
  <si>
    <t>Norwegian University of Life Sciences</t>
  </si>
  <si>
    <t>Rolstad, C (corresponding author), Norwegian Univ Life Sci UMB, Dept Math Sci &amp; Technol, Post Box 5003, NO-1432 As, Norway.</t>
  </si>
  <si>
    <t>cecilie.rolstad@umb.no</t>
  </si>
  <si>
    <t>0029-1951</t>
  </si>
  <si>
    <t>1502-5292</t>
  </si>
  <si>
    <t>NORSK GEOGR TIDSSKR</t>
  </si>
  <si>
    <t>Norsk. Geogr. Tidsskr.-Nor. J. Geogr.</t>
  </si>
  <si>
    <t>PII 912440936</t>
  </si>
  <si>
    <t>10.1080/00291950902907801</t>
  </si>
  <si>
    <t>Geography</t>
  </si>
  <si>
    <t>Social Science Citation Index (SSCI); Conference Proceedings Citation Index - Social Science &amp; Humanities (CPCI-SSH)</t>
  </si>
  <si>
    <t>459JN</t>
  </si>
  <si>
    <t>WOS:000267098100007</t>
  </si>
  <si>
    <t>Dach, R; Beutler, G; Gudmundsson, GH</t>
  </si>
  <si>
    <t>Sideris, MG</t>
  </si>
  <si>
    <t>Dach, R.; Beutler, G.; Gudmundsson, G. H.</t>
  </si>
  <si>
    <t>Analysis of GPS Data from An Antarctic Ice Stream</t>
  </si>
  <si>
    <t>OBSERVING OUR CHANGING EARTH</t>
  </si>
  <si>
    <t>International Association of Geodesy Symposia</t>
  </si>
  <si>
    <t>General Assembly of the International-Association-of-Geodesy/24th General Assembly of the International-Union-of-Geodesy-and-Geophysics</t>
  </si>
  <si>
    <t>JUL 02-13, 2007</t>
  </si>
  <si>
    <t>GPS; GNSS; Kinematic positioning; Ambiguity-fixing; Precise point positioning</t>
  </si>
  <si>
    <t>PHASE; TIME</t>
  </si>
  <si>
    <t>Temporal variations in the flow of an active ice stream are analyzed using GPS data collected over a period of two months at six different locations. The diameter of the network is about 60 km. The ice stream moves with a velocity of about one meter per day. The kinematic data are processed using three different strategies: zero-difference network solution, Precise Point Positioning, and double-difference network solution with resolved carrier phase ambiguities. The solutions are compared with regard to the quality of the resulting coordinate time series. Special attention is paid to the positional accuracy as a function of temporal frequency for these different analysis methods as the overall aim of the measurements is to estimate temporal variability in ice flow.</t>
  </si>
  <si>
    <t>[Dach, R.; Beutler, G.] Univ Bern, Astron Inst, Sidlerstr 5, CH-3012 Bern, Switzerland; [Gudmundsson, G. H.] British Antarctic Survey, Cambridge CB3 0ET, England</t>
  </si>
  <si>
    <t>University of Bern; UK Research &amp; Innovation (UKRI); Natural Environment Research Council (NERC); NERC British Antarctic Survey</t>
  </si>
  <si>
    <t>Dach, R (corresponding author), Univ Bern, Astron Inst, Sidlerstr 5, CH-3012 Bern, Switzerland.</t>
  </si>
  <si>
    <t>rolf.dach@aiub.unibe.ch</t>
  </si>
  <si>
    <t>Gudmundsson, Gudmundur Hilmar/F-6499-2012; Gudmundsson, Gudmundur Hilmar/AAU-5987-2020</t>
  </si>
  <si>
    <t>Gudmundsson, Gudmundur Hilmar/0000-0003-4236-5369; Gudmundsson, Gudmundur Hilmar/0000-0003-4236-5369</t>
  </si>
  <si>
    <t>0939-9585</t>
  </si>
  <si>
    <t>978-3-540-85425-8</t>
  </si>
  <si>
    <t>IAG SYMP</t>
  </si>
  <si>
    <t>Geochemistry &amp; Geophysics; Geology; Geosciences, Multidisciplinary</t>
  </si>
  <si>
    <t>BIT95</t>
  </si>
  <si>
    <t>WOS:000262710400067</t>
  </si>
  <si>
    <t>Haupt, BJ</t>
  </si>
  <si>
    <t>Long, JA; Wells, DS</t>
  </si>
  <si>
    <t>Haupt, Bernd J.</t>
  </si>
  <si>
    <t>OCEAN CIRCULATION: AN OVERVIEW AND CURRENT TRENDS IN RESEARCH</t>
  </si>
  <si>
    <t>OCEAN CIRCULATION AND EL NINO: NEW RESEARCH</t>
  </si>
  <si>
    <t>NORTH-ATLANTIC; NONLINEAR MODEL; CLIMATE-CHANGE; FRESH-WATER; ICE-CORE; HEINRICH; CONVEYOR; DRIVEN; SEESAW; LAYER</t>
  </si>
  <si>
    <t>Ocean circulation is the large-scale movement of water masses within and among ocean basins. Ocean currents are driven by wind as well as by thermal differences and are modified by ocean topography and the rotation of the Earth. Surface ocean water warms in equatorial and low-latitudinal regions. The surface circulation carries the warmer surface water to higher latitudes where it disburses heat from the water into the atmosphere. This cooling water becomes denser and eventually sinks into the deep ocean. The major areas for this so-called deepwater formation are the northern North Atlantic, where North Atlantic Deep Water and Labrador Sea Water forms, and the waters around Antarctica, where the coldest and densest deep ocean water, the Antarctic Bottom Water, is formed. In this chapter, we will examine the basic functions of the global three dimensional thermohaline circulation and its influence on climate. Included will be examples of research from three dimensional numerical climate models as well as results of data analyses that link changes in climate with changes in the freshwater balance of the ocean which result from alterations in the cryosphere and subsequent changes in the glob al ocean circulations system that transports heat and matter worldwide.</t>
  </si>
  <si>
    <t>Penn State Univ, Earth &amp; Environm Syst Inst, University Pk, PA 16802 USA</t>
  </si>
  <si>
    <t>Pennsylvania Commonwealth System of Higher Education (PCSHE); Pennsylvania State University; Pennsylvania State University - University Park</t>
  </si>
  <si>
    <t>Haupt, BJ (corresponding author), Penn State Univ, Earth &amp; Environm Syst Inst, 2217 Earth &amp; Engn Sci Bldg, University Pk, PA 16802 USA.</t>
  </si>
  <si>
    <t>978-1-60692-084-8</t>
  </si>
  <si>
    <t>BKT98</t>
  </si>
  <si>
    <t>WOS:000269226600004</t>
  </si>
  <si>
    <t>Renner, AHH; Heywood, KJ; Thorpe, SE</t>
  </si>
  <si>
    <t>Renner, Angelika H. H.; Heywood, Karen J.; Thorpe, Sally E.</t>
  </si>
  <si>
    <t>Validation of three global ocean models in the Weddell Sea</t>
  </si>
  <si>
    <t>OCEAN MODELLING</t>
  </si>
  <si>
    <t>Global ocean model; Weddell Sea; Hydrography; Sea ice; Deep water masses; Southern Ocean</t>
  </si>
  <si>
    <t>BOTTOM WATER PRODUCTION; NUMERICAL-MODEL; SOUTHERN-OCEAN; ICE THICKNESS; CIRCULATION; SENSITIVITY; IMPACT; THERMOHALINE; HYDROGRAPHY; HEMISPHERE</t>
  </si>
  <si>
    <t>We present a validation of three global z-level eddy-permitting/resolving ocean general circulation models against hydrographic observations and remote sensing sea ice data from the Weddell Sea. The Weddell Sea is a region in which complex processes such as water mass formation, sea ice formation and melt, and circulation under ice shelves take place. The representation of these processes is challenging even for the current generation of eddy-permitting ocean models. Simulating the hydrographic structure of this basin is a stringent test for models, notably so when considering the global influence of the regional processes. The performance of OCCAM (at two resolutions), ORCA025 and TPAC are tested regarding water mass properties, sea ice seasonality (OCCAM and ORCA025 only) and volume transport. OCCAM simulates the deep water masses reasonably well in both resolutions. The eddy-resolving run is not significantly better than the eddy-permitting simulation. ORCA025 and TPAC represent the surface layers and the Weddell Gyre circulation better but are generally too warm throughout the water column. All models underestimate Weddell Sea Bottom Water formation. Both OCCAM and ORCA025 struggle to correctly model the sea ice cover: OCCAM overestimates the summer ice extent while little multi-year sea ice remains in ORCA025. TPAC exhibits considerable drift in potential temperature during the model run. The choice of a model for a study has to be made carefully taking into account the model's performance in the specific area, application and variable of interest. We identify several starting points for improving the models, namely model numerics and parameterisations of subgridscale processes, ensuring more accurate forcing datasets, correct initialisation, and ice-ocean interactions, all of which are likely to have larger benefits than simply increasing the horizontal resolution beyond eddy permitting. (c) 2009 Elsevier Ltd. All rights reserved.</t>
  </si>
  <si>
    <t>[Renner, Angelika H. H.; Thorpe, Sally E.] British Antarctic Survey, Nat Environm Res Council, Cambridge CB3 0ET, England; [Renner, Angelika H. H.; Heywood, Karen J.] Univ E Anglia, Sch Environm Sci, Norwich NR4 7TJ, Norfolk, England</t>
  </si>
  <si>
    <t>UK Research &amp; Innovation (UKRI); Natural Environment Research Council (NERC); NERC British Antarctic Survey; University of East Anglia</t>
  </si>
  <si>
    <t>Renner, AHH (corresponding author), British Antarctic Survey, Nat Environm Res Council, Madingley Rd, Cambridge CB3 0ET, England.</t>
  </si>
  <si>
    <t>ahhre@bas.ac.uk</t>
  </si>
  <si>
    <t>European Commission; British Antarctic Survey [MEST-CT-2004-514159]; NERC [bas010017, NE/C50633X/1] Funding Source: UKRI; Natural Environment Research Council [bas010017, NE/C50633X/1] Funding Source: researchfish</t>
  </si>
  <si>
    <t>European Commission(European Union (EU)European Commission Joint Research Centre); British Antarctic Survey; NERC(UK Research &amp; Innovation (UKRI)Natural Environment Research Council (NERC)); Natural Environment Research Council(UK Research &amp; Innovation (UKRI)Natural Environment Research Council (NERC))</t>
  </si>
  <si>
    <t>We thank the modelling groups for their help and providing the model data: Andrew Coward and the OCCAM team at the National Oceanography Centre, Southampton, the DRAKKAR project team, esp. Jean-Marc Molines and Bernard Barnier at LEGI-Grenoble, and Jason Roberts at ACECRC. Eberhard Fahrbach at the Alfred Wegener Institute made the hydrographic data available. Nuno Nunes provided the ACC transports and Aike Beckmann valuable advice. Comments from Robert Hallberg and two anonymous reviewers helped to improve the manuscript. This work was funded by a EU Marie Curie Early Stage Training Fellowship in Antarctic Air-Sea-Ice Science (FAASIS) by the European Commission Marie-Curie Actions at the School of Environmental Sciences, University of East Anglia, and the British Antarctic Survey, Contract No. MEST-CT-2004-514159.</t>
  </si>
  <si>
    <t>1463-5003</t>
  </si>
  <si>
    <t>1463-5011</t>
  </si>
  <si>
    <t>OCEAN MODEL</t>
  </si>
  <si>
    <t>Ocean Model.</t>
  </si>
  <si>
    <t>10.1016/j.ocemod.2009.05.007</t>
  </si>
  <si>
    <t>487YB</t>
  </si>
  <si>
    <t>WOS:000269313600001</t>
  </si>
  <si>
    <t>Vancoppenolle, M; Fichefet, T; Goosse, H; Bouillon, S; Madec, G; Maqueda, MAM</t>
  </si>
  <si>
    <t>Vancoppenolle, Martin; Fichefet, Thierry; Goosse, Hugues; Bouillon, Sylvain; Madec, Gurvan; Maqueda, Miguel Angel Morales</t>
  </si>
  <si>
    <t>Simulating the mass balance and salinity of Arctic and Antarctic sea ice. 1. Model description and validation</t>
  </si>
  <si>
    <t>Sea ice; Model; Thickness; Salinity; Age; Arctic; Antarctic</t>
  </si>
  <si>
    <t>GENERAL-CIRCULATION MODEL; THICKNESS DISTRIBUTION; INTERANNUAL VARIABILITY; THERMAL-CONDUCTIVITY; THERMODYNAMIC MODEL; OCEAN CIRCULATION; SURFACE ALBEDO; AMUNDSEN SEAS; WEDDELL SEA; FRESH-WATER</t>
  </si>
  <si>
    <t>This paper is the first part of a twofold contribution dedicated to the new version of the Louvain-la-Neuve sea ice model LIM3. In this part, LIM3 is described and its results arc, compared with observations. LIM3 is a C-grid dynamic-thermodynamic model, including the representation of the subgrid-scale distributions of ice thickness, enthalpy, salinity and age. Brine entrapment and drainage as well as brine impact on ice thermodynamics are explicitly included. LIM3 is embedded into the ocean modelling system NEMO, using OPA9, a hydrostatic, primitive equation, finite difference ocean model in the 2 degrees x 2 degrees cos phi configuration ORCA2. Model performance is evaluated by performing a hindcast of the Arctic and Antarctic sea ice packs, forced by a combination of daily NCEP/NCAR reanalysis data and various climatologies. The annual cycle of sea ice growth and decay is very realistically captured with ice area, thickness, drift and snow depth in good agreement with observations. In the Arctic, the simulated geographical distributions of ice thickness and concentration are significantly improved when compared with earlier versions of LIM. Model deficiencies feature an overestimation (underestimation) of ice thickness in the Beaufort gyre (around the North Pole) as well as ail underestimation of ice thickness in the Southern Ocean. The simulated first year/multiyear sea ice limit agrees with observations. The values and distribution of sea ice age in the perennial ice zone are different from satellite-derived values, which is attributed to the different definitions of ice age. In conclusion, in light of the exhaustive sea ice analysis presented here, LIM3 is found to be an appropriate tool for large-scale sea ice and climate simulations. (C) 2008 Elsevier Ltd. All rights reserved.</t>
  </si>
  <si>
    <t>[Vancoppenolle, Martin; Fichefet, Thierry; Goosse, Hugues; Bouillon, Sylvain] Catholic Univ Louvain, Inst Astron &amp; Geophys Georges Lemaitre, B-1348 Louvain, Belgium; [Madec, Gurvan] Lab Oceanog &amp; Climat LOCEAN, Paris, France; [Madec, Gurvan] Natl Oceanog Ctr, Southampton, Hants, England; [Maqueda, Miguel Angel Morales] Proudman Oceanog Lab, Liverpool, Merseyside, England</t>
  </si>
  <si>
    <t>Universite Catholique Louvain; Sorbonne Universite; Museum National d'Histoire Naturelle (MNHN); NERC National Oceanography Centre; NERC National Oceanography Centre</t>
  </si>
  <si>
    <t>Vancoppenolle, M (corresponding author), Catholic Univ Louvain, Inst Astron &amp; Geophys Georges Lemaitre, Batiment Marc Hemptinne,Chemin Cyclotron 2, B-1348 Louvain, Belgium.</t>
  </si>
  <si>
    <t>vancop@astr.ucl.ac.be</t>
  </si>
  <si>
    <t>Vancoppenolle, Martin/AAA-7711-2022; Vancoppenolle, Martin/B-3750-2011; Maqueda, Miguel Angel Morales/AAJ-8138-2020; madec, gurvan/E-7825-2010</t>
  </si>
  <si>
    <t>Vancoppenolle, Martin/0000-0002-7573-8582; Vancoppenolle, Martin/0000-0002-7573-8582; madec, gurvan/0000-0002-6447-4198</t>
  </si>
  <si>
    <t>Belgian Science Federal Policy Office; Communaute Francaise de Belgique, ARC [04/09-316]; FRFC-FNRS; Natural Environment Research Council [soc010011, soc010007] Funding Source: researchfish; NERC [soc010011, soc010007] Funding Source: UKRI</t>
  </si>
  <si>
    <t>Belgian Science Federal Policy Office; Communaute Francaise de Belgique, ARC; FRFC-FNRS(Fonds de la Recherche Scientifique - FNRS); Natural Environment Research Council(UK Research &amp; Innovation (UKRI)Natural Environment Research Council (NERC)); NERC(UK Research &amp; Innovation (UKRI)Natural Environment Research Council (NERC))</t>
  </si>
  <si>
    <t>We thank the NEMO system team for support, confidence and discussions, Cecilia Bitz, Valerie Duliere, Olivier Lietaer, Bill Lipscomb and Ralph Tirnmermann for help on several technical topics and scientific discussions, Xavier Fettweis for work on the computer code, Eric Deleersnijder for discussions on the age of sea ice and Jean-Louis Tison, Wouter Lefebvre and the two anonymous reviewers for comments that greatly helped to improve this paper. The authors are grateful to Christian Haas for the thickness distribution data, Thorsten Markus for the snow depth data, Tony Worby for the ASPeCt data, Gennady Belchansky for the MY ice concentration data, NSIDC for the ice concentration and thickness data, and NCEP and NCAR for the reanalyses used to force the model. M.V. is supported by the Belgian Federal Science Policy Office and FNRS. H.G. is Research Associate with FNIZS. This work is done within the framework of the projects BELCANTO (funded by the Belgian Science Federal Policy Office), A Second-Generation Model of the Ocean System (funded by Communaute Francaise de Belgique, ARC 04/09-316) and Sea-ice biogeochemistry in polar oceans (funded by FRFC-FNRS).</t>
  </si>
  <si>
    <t>10.1016/j.ocemod.2008.10.005</t>
  </si>
  <si>
    <t>419RY</t>
  </si>
  <si>
    <t>WOS:000264238400003</t>
  </si>
  <si>
    <t>Vancoppenolle, M; Fichefet, T; Goosse, H</t>
  </si>
  <si>
    <t>Vancoppenolle, Martin; Fichefet, Thierry; Goosse, Hugues</t>
  </si>
  <si>
    <t>Simulating the mass balance and salinity of Arctic and Antarctic sea ice. 2. Importance of sea ice salinity variations</t>
  </si>
  <si>
    <t>THICKNESS DISTRIBUTION; THERMODYNAMIC MODEL; PHYSICAL-PROPERTIES; WEDDELL SEA; OCEAN; SENSITIVITY; PROFILE; GROWTH; EVOLUTION; CLIMATE</t>
  </si>
  <si>
    <t>Sea ice has a non-zero salinity that varies in space and time. This affects the sea ice thermal properties as well as the ice-ocean salt and freshwater exchanges, which may influence the sea ice mass balance and the polar oceans' characteristics. However, current sea ice models neglect or misrepresent the ice salinity. In this paper, we address the question of the importance of large-scale sea ice salinity variations for the sea ice mass balance and the upper ocean. To examine this question, we formulate salinity variations in the framework of the sea ice thickness distribution theory, using a simple parameterization for brine entrapment and drainage. The latter is tested one-dimensionally and then included in a three-dimensional large-scale ice-ocean model, OPA9-LIM3, which is run over 1970-2006, forced by a combination of atmospheric reanalyses and climatologies. Due to differences in the physical forcings, the model simulates Arctic and Antarctic sea ice salinity fields that profoundly differ, with a seasonal cycle that is found in reasonable agreement with available ice core data. Then, the role of salinity variations is analyzed by comparing the results of the simulation including the interactive salinity with several sensitivity runs using simpler representations of ice salinity. The simulated large-scale sea ice mass balance and upper ocean characteristics are found to be quite sensitive to the representation of ice salinity. In the Arctic, salinity variations induce changes in ice thickness up to one meter in some regions, due to modifications in the sea ice thermal properties. Around Antarctica, including salinity variations increases the simulated winter sea ice volume by up to 28% because of changes in ice-ocean interactions that stabilize the ocean. The model sensitivity to the sea ice salinity is of the same order of magnitude as a 10% change in bare ice albedo. Given the importance of salinity on the simulated sea ice characteristics, sea ice salinity variations should be included in assessments of the response of the high-latitude oceans to ongoing and future climate change. (C) 2008 Elsevier Ltd. All rights reserved.</t>
  </si>
  <si>
    <t>[Vancoppenolle, Martin; Fichefet, Thierry; Goosse, Hugues] Catholic Univ Louvain, Inst Astron &amp; Geophys G Lemaitre, B-3000 Louvain, Belgium</t>
  </si>
  <si>
    <t>Universite Catholique Louvain</t>
  </si>
  <si>
    <t>Vancoppenolle, M (corresponding author), Catholic Univ Louvain, Inst Astron &amp; Geophys G Lemaitre, B-3000 Louvain, Belgium.</t>
  </si>
  <si>
    <t>Vancoppenolle, Martin/AAA-7711-2022; Vancoppenolle, Martin/B-3750-2011</t>
  </si>
  <si>
    <t>Vancoppenolle, Martin/0000-0002-7573-8582; Vancoppenolle, Martin/0000-0002-7573-8582</t>
  </si>
  <si>
    <t>Belgian Science Federal Policy Office; Communaute Francaise de Belgique, ARC [04/09-316]; FRFC-FNRS</t>
  </si>
  <si>
    <t>Belgian Science Federal Policy Office; Communaute Francaise de Belgique, ARC; FRFC-FNRS(Fonds de la Recherche Scientifique - FNRS)</t>
  </si>
  <si>
    <t>We gratefully thank Tony Worby, Hajo Eicken, Chris Petrich, Austin Kovacs, Don Perovich, Jean-Louis Tison, Marcel Nicolaus and Christian Haas for providing some of their ice core data. We also thank Cecilia Bitz, Valerie Duliere, Ralph Timmermann, Didier Swingedouw, Austin Kovacs and Ivan Grozny for scientific discussions that helped improving this work, Miguel Angel Morales Maqueda, Chris Konig, Wouter Lefebvre and two anonymous reviewers for comments that helped to improve this manuscript. M.V. is supported by the Belgian Federal Science Policy Office and FNRS. H.G. is Research Associate with FNRS. This work is done within the framework of the projects BELCANTO (funded by the Belgian Science Federal Policy Office),A Second-Generation Model of the Ocean System (funded by Communaute Francaise de Belgique, ARC 04/09-316) andSea-ice biogeochemistry in polar oceans (funded by FRFC-FNRS).</t>
  </si>
  <si>
    <t>10.1016/j.ocemod.2008.11.003</t>
  </si>
  <si>
    <t>WOS:000264238400004</t>
  </si>
  <si>
    <t>Timmermann, R; Danilov, S; Schröter, J; Böning, C; Sidorenko, D; Rollenhagen, K</t>
  </si>
  <si>
    <t>Timmermann, Ralph; Danilov, Sergey; Schroeter, Jens; Boening, Carmen; Sidorenko, Dmitry; Rollenhagen, Katja</t>
  </si>
  <si>
    <t>Ocean circulation and sea ice distribution in a finite element global sea ice-ocean model</t>
  </si>
  <si>
    <t>WEDDELL SEA; NORTH-ATLANTIC; GENERAL-CIRCULATION; NUMERICAL-MODEL; COASTAL OCEAN; BOTTOM-WATER; ARCTIC-OCEAN; TRANSPORT; DYNAMICS; THICKNESS</t>
  </si>
  <si>
    <t>A newly developed global Finite Element Sea Ice-Ocean Model (FESOM) is presented. The ocean component is based on the Finite Element model of the North Atlantic (FENA) but has been substantially updated and extended. In addition to a faster realization of the numerical code, state-of-the-art parameterizations of subgrid-scale processes have been implemented. A Redi/GM scheme is employed to parameterize the effects of mesoscale eddies on lateral tracer distribution. Vertical mixing and convection are parameterized as a function of the Richardson number and the Monin-Obukhov length. A finite element dynamic-thermodynamic sea ice-model has been developed and coupled to the ocean component. Sea ice thermodynamics have been derived from the standard AWI sea ice model featuring a prognostic snow layer but neglecting internal heat storage. The dynamic part offers the viscous-plastic and elastic-viscous-plastic rheologies. All model components are discretized on a triangular/tetrahedral grid with a continuous, conforming representation of model variables. The coupled model is run in a global configuration and forced with NCEP daily atmospheric reanalysis data for 1948-2007. Results are analysed with a slight focus on the Southern Hemisphere. Many aspects of sea ice distribution and hydrography are found to be in good agreement with observations. As in most coarse-scale models, Gulf Stream transport is underestimated, but transports of the Kuroshio and the Antarctic Circumpolar Current appear realistic. The seasonal cycles of Arctic and Antarctic sea ice extents and Antarctic sea ice thickness are well captured; long- and short-term variability of ice coverage is found to be reproduced realistically in both hemispheres. The coupled model is now ready to be used in a wide range of applications. (C) 2008 Elsevier Ltd. All rights reserved.</t>
  </si>
  <si>
    <t>[Timmermann, Ralph; Danilov, Sergey; Schroeter, Jens; Boening, Carmen; Sidorenko, Dmitry; Rollenhagen, Katja] Alfred Wegener Inst Polar &amp; Marine Res, D-27515 Bremerhaven, Germany</t>
  </si>
  <si>
    <t>Timmermann, R (corresponding author), Alfred Wegener Inst Polar &amp; Marine Res, Postfach 120161, D-27515 Bremerhaven, Germany.</t>
  </si>
  <si>
    <t>Ralph.Timmermann@awi.de</t>
  </si>
  <si>
    <t>Boening, Claus/AAW-6387-2020; Boening, Claus W/HIR-8996-2022; Danilov, Sergey/S-6184-2016; Schröter, Jens G/H-8806-2016</t>
  </si>
  <si>
    <t>Boening, Claus/0000-0002-6251-5777; Boening, Claus W/0000-0002-6251-5777; Danilov, Sergey/0000-0001-8098-182X; Schröter, Jens G/0000-0002-9240-5798; Sidorenko, Dmitry/0000-0001-8579-6068</t>
  </si>
  <si>
    <t>10.1016/j.ocemod.2008.10.009</t>
  </si>
  <si>
    <t>430GH</t>
  </si>
  <si>
    <t>WOS:000264976300001</t>
  </si>
  <si>
    <t>Griffies, SM; Biastoch, A; Böning, C; Bryan, F; Danabasoglu, G; Chassignet, EP; England, MH; Gerdes, R; Haak, H; Hallberg, RW; Hazeleger, W; Jungclaus, J; Large, WG; Madec, G; Pirani, A; Samuels, BL; Scheinert, M; Sen Gupta, A; Severijns, CA; Simmons, HL; Treguier, AM; Winton, M; Yeager, S; Yin, JJ</t>
  </si>
  <si>
    <t>Griffies, Stephen M.; Biastoch, Arne; Boening, Claus; Bryan, Frank; Danabasoglu, Gokhan; Chassignet, Eric P.; England, Matthew H.; Gerdes, Ruediger; Haak, Helmuth; Hallberg, Robert W.; Hazeleger, Wilco; Jungclaus, Johann; Large, William G.; Madec, Gurvan; Pirani, Anna; Samuels, Bonita L.; Scheinert, Markus; Sen Gupta, Alex; Severijns, Camiel A.; Simmons, Harper L.; Treguier, Anne Marie; Winton, Mike; Yeager, Stephen; Yin, Jianjun</t>
  </si>
  <si>
    <t>Coordinated Ocean-ice Reference Experiments (COREs)</t>
  </si>
  <si>
    <t>Global ocean-ice modelling; Model comparison; Experimental design; Atmospheric forcing; Analysis diagnostics; Circulation stability; World ocean</t>
  </si>
  <si>
    <t>ANTARCTIC CIRCUMPOLAR CURRENT; GENERAL-CIRCULATION MODEL; COUPLED CLIMATE MODELS; FREE-SURFACE METHOD; NORTH-ATLANTIC; THERMOHALINE CIRCULATION; SOUTHERN-OCEAN; TRACER TRANSPORTS; HEAT-TRANSPORT; ANNUAL CYCLE</t>
  </si>
  <si>
    <t>Coordinated Ocean-ice Reference Experiments (COREs) are presented as a tool to explore the behaviour of global ocean-ice models under forcing from a common atmospheric dataset. We highlight issues arising when designing coupled global ocean and sea ice experiments, such as difficulties formulating a consistent forcing methodology and experimental protocol. Particular focus is given to the hydrological forcing, the details of which are key to realizing simulations with stable meridional overturning circulations. The atmospheric forcing from [Large, W., Yeager, S., 2004. Diurnal to decadal global forcing for ocean and sea-ice models: the data sets and flux climatologies. NCAR Technical Note: NCAR/TN-460+STR. CGD Division of the National Center for Atmospheric Research] was developed for coupled-ocean and sea ice models. We found it to be suitable for our purposes, even though its evaluation originally focussed mote on the ocean than on the sea-ice. Simulations with this atmospheric forcing are presented from seven global ocean-ice models using the CORE-1 design (repeating annual cycle of atmospheric forcing for 500 years). These simulations test the hypothesis that global ocean-ice models run under the same atmospheric state produce qualitatively similar simulations. The validity of this hypothesis is shown to depend on the chosen diagnostic. The CORE simulations provide feedback to the fidelity of the atmospheric forcing and model configuration, with identification of biases promoting avenues for forcing dataset and/or model development. Published by Elsevier Ltd.</t>
  </si>
  <si>
    <t>[Griffies, Stephen M.; Hallberg, Robert W.; Samuels, Bonita L.; Winton, Mike] NOAA, Geophys Fluid Dynam Lab, Princeton, NJ 08542 USA; [Biastoch, Arne; Boening, Claus; Scheinert, Markus] Leibniz IfM GEOMAR, Kiel, Germany; [Bryan, Frank; Danabasoglu, Gokhan; Large, William G.; Yeager, Stephen] Natl Ctr Atmospher Res, Boulder, CO 80307 USA; [Chassignet, Eric P.; Yin, Jianjun] Florida State Univ, Ctr Ocean Atmospher Predict Studies, Tallahassee, FL 32306 USA; [England, Matthew H.; Sen Gupta, Alex] Univ New S Wales, Climate Change Res Ctr, Sydney, NSW, Australia; [Gerdes, Ruediger] Alfred Wegener Inst Polar &amp; Marine Res, Bremerhaven, Germany; [Haak, Helmuth; Jungclaus, Johann] Max Planck Inst Meteorol, Hamburg, Germany; [Madec, Gurvan; Treguier, Anne Marie] CNRS UPMC IRD, Lab Oceanog &amp; Climat Experimentat &amp; Approch, Paris, France; [Hazeleger, Wilco; Severijns, Camiel A.] Royal Netherlands Meteorol Inst, NL-3730 AE De Bilt, Netherlands; [Pirani, Anna] Int CLIVAR, Princeton, NJ USA; [Pirani, Anna] Princeton Univ, AOS Program, Princeton, NJ 08544 USA; [Simmons, Harper L.] Univ Alaska, Int Arctic Res Ctr, Fairbanks, AK 99701 USA; [Treguier, Anne Marie] CNRS IFREMER UBO, Lab Phys Oceans, F-29280 Plouzane, France</t>
  </si>
  <si>
    <t>National Oceanic Atmospheric Admin (NOAA) - USA; Helmholtz Association; GEOMAR Helmholtz Center for Ocean Research Kiel; National Center Atmospheric Research (NCAR) - USA; State University System of Florida; Florida State University; University of New South Wales Sydney; Helmholtz Association; Alfred Wegener Institute, Helmholtz Centre for Polar &amp; Marine Research; Max Planck Society; Sorbonne Universite; Institut de Recherche pour le Developpement (IRD); Royal Netherlands Meteorological Institute; Princeton University; University of Alaska System; University of Alaska Fairbanks; Centre National de la Recherche Scientifique (CNRS); Ifremer; Institut de Recherche pour le Developpement (IRD); Universite de Bretagne Occidentale</t>
  </si>
  <si>
    <t>Griffies, SM (corresponding author), NOAA, Geophys Fluid Dynam Lab, Princeton Forrestal Campus Rte 1,201 Forrestal Rd, Princeton, NJ 08542 USA.</t>
  </si>
  <si>
    <t>stephen.griffies@noaa.gov</t>
  </si>
  <si>
    <t>Boening, Claus W/HIR-8996-2022; Griffies, Stephen Matthew/N-9144-2019; madec, gurvan/E-7825-2010; Boening, Claus W./B-1686-2012; Pirani, Anna/GSO-0172-2022; England, Matthew/A-7539-2011; Treguier, Anne Marie/B-7497-2009; Boening, Claus/AAW-6387-2020; Biastoch, Arne/B-5219-2014; Sen Gupta, Alexander/B-7995-2011; Bryan, Frank/I-1309-2016</t>
  </si>
  <si>
    <t>Boening, Claus W/0000-0002-6251-5777; Griffies, Stephen Matthew/0000-0002-3711-236X; madec, gurvan/0000-0002-6447-4198; Boening, Claus W./0000-0002-6251-5777; England, Matthew/0000-0001-9696-2930; Boening, Claus/0000-0002-6251-5777; Biastoch, Arne/0000-0003-3946-4390; Hazeleger, Wilco/0000-0002-4566-958X; Treguier, Anne Marie/0000-0003-4569-845X; Sen Gupta, Alexander/0000-0001-5226-871X; Chassignet, Eric/0000-0003-4710-7502; Bryan, Frank/0000-0003-1672-8330; Danabasoglu, Gokhan/0000-0003-4676-2732</t>
  </si>
  <si>
    <t>Natural Environment Research Council [soc010011] Funding Source: researchfish; NERC [soc010011] Funding Source: UKRI</t>
  </si>
  <si>
    <t>10.1016/j.ocemod.2008.08.007</t>
  </si>
  <si>
    <t>394BZ</t>
  </si>
  <si>
    <t>WOS:000262421500001</t>
  </si>
  <si>
    <t>Eden, C; Jochum, M; Danabasoglu, G</t>
  </si>
  <si>
    <t>Eden, Carsten; Jochum, Markus; Danabasoglu, Gokhan</t>
  </si>
  <si>
    <t>Effects of different closures for thickness diffusivity</t>
  </si>
  <si>
    <t>Ocean modelling; Meso-scale eddies; Eddy parameterisation</t>
  </si>
  <si>
    <t>GENERAL-CIRCULATION MODEL; GLOBAL OCEAN CIRCULATION; THERMOHALINE CIRCULATION; EDDY; SENSITIVITY; TRACER; PARAMETERIZATION; VARIABILITY; STABILITY; TRANSPORT</t>
  </si>
  <si>
    <t>The effects of spatial variations of the thickness diffusivity (K) appropriate to the parameterisation of [Gent, P.R. and McWilliams, J.C., 1990. isopycnal mixing in ocean circulation models. J. Phys. Oceanogr., 20, 150-155.] are assessed in a coarse resolution global ocean general circulation model. Simulations using three closures yielding different lateral and/or vertical variations in K are compared with a simulation using a constant value. Although the effects of changing K are in general small and all simulations remain biased compared to observations, we find systematic local sensitivities of the simulated circulation on K. In particular, increasing K near the surface in the tropical ocean lifts the depth of the equatorial thermocline, the strength of the Antarctic Circumpolar Current decreases while the subpolar and subtropical gyre transports in the North Atlantic increase by increasing K locally. We also find that the lateral and vertical structure of K given by a recently proposed closure reduces the negative temperature biases in the western North Atlantic by adjusting the pathways of the Gulf Stream and the North Atlantic Current to a more realistic position. (c) 2008 Elsevier Ltd. All rights reserved.</t>
  </si>
  <si>
    <t>[Eden, Carsten] IFM GEOMAR, D-24105 Kiel, Germany; [Jochum, Markus; Danabasoglu, Gokhan] NCAR, Boulder, CO 80305 USA</t>
  </si>
  <si>
    <t>Helmholtz Association; GEOMAR Helmholtz Center for Ocean Research Kiel; National Center Atmospheric Research (NCAR) - USA</t>
  </si>
  <si>
    <t>Eden, C (corresponding author), IFM GEOMAR, Duternbrooker Weg 20, D-24105 Kiel, Germany.</t>
  </si>
  <si>
    <t>ceden@ifm-geomar.de</t>
  </si>
  <si>
    <t>jochum, markus/C-2960-2015; jochum, markus/AAQ-7967-2020; jochum, markus/F-8237-2013</t>
  </si>
  <si>
    <t>jochum, markus/0000-0003-2690-3139; jochum, markus/0000-0003-2690-3139; Danabasoglu, Gokhan/0000-0003-4676-2732</t>
  </si>
  <si>
    <t>Deutsche Forschungsgemeinschaft [SPP 1158]; NSF [OCE-0336827]</t>
  </si>
  <si>
    <t>Deutsche Forschungsgemeinschaft(German Research Foundation (DFG)); NSF(National Science Foundation (NSF))</t>
  </si>
  <si>
    <t>This study was supported by the Deutsche Forschungsgemeinschaft within the SPP 1158 and by the NSF grant OCE-0336827 for the Climate Process Team on Eddy Mixed-Layer Interactions (CPT-EMILIE). Comments by two anonymous reviewers and Stephen Griffies helped to improve the manuscript. The computational resources were provided by the Scientific Computing Division of the National Center for Atmospheric Research (NCAR). NCAR is sponsored by the National Science Foundation.</t>
  </si>
  <si>
    <t>10.1016/j.ocemod.2008.08.004</t>
  </si>
  <si>
    <t>WOS:000262421500002</t>
  </si>
  <si>
    <t>Jongma, JI; Driesschaert, E; Fichefet, T; Goosse, H; Renssen, H</t>
  </si>
  <si>
    <t>Jongma, Jochem I.; Driesschaert, Ernmanuelle; Fichefet, Thierry; Goosse, Hugues; Renssen, Hans</t>
  </si>
  <si>
    <t>The effect of dynamic-thermodynamic icebergs on the Southern Ocean climate in a three-dimensional model</t>
  </si>
  <si>
    <t>Climate; Model; Icebergs; Meltwater; Southern Ocean; Convection; Sea-ice</t>
  </si>
  <si>
    <t>LAST GLACIAL MAXIMUM; ATLANTIC-OCEAN; NORTH-ATLANTIC; SEA-ICE; TRANSIENT-RESPONSES; ATMOSPHERIC CO2; MELTWATER; DRIFT; PARAMETERIZATION; TRAJECTORIES</t>
  </si>
  <si>
    <t>Melting icebergs are a mobile source of fresh water as well as a sink of latent heat. In most global climate models, the spatio-temporal redistribution of fresh water and latent heat fluxes related to icebergs is parameterized by an instantaneous more or less arbitrary flux distribution over some parts of the oceans. It is uncertain if such a parameterization provides a realistic representation of the role of icebergs in the coupled climate system. However, icebergs could have a significant climate role, in particular during past abrupt climate change events which have been associated with armada's of icebergs. We therefore present the interactive coupling of a global climate model to a dynamic thermodynamic iceberg model, leading to a more plausible spatio-temporal redistribution of fresh water and heat fluxes. We show first that our model is able to reproduce a reasonable iceberg distribution in both hemispheres when compared to recent data. Second, in a series of sensitivity experiments we explore cooling and freshening effects of dynamical icebergs on the upper Southern Ocean and we compare these dynamic iceberg results to the effects of an equivalent parameterized iceberg flux. In our model without interactive icebergs, the parameterized fluxes are distributed homogeneously South of 55 degrees S, whereas dynamic icebergs are found to be concentrated closer to shore except for a plume of icebergs floating North-East from the tip of the Antarctic Peninsula. Compared to homogeneous fluxes, the dynamic icebergs lead to a 10% greater net production of Antarctic bottom water (AABW). This increased bottom water production involves open ocean convection, which is enhanced by a less efficient stratification of the ocean when comparing to a homogeneous flux distribution. Icebergs facilitate the formation of sea-ice. In the sensitivity experiments, both the fresh water and the cooling flux lead to a significant increase in sea-ice area of 12% and 6%, respectively, directly affecting the highly coupled and interactive air/sea/ice system. The consequences are most pronounced along the sea-ice edge, where this sea-ice facilitation has the greatest potential to affect ocean stratification, for example by heat insulation and wind shielding, which further amplifies the cooling and freshening of the surface waters. (c) 2008 Elsevier Ltd. All rights reserved.</t>
  </si>
  <si>
    <t>[Jongma, Jochem I.; Renssen, Hans] Vrije Univ Amsterdam, Fac Earth &amp; Life Sci, NL-1081 HV Amsterdam, Netherlands; [Driesschaert, Ernmanuelle; Fichefet, Thierry; Goosse, Hugues] Univ Catholique Louvain, Inst Astron &amp; Geophys Georges La Maitre, B-1348 Louvain, Belgium</t>
  </si>
  <si>
    <t>Vrije Universiteit Amsterdam; Universite Catholique Louvain</t>
  </si>
  <si>
    <t>Jongma, JI (corresponding author), Vrije Univ Amsterdam, Fac Earth &amp; Life Sci, Boelelaan 1085, NL-1081 HV Amsterdam, Netherlands.</t>
  </si>
  <si>
    <t>jochem.jongma@falw.vu.nl</t>
  </si>
  <si>
    <t>Renssen, Hans/C-9927-2010</t>
  </si>
  <si>
    <t>Netherlands Organization for Scientific Research (NWO).; Fonds National de la Recherche Scientifique (FNRS-Belgium); Belgian Federal Science Policy Office; Research Program on Science for a Sustainable Development</t>
  </si>
  <si>
    <t>Netherlands Organization for Scientific Research (NWO).(Netherlands Organization for Scientific Research (NWO)); Fonds National de la Recherche Scientifique (FNRS-Belgium)(Fonds de la Recherche Scientifique - FNRS); Belgian Federal Science Policy Office(Belgian Federal Science Policy Office); Research Program on Science for a Sustainable Development</t>
  </si>
  <si>
    <t>We thank J.M. Campin for his contribution to the early development stages of the iceberg model, and G.R. Bigg for sharing implementation details of their iceberg model. J.I.J. and H.R. are supported by the Netherlands Organization for Scientific Research (NWO). H.G. is Research Associate with the Fonds National de la Recherche Scientifique (FNRS-Belgium). This work is supported by the Belgian Federal Science Policy Office, Research Program on Science for a Sustainable Development. All this support is gratefully acknowledged.</t>
  </si>
  <si>
    <t>10.1016/j.ocemod.2008.09.007</t>
  </si>
  <si>
    <t>WOS:000262421500006</t>
  </si>
  <si>
    <t>Klocker, A; McDougall, TJ; Jackett, DR</t>
  </si>
  <si>
    <t>Klocker, A.; McDougall, T. J.; Jackett, D. R.</t>
  </si>
  <si>
    <t>A new method for forming approximately neutral surfaces</t>
  </si>
  <si>
    <t>OCEAN SCIENCE</t>
  </si>
  <si>
    <t>ORTHOBARIC DENSITY; OCEAN</t>
  </si>
  <si>
    <t>We introduce a simple algorithm to improve existing density surfaces to ensure that the resulting surfaces are as close to neutral as possible. This means the slopes at any point on the surfaces are close to neutral tangent planes - the directions along which layered stirring and mixing occurs - minimizing the fictitious diapycnal diffusivity. Inverse techniques and layered models have been used for decades to understand ocean circulation. The most-used density surfaces are potential density or neutral density surfaces. Both these density surfaces and all others produce a fictitious diapycnal diffusivity to some degree due to the helical nature of neutral trajectories - with the magnitude of this artificial diffusivity in some cases being larger than the values measured in the ocean. Here we show how this error can be reduced by up to four orders of magnitude and therefore becomes insignificant compared to measured values, thus providing surfaces which would produce more accurate results when used for inverse techniques.</t>
  </si>
  <si>
    <t>[Klocker, A.] CSIRO Marine &amp; Atmospher Res, Castray Esplanade, Tas 7000, Australia; [Klocker, A.] Univ Tasmania, Antarctic Climate &amp; Ecosyst Cooperat Res Ctr, Hobart, Tas 7001, Australia; [Klocker, A.] Univ Tasmania, Inst Antarctic &amp; So Ocean Studies, Hobart, Tas 7001, Australia; [McDougall, T. J.; Jackett, D. R.] Ctr Australian Climate &amp; Weather Res, Castray Esplanade, Tas 7000, Australia</t>
  </si>
  <si>
    <t>Commonwealth Scientific &amp; Industrial Research Organisation (CSIRO); University of Tasmania; Antarctic Climate &amp; Ecosystems Cooperative Research Centre (ACE CRC); University of Tasmania</t>
  </si>
  <si>
    <t>Klocker, A (corresponding author), CSIRO Marine &amp; Atmospher Res, Castray Esplanade, Tas 7000, Australia.</t>
  </si>
  <si>
    <t>andreas.klocker@csiro.au</t>
  </si>
  <si>
    <t>McDougall, Trevor J/A-6770-2013; Klocker, Andreas/E-4632-2011</t>
  </si>
  <si>
    <t>Klocker, Andreas/0000-0002-2038-7922</t>
  </si>
  <si>
    <t>Wealth from Oceans National Research Flagship; Antarctic Climate and Ecosystems Cooperative Research Centre (ACE CRC)</t>
  </si>
  <si>
    <t>Wealth from Oceans National Research Flagship; Antarctic Climate and Ecosystems Cooperative Research Centre (ACE CRC)(Australian GovernmentDepartment of Industry, Innovation and ScienceCooperative Research Centres (CRC) Programme)</t>
  </si>
  <si>
    <t>We thank R. Fiedler for providing the model output. Thanks also go to J. Brown, B. Sloyan and Julien LeSommer for valuable comments on the manuscript. The first author is supported by a joint CSIRO-UTAS PhD scholarship in quantitative marine science (QMS) and a top-up CSIRO PhD stipend (funded from Wealth from Oceans National Research Flagship). This research was supported by the Antarctic Climate and Ecosystems Cooperative Research Centre (ACE CRC).</t>
  </si>
  <si>
    <t>1812-0784</t>
  </si>
  <si>
    <t>OCEAN SCI</t>
  </si>
  <si>
    <t>Ocean Sci.</t>
  </si>
  <si>
    <t>10.5194/os-5-155-2009</t>
  </si>
  <si>
    <t>V17LH</t>
  </si>
  <si>
    <t>WOS:000207938200005</t>
  </si>
  <si>
    <t>Stevens, CL; Robinson, NJ; Williams, MJM; Haskell, TG</t>
  </si>
  <si>
    <t>Stevens, C. L.; Robinson, N. J.; Williams, M. J. M.; Haskell, T. G.</t>
  </si>
  <si>
    <t>Observations of turbulence beneath sea ice in southern McMurdo Sound, Antarctica</t>
  </si>
  <si>
    <t>BOUNDARY-LAYER; UPPER OCEAN; MICROSTRUCTURE; DISSIPATION; OVERTURNS; STRESS; FLUX</t>
  </si>
  <si>
    <t>The first turbulence profiler observations beneath land fast sea ice which is directly adjacent to an Antarctic ice shelf are described. The stratification in the 325 m deep water column consisted of a layer of supercooled water in the upper 40 m lying above a quasi-linearly stratified water column with a sharp step in density at mid-depth. Turbulent energy dissipation rates were on average 3x10(-8) m(2) s(-3) with peak bin-averaged values reaching 4x10(-7) m(2) s(-3). The local dissipation rate per unit area was estimated to be 10 m Wm(-2) on average with a peak of 50 m Wm(-2). These values are consistent with a moderate baroclinic response to the tides. The small-scale turbulent energetics lie on the boundary between isotropy and buoyancy-affected. This will likely influence the formation and aggregation of frazil ice crystals within the supercooled layer. The data suggest that the large crystals observed in McMurdo Sound will transition from initial growth at scales smaller than the Kolmogorov lengthscale to sizes substantially (1-2 orders of magnitude) greater than the Kolmogorov scale. An estimate of the experiment-averaged vertical diffusivity of mass K yields a coefficient of around 2x10(-4) m(2)s(-1) although this increased by a factor of 2 near the surface. Combining this estimate of K with available observations of average and maximum currents suggests the layer of supercooled water can persist for a distance of similar to 250 km from the front of the McMurdo Ice Shelf.</t>
  </si>
  <si>
    <t>[Stevens, C. L.; Robinson, N. J.; Williams, M. J. M.] Natl Inst Water &amp; Atmospher Res, Greta Point Wellington, New Zealand; [Robinson, N. J.] Univ Otago, Dunedin, New Zealand; [Haskell, T. G.] Ind Res Ltd, Lower Hutt, New Zealand</t>
  </si>
  <si>
    <t>National Institute of Water &amp; Atmospheric Research (NIWA) - New Zealand; University of Otago; Callaghan Innovation</t>
  </si>
  <si>
    <t>Stevens, CL (corresponding author), Natl Inst Water &amp; Atmospher Res, Greta Point Wellington, New Zealand.</t>
  </si>
  <si>
    <t>c.stevens@niwa.cri.nz</t>
  </si>
  <si>
    <t>Williams, Michael/H-9674-2014; Robinson, Natalie J/I-4460-2015</t>
  </si>
  <si>
    <t>Stevens, Craig/0000-0002-4730-6985</t>
  </si>
  <si>
    <t>Antarctica New Zealand; New Zealand Foundation for Research Science and Technology Adaptation to Climate [C01X0202]</t>
  </si>
  <si>
    <t>Antarctica New Zealand; New Zealand Foundation for Research Science and Technology Adaptation to Climate</t>
  </si>
  <si>
    <t>Support was provided by Antarctica New Zealand and the New Zealand Foundation for Research Science and Technology Adaptation to Climate Contract C01X0202. Advice and assistance were provided by B. Staite, P. Langhorne, B. Grant, A. Mahoney, A. Gough and Rockland Scientific. The authors wish to thank Miles McPhee and William Shaw for their reviews of an earlier version of this paper.</t>
  </si>
  <si>
    <t>10.5194/os-5-435-2009</t>
  </si>
  <si>
    <t>536QT</t>
  </si>
  <si>
    <t>WOS:000273059600004</t>
  </si>
  <si>
    <t>Boehme, L; Lovell, P; Biuw, M; Roquet, F; Nicholson, J; Thorpe, SE; Meredith, MP; Fedak, M</t>
  </si>
  <si>
    <t>Boehme, L.; Lovell, P.; Biuw, M.; Roquet, F.; Nicholson, J.; Thorpe, S. E.; Meredith, M. P.; Fedak, M.</t>
  </si>
  <si>
    <t>Technical Note: Animal-borne CTD-Satellite Relay Data Loggers for real-time oceanographic data collection</t>
  </si>
  <si>
    <t>SOUTHERN-OCEAN; ELEPHANT SEALS; IN-SITU; TEMPERATURE; SALINITY; ACCURACY; WATERS</t>
  </si>
  <si>
    <t>The increasing need for continuous monitoring of the world oceans has stimulated the development of a range of autonomous sampling platforms. One novel addition to these approaches is a small, relatively inexpensive data-relaying device that can be deployed on marine mammals to provide vertical oceanographic profiles throughout the upper 2000 m of the water column. When an animal dives, the CTD-Satellite Relay Data Logger (CTD-SRDL) records vertical profiles of temperature, conductivity and pressure. Data are compressed once the animal returns to the surface where it is located by, and relays data to, the Argos satellite system. The technical challenges met in the design of the CTD-SRDL are the maximising of energy efficiency and minimising size, whilst simultaneously maintaining the reliability of an instrument that cannot be recovered and is required to survive its lifetime attached to a marine mammal. The CTD-SRDLs record temperature and salinity with an accuracy of better than 0.005 degrees C and 0.02 respectively. However, due to the limited availability of reference data, real-time data from remote places are often associated with slightly higher errors. The potential to collect large numbers of profiles cost-effectively makes data collection using CTD-SRDL technology particularly beneficial in regions where traditional oceanographic measurements are scarce or even absent. Depending on the CTD-SRDL configuration, it is possible to sample and transmit hydrographic profiles on a daily basis, providing valuable and often unique information for a real-time ocean observing system.</t>
  </si>
  <si>
    <t>[Boehme, L.; Lovell, P.; Biuw, M.; Fedak, M.] Univ St Andrews, Scottish Oceans Inst, NERC Sea Mammal Res Unit, St Andrews KY16 8LB, Fife, Scotland; [Nicholson, J.] Valeport Ltd, Totnes, England; [Thorpe, S. E.; Meredith, M. P.] British Antarctic Survey, NERC, Cambridge CB3 0ET, England</t>
  </si>
  <si>
    <t>University of St Andrews; UK Research &amp; Innovation (UKRI); Natural Environment Research Council (NERC); NERC British Antarctic Survey</t>
  </si>
  <si>
    <t>Boehme, L (corresponding author), Univ St Andrews, Scottish Oceans Inst, NERC Sea Mammal Res Unit, St Andrews KY16 8LB, Fife, Scotland.</t>
  </si>
  <si>
    <t>lb284@st-andrews.ac.uk</t>
  </si>
  <si>
    <t>Biuw, Martin/AAF-9895-2021; Roquet, Fabien/D-4848-2013; Fedak, Michael/B-3987-2009; Boehme, Lars/B-6567-2009</t>
  </si>
  <si>
    <t>Thorpe, Sally/0000-0002-5193-6955; Biuw, Martin/0000-0001-8051-3399; Fedak, Michael/0000-0002-9569-1128; Boehme, Lars/0000-0003-3513-6816; Meredith, Michael/0000-0002-7342-7756; Roquet, Fabien/0000-0003-1124-4564</t>
  </si>
  <si>
    <t>Natural Environment Research Council (NERC) [NE/E018289/1, NER/D/S/2002/00426]; Sea Mammal Research Unit Instrumentation Group of the University of St Andrews; British Antarctic Survey; Natural Environment Research Council [bas0100028, smru10001, NE/E018289/1] Funding Source: researchfish; NERC [bas0100028, NE/E018289/1] Funding Source: UKRI</t>
  </si>
  <si>
    <t>Natural Environment Research Council (NERC)(UK Research &amp; Innovation (UKRI)Natural Environment Research Council (NERC)); Sea Mammal Research Unit Instrumentation Group of the University of St Andrews; British Antarctic Survey; Natural Environment Research Council(UK Research &amp; Innovation (UKRI)Natural Environment Research Council (NERC)); NERC(UK Research &amp; Innovation (UKRI)Natural Environment Research Council (NERC))</t>
  </si>
  <si>
    <t>We would like to thank the Sea Mammal Research Unit Instrumentation Group for their endless work to improve their instruments. A special thanks to the staff and engineers of Valeport Ltd. for their help in designing the oceanographic sensors for the Sea Mammal Research Unit Instrumentation Group. The Naval Postgraduate School in Monterey, CA, USA, provided their calibration facilities for testing of CTD-SRDLs. We would also like to thank the three reviewers for their constructive criticism. Funding for instrument development was provided by the National Oceanographic Partnership Program Office of Naval Research. This research was funded by the Natural Environment Research Council (NERC) grants NE/E018289/1 and NER/D/S/2002/00426 and a NERC Co-operative Award in Science &amp; Engineering PhD studentship supported by the Sea Mammal Research Unit Instrumentation Group of the University of St Andrews and the British Antarctic Survey.</t>
  </si>
  <si>
    <t>10.5194/os-5-685-2009</t>
  </si>
  <si>
    <t>Green Accepted, Green Submitted, gold</t>
  </si>
  <si>
    <t>WOS:000273059600022</t>
  </si>
  <si>
    <t>González, VG; Kinkelin, RW</t>
  </si>
  <si>
    <t>Gonzalez, Virginia Gascon; Kinkelin, Rodolfo Werner</t>
  </si>
  <si>
    <t>Preserving the Antarctic Marine Food Web: Achievements and Challenges in Antarctic Krill Fisheries Management</t>
  </si>
  <si>
    <t>OCEAN YEARBOOK</t>
  </si>
  <si>
    <t>[Gonzalez, Virginia Gascon; Kinkelin, Rodolfo Werner] Antarctic Krill Conservat Project, San Carlos De Bariloche, Rio Negro, Argentina</t>
  </si>
  <si>
    <t>González, VG (corresponding author), Antarctic Krill Conservat Project, San Carlos De Bariloche, Rio Negro, Argentina.</t>
  </si>
  <si>
    <t>Pew Environment Group; Antarctic Krill Conservation Project</t>
  </si>
  <si>
    <t>The authors would like to thank Gerald Leape, Project Director, Antarctic Krill Conservation Project and the Pew Environment Group for their kind support during the completion of this article.</t>
  </si>
  <si>
    <t>BRILL ACADEMIC PUBLISHERS</t>
  </si>
  <si>
    <t>LEIDEN</t>
  </si>
  <si>
    <t>PLANTIJNSTRAAT 2, P O BOX 9000, 2300 PA LEIDEN, NETHERLANDS</t>
  </si>
  <si>
    <t>0191-8575</t>
  </si>
  <si>
    <t>2211-6001</t>
  </si>
  <si>
    <t>OCEAN YEARB</t>
  </si>
  <si>
    <t>Ocean Yearb.</t>
  </si>
  <si>
    <t>10.1163/22116001-90000197</t>
  </si>
  <si>
    <t>Environmental Studies</t>
  </si>
  <si>
    <t>V04JM</t>
  </si>
  <si>
    <t>WOS:000213801300011</t>
  </si>
  <si>
    <t>Barnes, J</t>
  </si>
  <si>
    <t>Rochette, J</t>
  </si>
  <si>
    <t>Barnes, James</t>
  </si>
  <si>
    <t>Good news from the Antarctic</t>
  </si>
  <si>
    <t>OCEANIS, VOL 35, NOS 1 AND 2: TOWARDS A NEW GOVERNANCE OF HIGH SEAS BIODIVERSITY</t>
  </si>
  <si>
    <t>Oceanis-Serie de Documents Oceanographiques</t>
  </si>
  <si>
    <t>International Seminar Towards a New Governance of High Seas Biodiversity</t>
  </si>
  <si>
    <t>MAR 20-21, 2008</t>
  </si>
  <si>
    <t>MONACO</t>
  </si>
  <si>
    <t>[Barnes, James] ASOC, Washington, DC 20009 USA</t>
  </si>
  <si>
    <t>jimbo0628@mac.com</t>
  </si>
  <si>
    <t>INST OCEANOGRAPHIQUE</t>
  </si>
  <si>
    <t>PARIS</t>
  </si>
  <si>
    <t>195 RUE SAINT-JACQUES, 75005 PARIS, FRANCE</t>
  </si>
  <si>
    <t>0182-0745</t>
  </si>
  <si>
    <t>978-2-903581-56-5</t>
  </si>
  <si>
    <t>OCEANIS-SER DOC</t>
  </si>
  <si>
    <t>Oceanis</t>
  </si>
  <si>
    <t>Biodiversity Conservation; Environmental Studies; Oceanography; Public Administration</t>
  </si>
  <si>
    <t>Conference Proceedings Citation Index - Science (CPCI-S); Conference Proceedings Citation Index - Social Science &amp; Humanities (CPCI-SSH)</t>
  </si>
  <si>
    <t>Biodiversity &amp; Conservation; Environmental Sciences &amp; Ecology; Oceanography; Public Administration</t>
  </si>
  <si>
    <t>BPR78</t>
  </si>
  <si>
    <t>WOS:000279738900019</t>
  </si>
  <si>
    <t>McPhail, SD; Furlong, ME; Pebody, M; Perrett, JR; Stevenson, P; Webb, A; White, D</t>
  </si>
  <si>
    <t>McPhail, S. D.; Furlong, M. E.; Pebody, M.; Perrett, J. R.; Stevenson, P.; Webb, A.; White, D.</t>
  </si>
  <si>
    <t>Exploring beneath the PIG Ice Shelf with the Autosub3 AUV</t>
  </si>
  <si>
    <t>OCEANS 2009 - EUROPE, VOLS 1 AND 2</t>
  </si>
  <si>
    <t>OCEANS-IEEE</t>
  </si>
  <si>
    <t>OCEANS 2009 - Europe Conference</t>
  </si>
  <si>
    <t>MAY 11-14, 2009</t>
  </si>
  <si>
    <t>Bremen, GERMANY</t>
  </si>
  <si>
    <t>AUTONOMOUS UNDERWATER VEHICLE; SEA-ICE; NAVIGATION</t>
  </si>
  <si>
    <t>On 31st January 2009, two numbers: range and bearing flashing up on a laptop screen, indicated that Autosub3 had returned from its last mission beneath the Pine Island Glacier (PIG) Ice Shelf in the Western Antarctic. The Autosub technical team from NOCS, Southampton, onboard the US ice breaker Nathanial B Palmer breathed a collective sigh of relief. Any significant technical failure would have resulted in total loss of the multi million Euro Autonomous Underwater Vehicle with no hope of recovery from 60 km into the ice shelf cavity. This was the last of six successful missions to investigate the shape the ice shelf, the sea bed bathymetry, the currents and the physical oceanography within the ice cavity. Each are vital to understanding the interaction between the sea water and the ice shelf, and quantifying whether the melting rate is changing. During the cruise, Autosub3 had run beneath the ice for almost 4 days and for 510 km. Autosub3 had been exploring the Pine Island Glacier, a floating extension of the West Antarctic ice sheet, as part of an international team effort lead by Dr Adrian Jenkins of the British Antarctic Survey and Dr Stanley Jacobs of the Lamont-Doherty Earth Observatory, New York. Autosub3 was launched from the Nathaniel B Palmer, an American icebreaker, as part of the two month cruise to investigate the oceanography, biology and glaciology of the Southern Amundsen Sea. This paper will concentrate on the technical aspects of the Autosub3 vehicle and its missions under the PIG, and seek to answer a number of questions: How did the AUV successfully dead reckon navigate for over 24 hours, and return accurately to the rendezvous point? How did we cope with the possibility of ice bergs or sea ice drifting over the recovery position ? How did Autosub3 (almost always) avoid collision with the jagged ice shelf above, or the unknown depths of the seabed? How did we communicate with the vehicle at the start and the end of missions? How did we manage risk, and prior to the cruise, what modifications and testing did we apply to the AUV to improve the overall reliability? What measures did we take during the cruise to further improve our chances of a successful outcome ? The paper will outline the history of the use of AUVs for polar science. Results from the recent cruise will be presented showing the actual mission tracks, with the echo sounder isonified ice draft and seabed. Not all went completely to plan: the paper will also describe the events of Autosub's close scrape on its 4(th) mission under the PIG.</t>
  </si>
  <si>
    <t>[McPhail, S. D.; Furlong, M. E.; Pebody, M.; Perrett, J. R.; Stevenson, P.; Webb, A.; White, D.] Natl Oceanog Ctr, Southampton, Hants, England</t>
  </si>
  <si>
    <t>McPhail, SD (corresponding author), Natl Oceanog Ctr, Southampton, Hants, England.</t>
  </si>
  <si>
    <t>0197-7385</t>
  </si>
  <si>
    <t>978-1-4244-2522-8</t>
  </si>
  <si>
    <t>Engineering, Ocean; Robotics; Oceanography</t>
  </si>
  <si>
    <t>Engineering; Robotics; Oceanography</t>
  </si>
  <si>
    <t>BON37</t>
  </si>
  <si>
    <t>WOS:000277066400081</t>
  </si>
  <si>
    <t>Ferguson, J</t>
  </si>
  <si>
    <t>Ferguson, James</t>
  </si>
  <si>
    <t>Under-Ice Seabed Mapping with AUVs</t>
  </si>
  <si>
    <t>In the past few years, there has been increasing interest in the use of the Arctic, both as an ocean waterway and as a source of natural resources and food. In support of these objectives, scientific studies and research to characterise the Arctic environment are being initiated. At the same time, northern nations have begun to collect the data that is necessary to assert their sovereignty claims under Article 76 of the United Nations Law of the Sea Convention (UNCLOS). With an Arctic landmass second only in area to that of Russia, Canada has a major interest in these activities. To support some of the effort, it has started to use Autonomous Underwater Vehicles (AUVs) to aid in the collection of under-ice seabed imagery. Remotely Operated Vehicles have been used fairly routinely for under-ice observation since the 1970's and the procedures associated with their use are straightforward. However, the coverage that an ROV can achieve is limited. In terms of mobility, the Autonomous Underwater Vehicle (AUV) is far more versatile. Operating without a tether, it can make undersea transits or surveys hundreds of kilometres in length. So far, use of the AUV in polar regions has been sparse and there is not a lot of operational experience with under-ice operations. In 1995 and 1996, however, the Canadian Department of National Defence (DND) and International Submarine Engineering Ltd. (ISE), operated a large AUV through ice in the Lincoln Sea, north of Alert, NWT, conducting missions in excess of 450 km. ISE is now using this experience to adapt the smaller 3000 m depth Explorer AUV for Antarctic missions with Memorial University and the University of Tasmania, in south polar regions. The company is also working with DND, Memorial University and the NRC, to ready two 5000 m depth AUVs for sea-floor mapping operations in 2010-11, in support of Canada's submission to UNCLOS. Mission lengths are again expected to be lengthy, up to 450 km under ice. The paper will review experience gained on earlier Arctic operations and outline the considerations and decisions that have so far been made to adapt AUV technology and procedures for the upcoming Arctic missions. Pre-deployment aspects include training, fail-safe provisions, mission planning and simulation, mission logistics and finally, loss provisions and insurance coverage for the vehicle. Operational aspects include dealing with extremely cold, ice-surface temperatures, the challenge of high latitude, inertial navigation, under-ice acoustic positioning, through- and under-ice communications with the AUV, acoustic homing to the recovery site and the procedures for recovery. Procedures for turning the vehicle around between missions including underwater docking options for battery charging, data download and mission upload will also be presented.</t>
  </si>
  <si>
    <t>Int Submarine Engn Ltd, Port Coquitlam, BC V3C 2M8, Canada</t>
  </si>
  <si>
    <t>Ferguson, J (corresponding author), Int Submarine Engn Ltd, 1734 Broadway St, Port Coquitlam, BC V3C 2M8, Canada.</t>
  </si>
  <si>
    <t>WOS:000277066400229</t>
  </si>
  <si>
    <t>Gerber, HW; Clauss, GF</t>
  </si>
  <si>
    <t>Gerber, Hans W.; Clauss, Guenther F.</t>
  </si>
  <si>
    <t>MABEL - Recovery Operation of the first long-term heavy Benthic Laboratory in the Deep Sea of Antarctica</t>
  </si>
  <si>
    <t>OMAE 2009, VOL 5</t>
  </si>
  <si>
    <t>28th International Conference on Ocean, Offshore and Arctic Engineering (OMAE)</t>
  </si>
  <si>
    <t>MAY 31-JUN 05, 2009</t>
  </si>
  <si>
    <t>Honolulu, HI</t>
  </si>
  <si>
    <t>Deep-Sea Intervention; Sea Ice; Antarctica</t>
  </si>
  <si>
    <t>This paper deals with the recovery operation of the bottom station MABEL (Multidisciplinary Antarctic Benthic Laboratory) with a mass of 1,7 tons in air that has been deployed in December 2005 from the German research vessel Polarstem, by means of a release transponder at a water depth of 1850 m, close to the shelf ice edge near the German polar research station Neumayer. The project is run under the umbrella of the Italian Antarctic programme by the project leader INGV (Istituto Nazionale di Geofisica i Vulcanlogia) /1/. During the cruise ANT XXV-2 of the Polarstem (organized by the German AWI - Alfred-Wegner-Institut) the German partners TFH Berlin and TU Berlin have been participating with their module MODUS (Mobile Docker for Underwater Sciences) to recover the station from the deep sea. The special circumstances in the Antarctic sea - the ice coverage of the deployment area and the tight time schedule for the operation - make such an operation quite delicate. This paper describes the special technology used both for the station and the recovery module. The operation itself will be discussed, showing the data of operation using a combined tracking of GPS-data and the underwater positioning system Posidonia of the Polarstem. The special circumstance of the operation was the inadequate data of the position achieved during the deployment, so that a safe search strategy had to be found. The mission ended successfully on December 16th, 2008 with the recovery of the MABEL station. Simulations for the system behaviour will be shown.</t>
  </si>
  <si>
    <t>[Gerber, Hans W.] Beuth Hsch Tech Berlin, FB 8, D-13353 Berlin, Germany</t>
  </si>
  <si>
    <t>Berliner Hochschule fur Technik</t>
  </si>
  <si>
    <t>Gerber, HW (corresponding author), Beuth Hsch Tech Berlin, FB 8, Luxemburger Str 10, D-13353 Berlin, Germany.</t>
  </si>
  <si>
    <t>hwgerber@tfh-berlin.de; Clauss@naoe.tu-berlin.de</t>
  </si>
  <si>
    <t>978-0-7918-4345-1</t>
  </si>
  <si>
    <t>Engineering, Marine; Engineering, Ocean</t>
  </si>
  <si>
    <t>BRL02</t>
  </si>
  <si>
    <t>WOS:000282991700022</t>
  </si>
  <si>
    <t>Beckers, JM</t>
  </si>
  <si>
    <t>Masciadri, E; Sarazin, M</t>
  </si>
  <si>
    <t>Beckers, Jacques M.</t>
  </si>
  <si>
    <t>USING THE SCINTILLATION OF EXTENDED OBJECTS TO PROBE THE LOWER ATMOSPHERE</t>
  </si>
  <si>
    <t>OPTICAL TURBULENCE: ASTRONOMY MEETS METEOROLOGY</t>
  </si>
  <si>
    <t>International Conference on Optical Turbulence - Astronomy Meets Meteorology</t>
  </si>
  <si>
    <t>SEP 15-18, 2008</t>
  </si>
  <si>
    <t>Sardinia, ITALY</t>
  </si>
  <si>
    <t>TECHNOLOGY SOLAR TELESCOPE</t>
  </si>
  <si>
    <t>The scintillation of point-like objects is primarily caused by thermal fluctuations in the upper atmosphere. For it the scintillation index (sigma(2)(1)) is proportional to the height integral of C 2 (h) weighted by a height dependent function F(h) = h(alpha) where alpha = +5/3. For extended. objects like the Sun or the Moon the height contribution to the (much smaller) scintillation is quite different. Because of their size the effects of the optical turbulence is averaged over an ever increasing area as the distance to the detector increases. Assuming vertical viewing, the area diameter increases like h*Omega where Omega is the angular diameter of the Sun or Moon. For Kolmogorov turbulence the function F(h) then still has the same shape, but with alpha = -1/3 so that the lower layers contribute more to scintillation. This makes it a good tool for the probing of the lower atmospheric layers. Unlike the sigma(2)(1) for stellar scintillation, the sigma(2)(1) for the Sun and the Moon is wavelength independent. Using an array of scintillometers one can probe the C(o)(2) (h) distribution of those lower layers in a technique called SHABAR. SHABARs have been used in site testing for lower atmosphere probing for solar and nighttime telescopes. The aim is to establish the height to place telescopes, like the Advanced Technology Solar Telescope (ATST), to minimize boundary layer seeing effects. SHABAR site tests using the Moon are planned both for Arctic sites (Hickson's contribution to this meeting) and Antarctic sites (Storey's contribution to this meeting) where boundary layer heights are very site dependant reaching sometimes very small values. In my contribution I described some of the solar results related to the ATST site testing. The scintillation of planets have all F(h) function different in shape from that of the Still or Moon. For low heights, where their beams still are narrow, F(h) has an alpha of +5/3 (as for stars); for large heights it is - 1/3 (as for the Sun &amp; Moon). For Mars the height contributions F(h) for seeing and scintillation are similar.</t>
  </si>
  <si>
    <t>jbeckers@cox.net</t>
  </si>
  <si>
    <t>IMPERIAL COLLEGE PRESS</t>
  </si>
  <si>
    <t>COVENT GARDEN</t>
  </si>
  <si>
    <t>57 SHELTON STREET, COVENT GARDEN WC2H 9HE, ENGLAND</t>
  </si>
  <si>
    <t>978-1-84816-485-7</t>
  </si>
  <si>
    <t>Astronomy &amp; Astrophysics; Meteorology &amp; Atmospheric Sciences</t>
  </si>
  <si>
    <t>BMY14</t>
  </si>
  <si>
    <t>WOS:000273869900003</t>
  </si>
  <si>
    <t>Storey, JWV; Ashley, MCB; Lawrence, JS</t>
  </si>
  <si>
    <t>Storey, J. W. V.; Ashley, M. C. B.; Lawrence, J. S.</t>
  </si>
  <si>
    <t>HOW WE CAN UNDERSTAND THE ANTARCTIC ATMOSPHERE?</t>
  </si>
  <si>
    <t>DIFFERENTIAL IMAGE MOTION; DOME-C; SOUTH-POLE; TURBULENCE; SCINTILLATION; ASTRONOMY</t>
  </si>
  <si>
    <t>The Antarctic Plateau offers many benefits to astronomers, including dark and transparent infrared skies, long periods of uninterrupted observations, and very low levels of atmospheric turbulence. Efforts to quantify these benefits are ongoing. Characterizing the turbulence is particularly challenging, and requires a different approach to that commonly used at temperate sites. First, the atmosphere has two quite distinct regimes: a free atmosphere that is largely devoid of turbulence, and a thin but highly turbulent stable boundary layer. Second, if heat is used to avoid frost formation on optical surfaces, local turbulence might inadvertently be created by the instrument trying to measure it. In this paper we review the work that has been performed to date, and discuss what is required to advance our understanding of the Antarctic atmosphere.</t>
  </si>
  <si>
    <t>[Storey, J. W. V.; Ashley, M. C. B.; Lawrence, J. S.] Univ New S Wales, Sch Phys, Sydney, NSW 2122, Australia</t>
  </si>
  <si>
    <t>Storey, JWV (corresponding author), Univ New S Wales, Sch Phys, Sydney, NSW 2122, Australia.</t>
  </si>
  <si>
    <t>Lawrence, Jon/0000-0002-6998-6993</t>
  </si>
  <si>
    <t>IMPERIAL COLL PRESS</t>
  </si>
  <si>
    <t>WOS:000273869900011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</si>
</sst>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87</v>
      </c>
      <c r="AC2" t="s">
        <v>88</v>
      </c>
      <c r="AD2" t="s">
        <v>89</v>
      </c>
      <c r="AE2" t="s">
        <v>90</v>
      </c>
      <c r="AF2" t="s">
        <v>74</v>
      </c>
      <c r="AG2">
        <v>48</v>
      </c>
      <c r="AH2">
        <v>10</v>
      </c>
      <c r="AI2">
        <v>14</v>
      </c>
      <c r="AJ2">
        <v>0</v>
      </c>
      <c r="AK2">
        <v>9</v>
      </c>
      <c r="AL2" t="s">
        <v>91</v>
      </c>
      <c r="AM2" t="s">
        <v>92</v>
      </c>
      <c r="AN2" t="s">
        <v>93</v>
      </c>
      <c r="AO2" t="s">
        <v>94</v>
      </c>
      <c r="AP2" t="s">
        <v>74</v>
      </c>
      <c r="AQ2" t="s">
        <v>74</v>
      </c>
      <c r="AR2" t="s">
        <v>95</v>
      </c>
      <c r="AS2" t="s">
        <v>96</v>
      </c>
      <c r="AT2" t="s">
        <v>97</v>
      </c>
      <c r="AU2">
        <v>2009</v>
      </c>
      <c r="AV2">
        <v>32</v>
      </c>
      <c r="AW2">
        <v>6</v>
      </c>
      <c r="AX2" t="s">
        <v>74</v>
      </c>
      <c r="AY2" t="s">
        <v>74</v>
      </c>
      <c r="AZ2" t="s">
        <v>74</v>
      </c>
      <c r="BA2" t="s">
        <v>74</v>
      </c>
      <c r="BB2">
        <v>833</v>
      </c>
      <c r="BC2">
        <v>838</v>
      </c>
      <c r="BD2" t="s">
        <v>74</v>
      </c>
      <c r="BE2" t="s">
        <v>98</v>
      </c>
      <c r="BF2" t="str">
        <f>HYPERLINK("http://dx.doi.org/10.1007/s00300-009-0583-8","http://dx.doi.org/10.1007/s00300-009-0583-8")</f>
        <v>http://dx.doi.org/10.1007/s00300-009-0583-8</v>
      </c>
      <c r="BG2" t="s">
        <v>74</v>
      </c>
      <c r="BH2" t="s">
        <v>74</v>
      </c>
      <c r="BI2">
        <v>6</v>
      </c>
      <c r="BJ2" t="s">
        <v>99</v>
      </c>
      <c r="BK2" t="s">
        <v>100</v>
      </c>
      <c r="BL2" t="s">
        <v>101</v>
      </c>
      <c r="BM2" t="s">
        <v>102</v>
      </c>
      <c r="BN2" t="s">
        <v>74</v>
      </c>
      <c r="BO2" t="s">
        <v>74</v>
      </c>
      <c r="BP2" t="s">
        <v>74</v>
      </c>
      <c r="BQ2" t="s">
        <v>74</v>
      </c>
      <c r="BR2" t="s">
        <v>103</v>
      </c>
      <c r="BS2" t="s">
        <v>104</v>
      </c>
      <c r="BT2" t="str">
        <f>HYPERLINK("https%3A%2F%2Fwww.webofscience.com%2Fwos%2Fwoscc%2Ffull-record%2FWOS:000266052000002","View Full Record in Web of Science")</f>
        <v>View Full Record in Web of Science</v>
      </c>
    </row>
    <row r="3" spans="1:72" x14ac:dyDescent="0.15">
      <c r="A3" t="s">
        <v>72</v>
      </c>
      <c r="B3" t="s">
        <v>105</v>
      </c>
      <c r="C3" t="s">
        <v>74</v>
      </c>
      <c r="D3" t="s">
        <v>74</v>
      </c>
      <c r="E3" t="s">
        <v>74</v>
      </c>
      <c r="F3" t="s">
        <v>106</v>
      </c>
      <c r="G3" t="s">
        <v>74</v>
      </c>
      <c r="H3" t="s">
        <v>74</v>
      </c>
      <c r="I3" t="s">
        <v>107</v>
      </c>
      <c r="J3" t="s">
        <v>77</v>
      </c>
      <c r="K3" t="s">
        <v>74</v>
      </c>
      <c r="L3" t="s">
        <v>74</v>
      </c>
      <c r="M3" t="s">
        <v>78</v>
      </c>
      <c r="N3" t="s">
        <v>79</v>
      </c>
      <c r="O3" t="s">
        <v>74</v>
      </c>
      <c r="P3" t="s">
        <v>74</v>
      </c>
      <c r="Q3" t="s">
        <v>74</v>
      </c>
      <c r="R3" t="s">
        <v>74</v>
      </c>
      <c r="S3" t="s">
        <v>74</v>
      </c>
      <c r="T3" t="s">
        <v>108</v>
      </c>
      <c r="U3" t="s">
        <v>109</v>
      </c>
      <c r="V3" t="s">
        <v>110</v>
      </c>
      <c r="W3" t="s">
        <v>111</v>
      </c>
      <c r="X3" t="s">
        <v>112</v>
      </c>
      <c r="Y3" t="s">
        <v>113</v>
      </c>
      <c r="Z3" t="s">
        <v>114</v>
      </c>
      <c r="AA3" t="s">
        <v>115</v>
      </c>
      <c r="AB3" t="s">
        <v>74</v>
      </c>
      <c r="AC3" t="s">
        <v>116</v>
      </c>
      <c r="AD3" t="s">
        <v>117</v>
      </c>
      <c r="AE3" t="s">
        <v>118</v>
      </c>
      <c r="AF3" t="s">
        <v>74</v>
      </c>
      <c r="AG3">
        <v>52</v>
      </c>
      <c r="AH3">
        <v>11</v>
      </c>
      <c r="AI3">
        <v>11</v>
      </c>
      <c r="AJ3">
        <v>0</v>
      </c>
      <c r="AK3">
        <v>9</v>
      </c>
      <c r="AL3" t="s">
        <v>91</v>
      </c>
      <c r="AM3" t="s">
        <v>92</v>
      </c>
      <c r="AN3" t="s">
        <v>93</v>
      </c>
      <c r="AO3" t="s">
        <v>94</v>
      </c>
      <c r="AP3" t="s">
        <v>119</v>
      </c>
      <c r="AQ3" t="s">
        <v>74</v>
      </c>
      <c r="AR3" t="s">
        <v>95</v>
      </c>
      <c r="AS3" t="s">
        <v>96</v>
      </c>
      <c r="AT3" t="s">
        <v>97</v>
      </c>
      <c r="AU3">
        <v>2009</v>
      </c>
      <c r="AV3">
        <v>32</v>
      </c>
      <c r="AW3">
        <v>6</v>
      </c>
      <c r="AX3" t="s">
        <v>74</v>
      </c>
      <c r="AY3" t="s">
        <v>74</v>
      </c>
      <c r="AZ3" t="s">
        <v>74</v>
      </c>
      <c r="BA3" t="s">
        <v>74</v>
      </c>
      <c r="BB3">
        <v>839</v>
      </c>
      <c r="BC3">
        <v>851</v>
      </c>
      <c r="BD3" t="s">
        <v>74</v>
      </c>
      <c r="BE3" t="s">
        <v>120</v>
      </c>
      <c r="BF3" t="str">
        <f>HYPERLINK("http://dx.doi.org/10.1007/s00300-009-0584-7","http://dx.doi.org/10.1007/s00300-009-0584-7")</f>
        <v>http://dx.doi.org/10.1007/s00300-009-0584-7</v>
      </c>
      <c r="BG3" t="s">
        <v>74</v>
      </c>
      <c r="BH3" t="s">
        <v>74</v>
      </c>
      <c r="BI3">
        <v>13</v>
      </c>
      <c r="BJ3" t="s">
        <v>99</v>
      </c>
      <c r="BK3" t="s">
        <v>100</v>
      </c>
      <c r="BL3" t="s">
        <v>101</v>
      </c>
      <c r="BM3" t="s">
        <v>102</v>
      </c>
      <c r="BN3" t="s">
        <v>74</v>
      </c>
      <c r="BO3" t="s">
        <v>74</v>
      </c>
      <c r="BP3" t="s">
        <v>74</v>
      </c>
      <c r="BQ3" t="s">
        <v>74</v>
      </c>
      <c r="BR3" t="s">
        <v>103</v>
      </c>
      <c r="BS3" t="s">
        <v>121</v>
      </c>
      <c r="BT3" t="str">
        <f>HYPERLINK("https%3A%2F%2Fwww.webofscience.com%2Fwos%2Fwoscc%2Ffull-record%2FWOS:000266052000003","View Full Record in Web of Science")</f>
        <v>View Full Record in Web of Science</v>
      </c>
    </row>
    <row r="4" spans="1:72" x14ac:dyDescent="0.15">
      <c r="A4" t="s">
        <v>72</v>
      </c>
      <c r="B4" t="s">
        <v>122</v>
      </c>
      <c r="C4" t="s">
        <v>74</v>
      </c>
      <c r="D4" t="s">
        <v>74</v>
      </c>
      <c r="E4" t="s">
        <v>74</v>
      </c>
      <c r="F4" t="s">
        <v>123</v>
      </c>
      <c r="G4" t="s">
        <v>74</v>
      </c>
      <c r="H4" t="s">
        <v>74</v>
      </c>
      <c r="I4" t="s">
        <v>124</v>
      </c>
      <c r="J4" t="s">
        <v>77</v>
      </c>
      <c r="K4" t="s">
        <v>74</v>
      </c>
      <c r="L4" t="s">
        <v>74</v>
      </c>
      <c r="M4" t="s">
        <v>78</v>
      </c>
      <c r="N4" t="s">
        <v>79</v>
      </c>
      <c r="O4" t="s">
        <v>74</v>
      </c>
      <c r="P4" t="s">
        <v>74</v>
      </c>
      <c r="Q4" t="s">
        <v>74</v>
      </c>
      <c r="R4" t="s">
        <v>74</v>
      </c>
      <c r="S4" t="s">
        <v>74</v>
      </c>
      <c r="T4" t="s">
        <v>125</v>
      </c>
      <c r="U4" t="s">
        <v>126</v>
      </c>
      <c r="V4" t="s">
        <v>127</v>
      </c>
      <c r="W4" t="s">
        <v>128</v>
      </c>
      <c r="X4" t="s">
        <v>129</v>
      </c>
      <c r="Y4" t="s">
        <v>130</v>
      </c>
      <c r="Z4" t="s">
        <v>131</v>
      </c>
      <c r="AA4" t="s">
        <v>132</v>
      </c>
      <c r="AB4" t="s">
        <v>133</v>
      </c>
      <c r="AC4" t="s">
        <v>134</v>
      </c>
      <c r="AD4" t="s">
        <v>135</v>
      </c>
      <c r="AE4" t="s">
        <v>136</v>
      </c>
      <c r="AF4" t="s">
        <v>74</v>
      </c>
      <c r="AG4">
        <v>35</v>
      </c>
      <c r="AH4">
        <v>63</v>
      </c>
      <c r="AI4">
        <v>78</v>
      </c>
      <c r="AJ4">
        <v>0</v>
      </c>
      <c r="AK4">
        <v>23</v>
      </c>
      <c r="AL4" t="s">
        <v>91</v>
      </c>
      <c r="AM4" t="s">
        <v>92</v>
      </c>
      <c r="AN4" t="s">
        <v>137</v>
      </c>
      <c r="AO4" t="s">
        <v>94</v>
      </c>
      <c r="AP4" t="s">
        <v>119</v>
      </c>
      <c r="AQ4" t="s">
        <v>74</v>
      </c>
      <c r="AR4" t="s">
        <v>95</v>
      </c>
      <c r="AS4" t="s">
        <v>96</v>
      </c>
      <c r="AT4" t="s">
        <v>97</v>
      </c>
      <c r="AU4">
        <v>2009</v>
      </c>
      <c r="AV4">
        <v>32</v>
      </c>
      <c r="AW4">
        <v>6</v>
      </c>
      <c r="AX4" t="s">
        <v>74</v>
      </c>
      <c r="AY4" t="s">
        <v>74</v>
      </c>
      <c r="AZ4" t="s">
        <v>74</v>
      </c>
      <c r="BA4" t="s">
        <v>74</v>
      </c>
      <c r="BB4">
        <v>853</v>
      </c>
      <c r="BC4">
        <v>860</v>
      </c>
      <c r="BD4" t="s">
        <v>74</v>
      </c>
      <c r="BE4" t="s">
        <v>138</v>
      </c>
      <c r="BF4" t="str">
        <f>HYPERLINK("http://dx.doi.org/10.1007/s00300-009-0585-6","http://dx.doi.org/10.1007/s00300-009-0585-6")</f>
        <v>http://dx.doi.org/10.1007/s00300-009-0585-6</v>
      </c>
      <c r="BG4" t="s">
        <v>74</v>
      </c>
      <c r="BH4" t="s">
        <v>74</v>
      </c>
      <c r="BI4">
        <v>8</v>
      </c>
      <c r="BJ4" t="s">
        <v>99</v>
      </c>
      <c r="BK4" t="s">
        <v>100</v>
      </c>
      <c r="BL4" t="s">
        <v>101</v>
      </c>
      <c r="BM4" t="s">
        <v>102</v>
      </c>
      <c r="BN4" t="s">
        <v>74</v>
      </c>
      <c r="BO4" t="s">
        <v>74</v>
      </c>
      <c r="BP4" t="s">
        <v>74</v>
      </c>
      <c r="BQ4" t="s">
        <v>74</v>
      </c>
      <c r="BR4" t="s">
        <v>103</v>
      </c>
      <c r="BS4" t="s">
        <v>139</v>
      </c>
      <c r="BT4" t="str">
        <f>HYPERLINK("https%3A%2F%2Fwww.webofscience.com%2Fwos%2Fwoscc%2Ffull-record%2FWOS:000266052000004","View Full Record in Web of Science")</f>
        <v>View Full Record in Web of Science</v>
      </c>
    </row>
    <row r="5" spans="1:72" x14ac:dyDescent="0.15">
      <c r="A5" t="s">
        <v>72</v>
      </c>
      <c r="B5" t="s">
        <v>140</v>
      </c>
      <c r="C5" t="s">
        <v>74</v>
      </c>
      <c r="D5" t="s">
        <v>74</v>
      </c>
      <c r="E5" t="s">
        <v>74</v>
      </c>
      <c r="F5" t="s">
        <v>141</v>
      </c>
      <c r="G5" t="s">
        <v>74</v>
      </c>
      <c r="H5" t="s">
        <v>74</v>
      </c>
      <c r="I5" t="s">
        <v>142</v>
      </c>
      <c r="J5" t="s">
        <v>77</v>
      </c>
      <c r="K5" t="s">
        <v>74</v>
      </c>
      <c r="L5" t="s">
        <v>74</v>
      </c>
      <c r="M5" t="s">
        <v>78</v>
      </c>
      <c r="N5" t="s">
        <v>79</v>
      </c>
      <c r="O5" t="s">
        <v>74</v>
      </c>
      <c r="P5" t="s">
        <v>74</v>
      </c>
      <c r="Q5" t="s">
        <v>74</v>
      </c>
      <c r="R5" t="s">
        <v>74</v>
      </c>
      <c r="S5" t="s">
        <v>74</v>
      </c>
      <c r="T5" t="s">
        <v>143</v>
      </c>
      <c r="U5" t="s">
        <v>144</v>
      </c>
      <c r="V5" t="s">
        <v>145</v>
      </c>
      <c r="W5" t="s">
        <v>146</v>
      </c>
      <c r="X5" t="s">
        <v>147</v>
      </c>
      <c r="Y5" t="s">
        <v>148</v>
      </c>
      <c r="Z5" t="s">
        <v>149</v>
      </c>
      <c r="AA5" t="s">
        <v>74</v>
      </c>
      <c r="AB5" t="s">
        <v>150</v>
      </c>
      <c r="AC5" t="s">
        <v>151</v>
      </c>
      <c r="AD5" t="s">
        <v>151</v>
      </c>
      <c r="AE5" t="s">
        <v>152</v>
      </c>
      <c r="AF5" t="s">
        <v>74</v>
      </c>
      <c r="AG5">
        <v>67</v>
      </c>
      <c r="AH5">
        <v>77</v>
      </c>
      <c r="AI5">
        <v>87</v>
      </c>
      <c r="AJ5">
        <v>2</v>
      </c>
      <c r="AK5">
        <v>44</v>
      </c>
      <c r="AL5" t="s">
        <v>91</v>
      </c>
      <c r="AM5" t="s">
        <v>92</v>
      </c>
      <c r="AN5" t="s">
        <v>137</v>
      </c>
      <c r="AO5" t="s">
        <v>94</v>
      </c>
      <c r="AP5" t="s">
        <v>119</v>
      </c>
      <c r="AQ5" t="s">
        <v>74</v>
      </c>
      <c r="AR5" t="s">
        <v>95</v>
      </c>
      <c r="AS5" t="s">
        <v>96</v>
      </c>
      <c r="AT5" t="s">
        <v>97</v>
      </c>
      <c r="AU5">
        <v>2009</v>
      </c>
      <c r="AV5">
        <v>32</v>
      </c>
      <c r="AW5">
        <v>6</v>
      </c>
      <c r="AX5" t="s">
        <v>74</v>
      </c>
      <c r="AY5" t="s">
        <v>74</v>
      </c>
      <c r="AZ5" t="s">
        <v>74</v>
      </c>
      <c r="BA5" t="s">
        <v>74</v>
      </c>
      <c r="BB5">
        <v>861</v>
      </c>
      <c r="BC5">
        <v>871</v>
      </c>
      <c r="BD5" t="s">
        <v>74</v>
      </c>
      <c r="BE5" t="s">
        <v>153</v>
      </c>
      <c r="BF5" t="str">
        <f>HYPERLINK("http://dx.doi.org/10.1007/s00300-009-0586-5","http://dx.doi.org/10.1007/s00300-009-0586-5")</f>
        <v>http://dx.doi.org/10.1007/s00300-009-0586-5</v>
      </c>
      <c r="BG5" t="s">
        <v>74</v>
      </c>
      <c r="BH5" t="s">
        <v>74</v>
      </c>
      <c r="BI5">
        <v>11</v>
      </c>
      <c r="BJ5" t="s">
        <v>99</v>
      </c>
      <c r="BK5" t="s">
        <v>100</v>
      </c>
      <c r="BL5" t="s">
        <v>101</v>
      </c>
      <c r="BM5" t="s">
        <v>102</v>
      </c>
      <c r="BN5" t="s">
        <v>74</v>
      </c>
      <c r="BO5" t="s">
        <v>74</v>
      </c>
      <c r="BP5" t="s">
        <v>74</v>
      </c>
      <c r="BQ5" t="s">
        <v>74</v>
      </c>
      <c r="BR5" t="s">
        <v>103</v>
      </c>
      <c r="BS5" t="s">
        <v>154</v>
      </c>
      <c r="BT5" t="str">
        <f>HYPERLINK("https%3A%2F%2Fwww.webofscience.com%2Fwos%2Fwoscc%2Ffull-record%2FWOS:000266052000005","View Full Record in Web of Science")</f>
        <v>View Full Record in Web of Science</v>
      </c>
    </row>
    <row r="6" spans="1:72" x14ac:dyDescent="0.15">
      <c r="A6" t="s">
        <v>72</v>
      </c>
      <c r="B6" t="s">
        <v>155</v>
      </c>
      <c r="C6" t="s">
        <v>74</v>
      </c>
      <c r="D6" t="s">
        <v>74</v>
      </c>
      <c r="E6" t="s">
        <v>74</v>
      </c>
      <c r="F6" t="s">
        <v>156</v>
      </c>
      <c r="G6" t="s">
        <v>74</v>
      </c>
      <c r="H6" t="s">
        <v>74</v>
      </c>
      <c r="I6" t="s">
        <v>157</v>
      </c>
      <c r="J6" t="s">
        <v>77</v>
      </c>
      <c r="K6" t="s">
        <v>74</v>
      </c>
      <c r="L6" t="s">
        <v>74</v>
      </c>
      <c r="M6" t="s">
        <v>78</v>
      </c>
      <c r="N6" t="s">
        <v>79</v>
      </c>
      <c r="O6" t="s">
        <v>74</v>
      </c>
      <c r="P6" t="s">
        <v>74</v>
      </c>
      <c r="Q6" t="s">
        <v>74</v>
      </c>
      <c r="R6" t="s">
        <v>74</v>
      </c>
      <c r="S6" t="s">
        <v>74</v>
      </c>
      <c r="T6" t="s">
        <v>158</v>
      </c>
      <c r="U6" t="s">
        <v>74</v>
      </c>
      <c r="V6" t="s">
        <v>159</v>
      </c>
      <c r="W6" t="s">
        <v>160</v>
      </c>
      <c r="X6" t="s">
        <v>161</v>
      </c>
      <c r="Y6" t="s">
        <v>162</v>
      </c>
      <c r="Z6" t="s">
        <v>163</v>
      </c>
      <c r="AA6" t="s">
        <v>74</v>
      </c>
      <c r="AB6" t="s">
        <v>74</v>
      </c>
      <c r="AC6" t="s">
        <v>164</v>
      </c>
      <c r="AD6" t="s">
        <v>165</v>
      </c>
      <c r="AE6" t="s">
        <v>166</v>
      </c>
      <c r="AF6" t="s">
        <v>74</v>
      </c>
      <c r="AG6">
        <v>15</v>
      </c>
      <c r="AH6">
        <v>9</v>
      </c>
      <c r="AI6">
        <v>9</v>
      </c>
      <c r="AJ6">
        <v>0</v>
      </c>
      <c r="AK6">
        <v>2</v>
      </c>
      <c r="AL6" t="s">
        <v>91</v>
      </c>
      <c r="AM6" t="s">
        <v>92</v>
      </c>
      <c r="AN6" t="s">
        <v>93</v>
      </c>
      <c r="AO6" t="s">
        <v>94</v>
      </c>
      <c r="AP6" t="s">
        <v>119</v>
      </c>
      <c r="AQ6" t="s">
        <v>74</v>
      </c>
      <c r="AR6" t="s">
        <v>95</v>
      </c>
      <c r="AS6" t="s">
        <v>96</v>
      </c>
      <c r="AT6" t="s">
        <v>97</v>
      </c>
      <c r="AU6">
        <v>2009</v>
      </c>
      <c r="AV6">
        <v>32</v>
      </c>
      <c r="AW6">
        <v>6</v>
      </c>
      <c r="AX6" t="s">
        <v>74</v>
      </c>
      <c r="AY6" t="s">
        <v>74</v>
      </c>
      <c r="AZ6" t="s">
        <v>74</v>
      </c>
      <c r="BA6" t="s">
        <v>74</v>
      </c>
      <c r="BB6">
        <v>873</v>
      </c>
      <c r="BC6">
        <v>878</v>
      </c>
      <c r="BD6" t="s">
        <v>74</v>
      </c>
      <c r="BE6" t="s">
        <v>167</v>
      </c>
      <c r="BF6" t="str">
        <f>HYPERLINK("http://dx.doi.org/10.1007/s00300-009-0588-3","http://dx.doi.org/10.1007/s00300-009-0588-3")</f>
        <v>http://dx.doi.org/10.1007/s00300-009-0588-3</v>
      </c>
      <c r="BG6" t="s">
        <v>74</v>
      </c>
      <c r="BH6" t="s">
        <v>74</v>
      </c>
      <c r="BI6">
        <v>6</v>
      </c>
      <c r="BJ6" t="s">
        <v>99</v>
      </c>
      <c r="BK6" t="s">
        <v>100</v>
      </c>
      <c r="BL6" t="s">
        <v>101</v>
      </c>
      <c r="BM6" t="s">
        <v>102</v>
      </c>
      <c r="BN6" t="s">
        <v>74</v>
      </c>
      <c r="BO6" t="s">
        <v>74</v>
      </c>
      <c r="BP6" t="s">
        <v>74</v>
      </c>
      <c r="BQ6" t="s">
        <v>74</v>
      </c>
      <c r="BR6" t="s">
        <v>103</v>
      </c>
      <c r="BS6" t="s">
        <v>168</v>
      </c>
      <c r="BT6" t="str">
        <f>HYPERLINK("https%3A%2F%2Fwww.webofscience.com%2Fwos%2Fwoscc%2Ffull-record%2FWOS:000266052000006","View Full Record in Web of Science")</f>
        <v>View Full Record in Web of Science</v>
      </c>
    </row>
    <row r="7" spans="1:72" x14ac:dyDescent="0.15">
      <c r="A7" t="s">
        <v>72</v>
      </c>
      <c r="B7" t="s">
        <v>169</v>
      </c>
      <c r="C7" t="s">
        <v>74</v>
      </c>
      <c r="D7" t="s">
        <v>74</v>
      </c>
      <c r="E7" t="s">
        <v>74</v>
      </c>
      <c r="F7" t="s">
        <v>170</v>
      </c>
      <c r="G7" t="s">
        <v>74</v>
      </c>
      <c r="H7" t="s">
        <v>74</v>
      </c>
      <c r="I7" t="s">
        <v>171</v>
      </c>
      <c r="J7" t="s">
        <v>77</v>
      </c>
      <c r="K7" t="s">
        <v>74</v>
      </c>
      <c r="L7" t="s">
        <v>74</v>
      </c>
      <c r="M7" t="s">
        <v>78</v>
      </c>
      <c r="N7" t="s">
        <v>172</v>
      </c>
      <c r="O7" t="s">
        <v>74</v>
      </c>
      <c r="P7" t="s">
        <v>74</v>
      </c>
      <c r="Q7" t="s">
        <v>74</v>
      </c>
      <c r="R7" t="s">
        <v>74</v>
      </c>
      <c r="S7" t="s">
        <v>74</v>
      </c>
      <c r="T7" t="s">
        <v>173</v>
      </c>
      <c r="U7" t="s">
        <v>174</v>
      </c>
      <c r="V7" t="s">
        <v>175</v>
      </c>
      <c r="W7" t="s">
        <v>176</v>
      </c>
      <c r="X7" t="s">
        <v>177</v>
      </c>
      <c r="Y7" t="s">
        <v>178</v>
      </c>
      <c r="Z7" t="s">
        <v>179</v>
      </c>
      <c r="AA7" t="s">
        <v>180</v>
      </c>
      <c r="AB7" t="s">
        <v>181</v>
      </c>
      <c r="AC7" t="s">
        <v>182</v>
      </c>
      <c r="AD7" t="s">
        <v>183</v>
      </c>
      <c r="AE7" t="s">
        <v>184</v>
      </c>
      <c r="AF7" t="s">
        <v>74</v>
      </c>
      <c r="AG7">
        <v>106</v>
      </c>
      <c r="AH7">
        <v>40</v>
      </c>
      <c r="AI7">
        <v>42</v>
      </c>
      <c r="AJ7">
        <v>0</v>
      </c>
      <c r="AK7">
        <v>31</v>
      </c>
      <c r="AL7" t="s">
        <v>91</v>
      </c>
      <c r="AM7" t="s">
        <v>92</v>
      </c>
      <c r="AN7" t="s">
        <v>93</v>
      </c>
      <c r="AO7" t="s">
        <v>94</v>
      </c>
      <c r="AP7" t="s">
        <v>119</v>
      </c>
      <c r="AQ7" t="s">
        <v>74</v>
      </c>
      <c r="AR7" t="s">
        <v>95</v>
      </c>
      <c r="AS7" t="s">
        <v>96</v>
      </c>
      <c r="AT7" t="s">
        <v>97</v>
      </c>
      <c r="AU7">
        <v>2009</v>
      </c>
      <c r="AV7">
        <v>32</v>
      </c>
      <c r="AW7">
        <v>6</v>
      </c>
      <c r="AX7" t="s">
        <v>74</v>
      </c>
      <c r="AY7" t="s">
        <v>74</v>
      </c>
      <c r="AZ7" t="s">
        <v>74</v>
      </c>
      <c r="BA7" t="s">
        <v>74</v>
      </c>
      <c r="BB7">
        <v>879</v>
      </c>
      <c r="BC7">
        <v>895</v>
      </c>
      <c r="BD7" t="s">
        <v>74</v>
      </c>
      <c r="BE7" t="s">
        <v>185</v>
      </c>
      <c r="BF7" t="str">
        <f>HYPERLINK("http://dx.doi.org/10.1007/s00300-009-0589-2","http://dx.doi.org/10.1007/s00300-009-0589-2")</f>
        <v>http://dx.doi.org/10.1007/s00300-009-0589-2</v>
      </c>
      <c r="BG7" t="s">
        <v>74</v>
      </c>
      <c r="BH7" t="s">
        <v>74</v>
      </c>
      <c r="BI7">
        <v>17</v>
      </c>
      <c r="BJ7" t="s">
        <v>99</v>
      </c>
      <c r="BK7" t="s">
        <v>100</v>
      </c>
      <c r="BL7" t="s">
        <v>101</v>
      </c>
      <c r="BM7" t="s">
        <v>102</v>
      </c>
      <c r="BN7" t="s">
        <v>74</v>
      </c>
      <c r="BO7" t="s">
        <v>74</v>
      </c>
      <c r="BP7" t="s">
        <v>74</v>
      </c>
      <c r="BQ7" t="s">
        <v>74</v>
      </c>
      <c r="BR7" t="s">
        <v>103</v>
      </c>
      <c r="BS7" t="s">
        <v>186</v>
      </c>
      <c r="BT7" t="str">
        <f>HYPERLINK("https%3A%2F%2Fwww.webofscience.com%2Fwos%2Fwoscc%2Ffull-record%2FWOS:000266052000007","View Full Record in Web of Science")</f>
        <v>View Full Record in Web of Science</v>
      </c>
    </row>
    <row r="8" spans="1:72" x14ac:dyDescent="0.15">
      <c r="A8" t="s">
        <v>72</v>
      </c>
      <c r="B8" t="s">
        <v>187</v>
      </c>
      <c r="C8" t="s">
        <v>74</v>
      </c>
      <c r="D8" t="s">
        <v>74</v>
      </c>
      <c r="E8" t="s">
        <v>74</v>
      </c>
      <c r="F8" t="s">
        <v>188</v>
      </c>
      <c r="G8" t="s">
        <v>74</v>
      </c>
      <c r="H8" t="s">
        <v>74</v>
      </c>
      <c r="I8" t="s">
        <v>189</v>
      </c>
      <c r="J8" t="s">
        <v>77</v>
      </c>
      <c r="K8" t="s">
        <v>74</v>
      </c>
      <c r="L8" t="s">
        <v>74</v>
      </c>
      <c r="M8" t="s">
        <v>78</v>
      </c>
      <c r="N8" t="s">
        <v>79</v>
      </c>
      <c r="O8" t="s">
        <v>74</v>
      </c>
      <c r="P8" t="s">
        <v>74</v>
      </c>
      <c r="Q8" t="s">
        <v>74</v>
      </c>
      <c r="R8" t="s">
        <v>74</v>
      </c>
      <c r="S8" t="s">
        <v>74</v>
      </c>
      <c r="T8" t="s">
        <v>190</v>
      </c>
      <c r="U8" t="s">
        <v>191</v>
      </c>
      <c r="V8" t="s">
        <v>192</v>
      </c>
      <c r="W8" t="s">
        <v>193</v>
      </c>
      <c r="X8" t="s">
        <v>194</v>
      </c>
      <c r="Y8" t="s">
        <v>195</v>
      </c>
      <c r="Z8" t="s">
        <v>196</v>
      </c>
      <c r="AA8" t="s">
        <v>197</v>
      </c>
      <c r="AB8" t="s">
        <v>198</v>
      </c>
      <c r="AC8" t="s">
        <v>74</v>
      </c>
      <c r="AD8" t="s">
        <v>74</v>
      </c>
      <c r="AE8" t="s">
        <v>74</v>
      </c>
      <c r="AF8" t="s">
        <v>74</v>
      </c>
      <c r="AG8">
        <v>20</v>
      </c>
      <c r="AH8">
        <v>5</v>
      </c>
      <c r="AI8">
        <v>7</v>
      </c>
      <c r="AJ8">
        <v>0</v>
      </c>
      <c r="AK8">
        <v>6</v>
      </c>
      <c r="AL8" t="s">
        <v>91</v>
      </c>
      <c r="AM8" t="s">
        <v>92</v>
      </c>
      <c r="AN8" t="s">
        <v>93</v>
      </c>
      <c r="AO8" t="s">
        <v>94</v>
      </c>
      <c r="AP8" t="s">
        <v>119</v>
      </c>
      <c r="AQ8" t="s">
        <v>74</v>
      </c>
      <c r="AR8" t="s">
        <v>95</v>
      </c>
      <c r="AS8" t="s">
        <v>96</v>
      </c>
      <c r="AT8" t="s">
        <v>97</v>
      </c>
      <c r="AU8">
        <v>2009</v>
      </c>
      <c r="AV8">
        <v>32</v>
      </c>
      <c r="AW8">
        <v>6</v>
      </c>
      <c r="AX8" t="s">
        <v>74</v>
      </c>
      <c r="AY8" t="s">
        <v>74</v>
      </c>
      <c r="AZ8" t="s">
        <v>74</v>
      </c>
      <c r="BA8" t="s">
        <v>74</v>
      </c>
      <c r="BB8">
        <v>907</v>
      </c>
      <c r="BC8">
        <v>914</v>
      </c>
      <c r="BD8" t="s">
        <v>74</v>
      </c>
      <c r="BE8" t="s">
        <v>199</v>
      </c>
      <c r="BF8" t="str">
        <f>HYPERLINK("http://dx.doi.org/10.1007/s00300-009-0591-8","http://dx.doi.org/10.1007/s00300-009-0591-8")</f>
        <v>http://dx.doi.org/10.1007/s00300-009-0591-8</v>
      </c>
      <c r="BG8" t="s">
        <v>74</v>
      </c>
      <c r="BH8" t="s">
        <v>74</v>
      </c>
      <c r="BI8">
        <v>8</v>
      </c>
      <c r="BJ8" t="s">
        <v>99</v>
      </c>
      <c r="BK8" t="s">
        <v>100</v>
      </c>
      <c r="BL8" t="s">
        <v>101</v>
      </c>
      <c r="BM8" t="s">
        <v>102</v>
      </c>
      <c r="BN8" t="s">
        <v>74</v>
      </c>
      <c r="BO8" t="s">
        <v>74</v>
      </c>
      <c r="BP8" t="s">
        <v>74</v>
      </c>
      <c r="BQ8" t="s">
        <v>74</v>
      </c>
      <c r="BR8" t="s">
        <v>103</v>
      </c>
      <c r="BS8" t="s">
        <v>200</v>
      </c>
      <c r="BT8" t="str">
        <f>HYPERLINK("https%3A%2F%2Fwww.webofscience.com%2Fwos%2Fwoscc%2Ffull-record%2FWOS:000266052000009","View Full Record in Web of Science")</f>
        <v>View Full Record in Web of Science</v>
      </c>
    </row>
    <row r="9" spans="1:72" x14ac:dyDescent="0.15">
      <c r="A9" t="s">
        <v>72</v>
      </c>
      <c r="B9" t="s">
        <v>201</v>
      </c>
      <c r="C9" t="s">
        <v>74</v>
      </c>
      <c r="D9" t="s">
        <v>74</v>
      </c>
      <c r="E9" t="s">
        <v>74</v>
      </c>
      <c r="F9" t="s">
        <v>202</v>
      </c>
      <c r="G9" t="s">
        <v>74</v>
      </c>
      <c r="H9" t="s">
        <v>74</v>
      </c>
      <c r="I9" t="s">
        <v>203</v>
      </c>
      <c r="J9" t="s">
        <v>77</v>
      </c>
      <c r="K9" t="s">
        <v>74</v>
      </c>
      <c r="L9" t="s">
        <v>74</v>
      </c>
      <c r="M9" t="s">
        <v>78</v>
      </c>
      <c r="N9" t="s">
        <v>79</v>
      </c>
      <c r="O9" t="s">
        <v>74</v>
      </c>
      <c r="P9" t="s">
        <v>74</v>
      </c>
      <c r="Q9" t="s">
        <v>74</v>
      </c>
      <c r="R9" t="s">
        <v>74</v>
      </c>
      <c r="S9" t="s">
        <v>74</v>
      </c>
      <c r="T9" t="s">
        <v>204</v>
      </c>
      <c r="U9" t="s">
        <v>205</v>
      </c>
      <c r="V9" t="s">
        <v>206</v>
      </c>
      <c r="W9" t="s">
        <v>207</v>
      </c>
      <c r="X9" t="s">
        <v>208</v>
      </c>
      <c r="Y9" t="s">
        <v>209</v>
      </c>
      <c r="Z9" t="s">
        <v>210</v>
      </c>
      <c r="AA9" t="s">
        <v>211</v>
      </c>
      <c r="AB9" t="s">
        <v>212</v>
      </c>
      <c r="AC9" t="s">
        <v>213</v>
      </c>
      <c r="AD9" t="s">
        <v>214</v>
      </c>
      <c r="AE9" t="s">
        <v>215</v>
      </c>
      <c r="AF9" t="s">
        <v>74</v>
      </c>
      <c r="AG9">
        <v>27</v>
      </c>
      <c r="AH9">
        <v>6</v>
      </c>
      <c r="AI9">
        <v>6</v>
      </c>
      <c r="AJ9">
        <v>0</v>
      </c>
      <c r="AK9">
        <v>12</v>
      </c>
      <c r="AL9" t="s">
        <v>91</v>
      </c>
      <c r="AM9" t="s">
        <v>92</v>
      </c>
      <c r="AN9" t="s">
        <v>93</v>
      </c>
      <c r="AO9" t="s">
        <v>94</v>
      </c>
      <c r="AP9" t="s">
        <v>119</v>
      </c>
      <c r="AQ9" t="s">
        <v>74</v>
      </c>
      <c r="AR9" t="s">
        <v>95</v>
      </c>
      <c r="AS9" t="s">
        <v>96</v>
      </c>
      <c r="AT9" t="s">
        <v>97</v>
      </c>
      <c r="AU9">
        <v>2009</v>
      </c>
      <c r="AV9">
        <v>32</v>
      </c>
      <c r="AW9">
        <v>6</v>
      </c>
      <c r="AX9" t="s">
        <v>74</v>
      </c>
      <c r="AY9" t="s">
        <v>74</v>
      </c>
      <c r="AZ9" t="s">
        <v>74</v>
      </c>
      <c r="BA9" t="s">
        <v>74</v>
      </c>
      <c r="BB9">
        <v>915</v>
      </c>
      <c r="BC9">
        <v>921</v>
      </c>
      <c r="BD9" t="s">
        <v>74</v>
      </c>
      <c r="BE9" t="s">
        <v>216</v>
      </c>
      <c r="BF9" t="str">
        <f>HYPERLINK("http://dx.doi.org/10.1007/s00300-009-0592-7","http://dx.doi.org/10.1007/s00300-009-0592-7")</f>
        <v>http://dx.doi.org/10.1007/s00300-009-0592-7</v>
      </c>
      <c r="BG9" t="s">
        <v>74</v>
      </c>
      <c r="BH9" t="s">
        <v>74</v>
      </c>
      <c r="BI9">
        <v>7</v>
      </c>
      <c r="BJ9" t="s">
        <v>99</v>
      </c>
      <c r="BK9" t="s">
        <v>100</v>
      </c>
      <c r="BL9" t="s">
        <v>101</v>
      </c>
      <c r="BM9" t="s">
        <v>102</v>
      </c>
      <c r="BN9" t="s">
        <v>74</v>
      </c>
      <c r="BO9" t="s">
        <v>217</v>
      </c>
      <c r="BP9" t="s">
        <v>74</v>
      </c>
      <c r="BQ9" t="s">
        <v>74</v>
      </c>
      <c r="BR9" t="s">
        <v>103</v>
      </c>
      <c r="BS9" t="s">
        <v>218</v>
      </c>
      <c r="BT9" t="str">
        <f>HYPERLINK("https%3A%2F%2Fwww.webofscience.com%2Fwos%2Fwoscc%2Ffull-record%2FWOS:000266052000010","View Full Record in Web of Science")</f>
        <v>View Full Record in Web of Science</v>
      </c>
    </row>
    <row r="10" spans="1:72" x14ac:dyDescent="0.15">
      <c r="A10" t="s">
        <v>72</v>
      </c>
      <c r="B10" t="s">
        <v>219</v>
      </c>
      <c r="C10" t="s">
        <v>74</v>
      </c>
      <c r="D10" t="s">
        <v>74</v>
      </c>
      <c r="E10" t="s">
        <v>74</v>
      </c>
      <c r="F10" t="s">
        <v>220</v>
      </c>
      <c r="G10" t="s">
        <v>74</v>
      </c>
      <c r="H10" t="s">
        <v>74</v>
      </c>
      <c r="I10" t="s">
        <v>221</v>
      </c>
      <c r="J10" t="s">
        <v>77</v>
      </c>
      <c r="K10" t="s">
        <v>74</v>
      </c>
      <c r="L10" t="s">
        <v>74</v>
      </c>
      <c r="M10" t="s">
        <v>78</v>
      </c>
      <c r="N10" t="s">
        <v>79</v>
      </c>
      <c r="O10" t="s">
        <v>74</v>
      </c>
      <c r="P10" t="s">
        <v>74</v>
      </c>
      <c r="Q10" t="s">
        <v>74</v>
      </c>
      <c r="R10" t="s">
        <v>74</v>
      </c>
      <c r="S10" t="s">
        <v>74</v>
      </c>
      <c r="T10" t="s">
        <v>222</v>
      </c>
      <c r="U10" t="s">
        <v>223</v>
      </c>
      <c r="V10" t="s">
        <v>224</v>
      </c>
      <c r="W10" t="s">
        <v>225</v>
      </c>
      <c r="X10" t="s">
        <v>226</v>
      </c>
      <c r="Y10" t="s">
        <v>227</v>
      </c>
      <c r="Z10" t="s">
        <v>228</v>
      </c>
      <c r="AA10" t="s">
        <v>229</v>
      </c>
      <c r="AB10" t="s">
        <v>230</v>
      </c>
      <c r="AC10" t="s">
        <v>231</v>
      </c>
      <c r="AD10" t="s">
        <v>232</v>
      </c>
      <c r="AE10" t="s">
        <v>233</v>
      </c>
      <c r="AF10" t="s">
        <v>74</v>
      </c>
      <c r="AG10">
        <v>59</v>
      </c>
      <c r="AH10">
        <v>19</v>
      </c>
      <c r="AI10">
        <v>19</v>
      </c>
      <c r="AJ10">
        <v>0</v>
      </c>
      <c r="AK10">
        <v>12</v>
      </c>
      <c r="AL10" t="s">
        <v>91</v>
      </c>
      <c r="AM10" t="s">
        <v>92</v>
      </c>
      <c r="AN10" t="s">
        <v>93</v>
      </c>
      <c r="AO10" t="s">
        <v>94</v>
      </c>
      <c r="AP10" t="s">
        <v>119</v>
      </c>
      <c r="AQ10" t="s">
        <v>74</v>
      </c>
      <c r="AR10" t="s">
        <v>95</v>
      </c>
      <c r="AS10" t="s">
        <v>96</v>
      </c>
      <c r="AT10" t="s">
        <v>97</v>
      </c>
      <c r="AU10">
        <v>2009</v>
      </c>
      <c r="AV10">
        <v>32</v>
      </c>
      <c r="AW10">
        <v>6</v>
      </c>
      <c r="AX10" t="s">
        <v>74</v>
      </c>
      <c r="AY10" t="s">
        <v>74</v>
      </c>
      <c r="AZ10" t="s">
        <v>74</v>
      </c>
      <c r="BA10" t="s">
        <v>74</v>
      </c>
      <c r="BB10">
        <v>923</v>
      </c>
      <c r="BC10">
        <v>936</v>
      </c>
      <c r="BD10" t="s">
        <v>74</v>
      </c>
      <c r="BE10" t="s">
        <v>234</v>
      </c>
      <c r="BF10" t="str">
        <f>HYPERLINK("http://dx.doi.org/10.1007/s00300-009-0593-6","http://dx.doi.org/10.1007/s00300-009-0593-6")</f>
        <v>http://dx.doi.org/10.1007/s00300-009-0593-6</v>
      </c>
      <c r="BG10" t="s">
        <v>74</v>
      </c>
      <c r="BH10" t="s">
        <v>74</v>
      </c>
      <c r="BI10">
        <v>14</v>
      </c>
      <c r="BJ10" t="s">
        <v>99</v>
      </c>
      <c r="BK10" t="s">
        <v>100</v>
      </c>
      <c r="BL10" t="s">
        <v>101</v>
      </c>
      <c r="BM10" t="s">
        <v>102</v>
      </c>
      <c r="BN10" t="s">
        <v>74</v>
      </c>
      <c r="BO10" t="s">
        <v>74</v>
      </c>
      <c r="BP10" t="s">
        <v>74</v>
      </c>
      <c r="BQ10" t="s">
        <v>74</v>
      </c>
      <c r="BR10" t="s">
        <v>103</v>
      </c>
      <c r="BS10" t="s">
        <v>235</v>
      </c>
      <c r="BT10" t="str">
        <f>HYPERLINK("https%3A%2F%2Fwww.webofscience.com%2Fwos%2Fwoscc%2Ffull-record%2FWOS:000266052000011","View Full Record in Web of Science")</f>
        <v>View Full Record in Web of Science</v>
      </c>
    </row>
    <row r="11" spans="1:72" x14ac:dyDescent="0.15">
      <c r="A11" t="s">
        <v>72</v>
      </c>
      <c r="B11" t="s">
        <v>236</v>
      </c>
      <c r="C11" t="s">
        <v>74</v>
      </c>
      <c r="D11" t="s">
        <v>74</v>
      </c>
      <c r="E11" t="s">
        <v>74</v>
      </c>
      <c r="F11" t="s">
        <v>237</v>
      </c>
      <c r="G11" t="s">
        <v>74</v>
      </c>
      <c r="H11" t="s">
        <v>74</v>
      </c>
      <c r="I11" t="s">
        <v>238</v>
      </c>
      <c r="J11" t="s">
        <v>239</v>
      </c>
      <c r="K11" t="s">
        <v>74</v>
      </c>
      <c r="L11" t="s">
        <v>74</v>
      </c>
      <c r="M11" t="s">
        <v>78</v>
      </c>
      <c r="N11" t="s">
        <v>79</v>
      </c>
      <c r="O11" t="s">
        <v>74</v>
      </c>
      <c r="P11" t="s">
        <v>74</v>
      </c>
      <c r="Q11" t="s">
        <v>74</v>
      </c>
      <c r="R11" t="s">
        <v>74</v>
      </c>
      <c r="S11" t="s">
        <v>74</v>
      </c>
      <c r="T11" t="s">
        <v>240</v>
      </c>
      <c r="U11" t="s">
        <v>241</v>
      </c>
      <c r="V11" t="s">
        <v>242</v>
      </c>
      <c r="W11" t="s">
        <v>243</v>
      </c>
      <c r="X11" t="s">
        <v>244</v>
      </c>
      <c r="Y11" t="s">
        <v>245</v>
      </c>
      <c r="Z11" t="s">
        <v>246</v>
      </c>
      <c r="AA11" t="s">
        <v>74</v>
      </c>
      <c r="AB11" t="s">
        <v>247</v>
      </c>
      <c r="AC11" t="s">
        <v>248</v>
      </c>
      <c r="AD11" t="s">
        <v>249</v>
      </c>
      <c r="AE11" t="s">
        <v>250</v>
      </c>
      <c r="AF11" t="s">
        <v>74</v>
      </c>
      <c r="AG11">
        <v>66</v>
      </c>
      <c r="AH11">
        <v>15</v>
      </c>
      <c r="AI11">
        <v>15</v>
      </c>
      <c r="AJ11">
        <v>0</v>
      </c>
      <c r="AK11">
        <v>3</v>
      </c>
      <c r="AL11" t="s">
        <v>251</v>
      </c>
      <c r="AM11" t="s">
        <v>252</v>
      </c>
      <c r="AN11" t="s">
        <v>253</v>
      </c>
      <c r="AO11" t="s">
        <v>254</v>
      </c>
      <c r="AP11" t="s">
        <v>255</v>
      </c>
      <c r="AQ11" t="s">
        <v>74</v>
      </c>
      <c r="AR11" t="s">
        <v>256</v>
      </c>
      <c r="AS11" t="s">
        <v>257</v>
      </c>
      <c r="AT11" t="s">
        <v>97</v>
      </c>
      <c r="AU11">
        <v>2009</v>
      </c>
      <c r="AV11">
        <v>3</v>
      </c>
      <c r="AW11">
        <v>1</v>
      </c>
      <c r="AX11" t="s">
        <v>74</v>
      </c>
      <c r="AY11" t="s">
        <v>74</v>
      </c>
      <c r="AZ11" t="s">
        <v>74</v>
      </c>
      <c r="BA11" t="s">
        <v>74</v>
      </c>
      <c r="BB11">
        <v>13</v>
      </c>
      <c r="BC11">
        <v>30</v>
      </c>
      <c r="BD11" t="s">
        <v>74</v>
      </c>
      <c r="BE11" t="s">
        <v>258</v>
      </c>
      <c r="BF11" t="str">
        <f>HYPERLINK("http://dx.doi.org/10.1016/j.polar.2009.03.001","http://dx.doi.org/10.1016/j.polar.2009.03.001")</f>
        <v>http://dx.doi.org/10.1016/j.polar.2009.03.001</v>
      </c>
      <c r="BG11" t="s">
        <v>74</v>
      </c>
      <c r="BH11" t="s">
        <v>74</v>
      </c>
      <c r="BI11">
        <v>18</v>
      </c>
      <c r="BJ11" t="s">
        <v>259</v>
      </c>
      <c r="BK11" t="s">
        <v>100</v>
      </c>
      <c r="BL11" t="s">
        <v>260</v>
      </c>
      <c r="BM11" t="s">
        <v>261</v>
      </c>
      <c r="BN11" t="s">
        <v>74</v>
      </c>
      <c r="BO11" t="s">
        <v>262</v>
      </c>
      <c r="BP11" t="s">
        <v>74</v>
      </c>
      <c r="BQ11" t="s">
        <v>74</v>
      </c>
      <c r="BR11" t="s">
        <v>103</v>
      </c>
      <c r="BS11" t="s">
        <v>263</v>
      </c>
      <c r="BT11" t="str">
        <f>HYPERLINK("https%3A%2F%2Fwww.webofscience.com%2Fwos%2Fwoscc%2Ffull-record%2FWOS:000209028400002","View Full Record in Web of Science")</f>
        <v>View Full Record in Web of Science</v>
      </c>
    </row>
    <row r="12" spans="1:72" x14ac:dyDescent="0.15">
      <c r="A12" t="s">
        <v>72</v>
      </c>
      <c r="B12" t="s">
        <v>264</v>
      </c>
      <c r="C12" t="s">
        <v>74</v>
      </c>
      <c r="D12" t="s">
        <v>74</v>
      </c>
      <c r="E12" t="s">
        <v>74</v>
      </c>
      <c r="F12" t="s">
        <v>265</v>
      </c>
      <c r="G12" t="s">
        <v>74</v>
      </c>
      <c r="H12" t="s">
        <v>74</v>
      </c>
      <c r="I12" t="s">
        <v>266</v>
      </c>
      <c r="J12" t="s">
        <v>267</v>
      </c>
      <c r="K12" t="s">
        <v>74</v>
      </c>
      <c r="L12" t="s">
        <v>74</v>
      </c>
      <c r="M12" t="s">
        <v>78</v>
      </c>
      <c r="N12" t="s">
        <v>79</v>
      </c>
      <c r="O12" t="s">
        <v>74</v>
      </c>
      <c r="P12" t="s">
        <v>74</v>
      </c>
      <c r="Q12" t="s">
        <v>74</v>
      </c>
      <c r="R12" t="s">
        <v>74</v>
      </c>
      <c r="S12" t="s">
        <v>74</v>
      </c>
      <c r="T12" t="s">
        <v>74</v>
      </c>
      <c r="U12" t="s">
        <v>268</v>
      </c>
      <c r="V12" t="s">
        <v>269</v>
      </c>
      <c r="W12" t="s">
        <v>270</v>
      </c>
      <c r="X12" t="s">
        <v>271</v>
      </c>
      <c r="Y12" t="s">
        <v>272</v>
      </c>
      <c r="Z12" t="s">
        <v>74</v>
      </c>
      <c r="AA12" t="s">
        <v>74</v>
      </c>
      <c r="AB12" t="s">
        <v>273</v>
      </c>
      <c r="AC12" t="s">
        <v>274</v>
      </c>
      <c r="AD12" t="s">
        <v>275</v>
      </c>
      <c r="AE12" t="s">
        <v>276</v>
      </c>
      <c r="AF12" t="s">
        <v>74</v>
      </c>
      <c r="AG12">
        <v>30</v>
      </c>
      <c r="AH12">
        <v>6</v>
      </c>
      <c r="AI12">
        <v>6</v>
      </c>
      <c r="AJ12">
        <v>0</v>
      </c>
      <c r="AK12">
        <v>1</v>
      </c>
      <c r="AL12" t="s">
        <v>277</v>
      </c>
      <c r="AM12" t="s">
        <v>278</v>
      </c>
      <c r="AN12" t="s">
        <v>279</v>
      </c>
      <c r="AO12" t="s">
        <v>280</v>
      </c>
      <c r="AP12" t="s">
        <v>281</v>
      </c>
      <c r="AQ12" t="s">
        <v>74</v>
      </c>
      <c r="AR12" t="s">
        <v>282</v>
      </c>
      <c r="AS12" t="s">
        <v>283</v>
      </c>
      <c r="AT12" t="s">
        <v>97</v>
      </c>
      <c r="AU12">
        <v>2009</v>
      </c>
      <c r="AV12">
        <v>121</v>
      </c>
      <c r="AW12">
        <v>880</v>
      </c>
      <c r="AX12" t="s">
        <v>74</v>
      </c>
      <c r="AY12" t="s">
        <v>74</v>
      </c>
      <c r="AZ12" t="s">
        <v>74</v>
      </c>
      <c r="BA12" t="s">
        <v>74</v>
      </c>
      <c r="BB12">
        <v>668</v>
      </c>
      <c r="BC12">
        <v>679</v>
      </c>
      <c r="BD12" t="s">
        <v>74</v>
      </c>
      <c r="BE12" t="s">
        <v>284</v>
      </c>
      <c r="BF12" t="str">
        <f>HYPERLINK("http://dx.doi.org/10.1086/600077","http://dx.doi.org/10.1086/600077")</f>
        <v>http://dx.doi.org/10.1086/600077</v>
      </c>
      <c r="BG12" t="s">
        <v>74</v>
      </c>
      <c r="BH12" t="s">
        <v>74</v>
      </c>
      <c r="BI12">
        <v>12</v>
      </c>
      <c r="BJ12" t="s">
        <v>285</v>
      </c>
      <c r="BK12" t="s">
        <v>100</v>
      </c>
      <c r="BL12" t="s">
        <v>285</v>
      </c>
      <c r="BM12" t="s">
        <v>286</v>
      </c>
      <c r="BN12" t="s">
        <v>74</v>
      </c>
      <c r="BO12" t="s">
        <v>287</v>
      </c>
      <c r="BP12" t="s">
        <v>74</v>
      </c>
      <c r="BQ12" t="s">
        <v>74</v>
      </c>
      <c r="BR12" t="s">
        <v>103</v>
      </c>
      <c r="BS12" t="s">
        <v>288</v>
      </c>
      <c r="BT12" t="str">
        <f>HYPERLINK("https%3A%2F%2Fwww.webofscience.com%2Fwos%2Fwoscc%2Ffull-record%2FWOS:000266827100010","View Full Record in Web of Science")</f>
        <v>View Full Record in Web of Science</v>
      </c>
    </row>
    <row r="13" spans="1:72" x14ac:dyDescent="0.15">
      <c r="A13" t="s">
        <v>72</v>
      </c>
      <c r="B13" t="s">
        <v>289</v>
      </c>
      <c r="C13" t="s">
        <v>74</v>
      </c>
      <c r="D13" t="s">
        <v>74</v>
      </c>
      <c r="E13" t="s">
        <v>74</v>
      </c>
      <c r="F13" t="s">
        <v>290</v>
      </c>
      <c r="G13" t="s">
        <v>74</v>
      </c>
      <c r="H13" t="s">
        <v>74</v>
      </c>
      <c r="I13" t="s">
        <v>291</v>
      </c>
      <c r="J13" t="s">
        <v>292</v>
      </c>
      <c r="K13" t="s">
        <v>74</v>
      </c>
      <c r="L13" t="s">
        <v>74</v>
      </c>
      <c r="M13" t="s">
        <v>78</v>
      </c>
      <c r="N13" t="s">
        <v>172</v>
      </c>
      <c r="O13" t="s">
        <v>74</v>
      </c>
      <c r="P13" t="s">
        <v>74</v>
      </c>
      <c r="Q13" t="s">
        <v>74</v>
      </c>
      <c r="R13" t="s">
        <v>74</v>
      </c>
      <c r="S13" t="s">
        <v>74</v>
      </c>
      <c r="T13" t="s">
        <v>74</v>
      </c>
      <c r="U13" t="s">
        <v>293</v>
      </c>
      <c r="V13" t="s">
        <v>294</v>
      </c>
      <c r="W13" t="s">
        <v>295</v>
      </c>
      <c r="X13" t="s">
        <v>296</v>
      </c>
      <c r="Y13" t="s">
        <v>297</v>
      </c>
      <c r="Z13" t="s">
        <v>298</v>
      </c>
      <c r="AA13" t="s">
        <v>74</v>
      </c>
      <c r="AB13" t="s">
        <v>299</v>
      </c>
      <c r="AC13" t="s">
        <v>300</v>
      </c>
      <c r="AD13" t="s">
        <v>301</v>
      </c>
      <c r="AE13" t="s">
        <v>302</v>
      </c>
      <c r="AF13" t="s">
        <v>74</v>
      </c>
      <c r="AG13">
        <v>109</v>
      </c>
      <c r="AH13">
        <v>62</v>
      </c>
      <c r="AI13">
        <v>80</v>
      </c>
      <c r="AJ13">
        <v>1</v>
      </c>
      <c r="AK13">
        <v>44</v>
      </c>
      <c r="AL13" t="s">
        <v>303</v>
      </c>
      <c r="AM13" t="s">
        <v>304</v>
      </c>
      <c r="AN13" t="s">
        <v>305</v>
      </c>
      <c r="AO13" t="s">
        <v>306</v>
      </c>
      <c r="AP13" t="s">
        <v>307</v>
      </c>
      <c r="AQ13" t="s">
        <v>74</v>
      </c>
      <c r="AR13" t="s">
        <v>308</v>
      </c>
      <c r="AS13" t="s">
        <v>309</v>
      </c>
      <c r="AT13" t="s">
        <v>97</v>
      </c>
      <c r="AU13">
        <v>2009</v>
      </c>
      <c r="AV13">
        <v>28</v>
      </c>
      <c r="AW13" t="s">
        <v>310</v>
      </c>
      <c r="AX13" t="s">
        <v>74</v>
      </c>
      <c r="AY13" t="s">
        <v>74</v>
      </c>
      <c r="AZ13" t="s">
        <v>74</v>
      </c>
      <c r="BA13" t="s">
        <v>74</v>
      </c>
      <c r="BB13">
        <v>1147</v>
      </c>
      <c r="BC13">
        <v>1159</v>
      </c>
      <c r="BD13" t="s">
        <v>74</v>
      </c>
      <c r="BE13" t="s">
        <v>311</v>
      </c>
      <c r="BF13" t="str">
        <f>HYPERLINK("http://dx.doi.org/10.1016/j.quascirev.2008.12.010","http://dx.doi.org/10.1016/j.quascirev.2008.12.010")</f>
        <v>http://dx.doi.org/10.1016/j.quascirev.2008.12.010</v>
      </c>
      <c r="BG13" t="s">
        <v>74</v>
      </c>
      <c r="BH13" t="s">
        <v>74</v>
      </c>
      <c r="BI13">
        <v>13</v>
      </c>
      <c r="BJ13" t="s">
        <v>312</v>
      </c>
      <c r="BK13" t="s">
        <v>100</v>
      </c>
      <c r="BL13" t="s">
        <v>313</v>
      </c>
      <c r="BM13" t="s">
        <v>314</v>
      </c>
      <c r="BN13" t="s">
        <v>74</v>
      </c>
      <c r="BO13" t="s">
        <v>74</v>
      </c>
      <c r="BP13" t="s">
        <v>74</v>
      </c>
      <c r="BQ13" t="s">
        <v>74</v>
      </c>
      <c r="BR13" t="s">
        <v>103</v>
      </c>
      <c r="BS13" t="s">
        <v>315</v>
      </c>
      <c r="BT13" t="str">
        <f>HYPERLINK("https%3A%2F%2Fwww.webofscience.com%2Fwos%2Fwoscc%2Ffull-record%2FWOS:000267108100001","View Full Record in Web of Science")</f>
        <v>View Full Record in Web of Science</v>
      </c>
    </row>
    <row r="14" spans="1:72" x14ac:dyDescent="0.15">
      <c r="A14" t="s">
        <v>72</v>
      </c>
      <c r="B14" t="s">
        <v>316</v>
      </c>
      <c r="C14" t="s">
        <v>74</v>
      </c>
      <c r="D14" t="s">
        <v>74</v>
      </c>
      <c r="E14" t="s">
        <v>74</v>
      </c>
      <c r="F14" t="s">
        <v>317</v>
      </c>
      <c r="G14" t="s">
        <v>74</v>
      </c>
      <c r="H14" t="s">
        <v>74</v>
      </c>
      <c r="I14" t="s">
        <v>318</v>
      </c>
      <c r="J14" t="s">
        <v>292</v>
      </c>
      <c r="K14" t="s">
        <v>74</v>
      </c>
      <c r="L14" t="s">
        <v>74</v>
      </c>
      <c r="M14" t="s">
        <v>78</v>
      </c>
      <c r="N14" t="s">
        <v>172</v>
      </c>
      <c r="O14" t="s">
        <v>74</v>
      </c>
      <c r="P14" t="s">
        <v>74</v>
      </c>
      <c r="Q14" t="s">
        <v>74</v>
      </c>
      <c r="R14" t="s">
        <v>74</v>
      </c>
      <c r="S14" t="s">
        <v>74</v>
      </c>
      <c r="T14" t="s">
        <v>74</v>
      </c>
      <c r="U14" t="s">
        <v>319</v>
      </c>
      <c r="V14" t="s">
        <v>320</v>
      </c>
      <c r="W14" t="s">
        <v>321</v>
      </c>
      <c r="X14" t="s">
        <v>322</v>
      </c>
      <c r="Y14" t="s">
        <v>323</v>
      </c>
      <c r="Z14" t="s">
        <v>324</v>
      </c>
      <c r="AA14" t="s">
        <v>325</v>
      </c>
      <c r="AB14" t="s">
        <v>326</v>
      </c>
      <c r="AC14" t="s">
        <v>327</v>
      </c>
      <c r="AD14" t="s">
        <v>328</v>
      </c>
      <c r="AE14" t="s">
        <v>329</v>
      </c>
      <c r="AF14" t="s">
        <v>74</v>
      </c>
      <c r="AG14">
        <v>112</v>
      </c>
      <c r="AH14">
        <v>38</v>
      </c>
      <c r="AI14">
        <v>43</v>
      </c>
      <c r="AJ14">
        <v>1</v>
      </c>
      <c r="AK14">
        <v>21</v>
      </c>
      <c r="AL14" t="s">
        <v>303</v>
      </c>
      <c r="AM14" t="s">
        <v>304</v>
      </c>
      <c r="AN14" t="s">
        <v>305</v>
      </c>
      <c r="AO14" t="s">
        <v>306</v>
      </c>
      <c r="AP14" t="s">
        <v>74</v>
      </c>
      <c r="AQ14" t="s">
        <v>74</v>
      </c>
      <c r="AR14" t="s">
        <v>308</v>
      </c>
      <c r="AS14" t="s">
        <v>309</v>
      </c>
      <c r="AT14" t="s">
        <v>97</v>
      </c>
      <c r="AU14">
        <v>2009</v>
      </c>
      <c r="AV14">
        <v>28</v>
      </c>
      <c r="AW14" t="s">
        <v>310</v>
      </c>
      <c r="AX14" t="s">
        <v>74</v>
      </c>
      <c r="AY14" t="s">
        <v>74</v>
      </c>
      <c r="AZ14" t="s">
        <v>74</v>
      </c>
      <c r="BA14" t="s">
        <v>74</v>
      </c>
      <c r="BB14">
        <v>1291</v>
      </c>
      <c r="BC14">
        <v>1303</v>
      </c>
      <c r="BD14" t="s">
        <v>74</v>
      </c>
      <c r="BE14" t="s">
        <v>330</v>
      </c>
      <c r="BF14" t="str">
        <f>HYPERLINK("http://dx.doi.org/10.1016/j.quascirev.2008.12.024","http://dx.doi.org/10.1016/j.quascirev.2008.12.024")</f>
        <v>http://dx.doi.org/10.1016/j.quascirev.2008.12.024</v>
      </c>
      <c r="BG14" t="s">
        <v>74</v>
      </c>
      <c r="BH14" t="s">
        <v>74</v>
      </c>
      <c r="BI14">
        <v>13</v>
      </c>
      <c r="BJ14" t="s">
        <v>312</v>
      </c>
      <c r="BK14" t="s">
        <v>100</v>
      </c>
      <c r="BL14" t="s">
        <v>313</v>
      </c>
      <c r="BM14" t="s">
        <v>314</v>
      </c>
      <c r="BN14" t="s">
        <v>74</v>
      </c>
      <c r="BO14" t="s">
        <v>74</v>
      </c>
      <c r="BP14" t="s">
        <v>74</v>
      </c>
      <c r="BQ14" t="s">
        <v>74</v>
      </c>
      <c r="BR14" t="s">
        <v>103</v>
      </c>
      <c r="BS14" t="s">
        <v>331</v>
      </c>
      <c r="BT14" t="str">
        <f>HYPERLINK("https%3A%2F%2Fwww.webofscience.com%2Fwos%2Fwoscc%2Ffull-record%2FWOS:000267108100010","View Full Record in Web of Science")</f>
        <v>View Full Record in Web of Science</v>
      </c>
    </row>
    <row r="15" spans="1:72" x14ac:dyDescent="0.15">
      <c r="A15" t="s">
        <v>72</v>
      </c>
      <c r="B15" t="s">
        <v>332</v>
      </c>
      <c r="C15" t="s">
        <v>74</v>
      </c>
      <c r="D15" t="s">
        <v>74</v>
      </c>
      <c r="E15" t="s">
        <v>74</v>
      </c>
      <c r="F15" t="s">
        <v>333</v>
      </c>
      <c r="G15" t="s">
        <v>74</v>
      </c>
      <c r="H15" t="s">
        <v>74</v>
      </c>
      <c r="I15" t="s">
        <v>334</v>
      </c>
      <c r="J15" t="s">
        <v>335</v>
      </c>
      <c r="K15" t="s">
        <v>74</v>
      </c>
      <c r="L15" t="s">
        <v>74</v>
      </c>
      <c r="M15" t="s">
        <v>78</v>
      </c>
      <c r="N15" t="s">
        <v>79</v>
      </c>
      <c r="O15" t="s">
        <v>74</v>
      </c>
      <c r="P15" t="s">
        <v>74</v>
      </c>
      <c r="Q15" t="s">
        <v>74</v>
      </c>
      <c r="R15" t="s">
        <v>74</v>
      </c>
      <c r="S15" t="s">
        <v>74</v>
      </c>
      <c r="T15" t="s">
        <v>336</v>
      </c>
      <c r="U15" t="s">
        <v>337</v>
      </c>
      <c r="V15" t="s">
        <v>338</v>
      </c>
      <c r="W15" t="s">
        <v>339</v>
      </c>
      <c r="X15" t="s">
        <v>340</v>
      </c>
      <c r="Y15" t="s">
        <v>341</v>
      </c>
      <c r="Z15" t="s">
        <v>342</v>
      </c>
      <c r="AA15" t="s">
        <v>74</v>
      </c>
      <c r="AB15" t="s">
        <v>343</v>
      </c>
      <c r="AC15" t="s">
        <v>344</v>
      </c>
      <c r="AD15" t="s">
        <v>345</v>
      </c>
      <c r="AE15" t="s">
        <v>346</v>
      </c>
      <c r="AF15" t="s">
        <v>74</v>
      </c>
      <c r="AG15">
        <v>41</v>
      </c>
      <c r="AH15">
        <v>54</v>
      </c>
      <c r="AI15">
        <v>61</v>
      </c>
      <c r="AJ15">
        <v>2</v>
      </c>
      <c r="AK15">
        <v>14</v>
      </c>
      <c r="AL15" t="s">
        <v>347</v>
      </c>
      <c r="AM15" t="s">
        <v>348</v>
      </c>
      <c r="AN15" t="s">
        <v>349</v>
      </c>
      <c r="AO15" t="s">
        <v>350</v>
      </c>
      <c r="AP15" t="s">
        <v>351</v>
      </c>
      <c r="AQ15" t="s">
        <v>74</v>
      </c>
      <c r="AR15" t="s">
        <v>352</v>
      </c>
      <c r="AS15" t="s">
        <v>353</v>
      </c>
      <c r="AT15" t="s">
        <v>97</v>
      </c>
      <c r="AU15">
        <v>2009</v>
      </c>
      <c r="AV15">
        <v>80</v>
      </c>
      <c r="AW15">
        <v>6</v>
      </c>
      <c r="AX15" t="s">
        <v>74</v>
      </c>
      <c r="AY15" t="s">
        <v>74</v>
      </c>
      <c r="AZ15" t="s">
        <v>74</v>
      </c>
      <c r="BA15" t="s">
        <v>74</v>
      </c>
      <c r="BB15" t="s">
        <v>74</v>
      </c>
      <c r="BC15" t="s">
        <v>74</v>
      </c>
      <c r="BD15">
        <v>64501</v>
      </c>
      <c r="BE15" t="s">
        <v>354</v>
      </c>
      <c r="BF15" t="str">
        <f>HYPERLINK("http://dx.doi.org/10.1063/1.3137081","http://dx.doi.org/10.1063/1.3137081")</f>
        <v>http://dx.doi.org/10.1063/1.3137081</v>
      </c>
      <c r="BG15" t="s">
        <v>74</v>
      </c>
      <c r="BH15" t="s">
        <v>74</v>
      </c>
      <c r="BI15">
        <v>10</v>
      </c>
      <c r="BJ15" t="s">
        <v>355</v>
      </c>
      <c r="BK15" t="s">
        <v>100</v>
      </c>
      <c r="BL15" t="s">
        <v>356</v>
      </c>
      <c r="BM15" t="s">
        <v>357</v>
      </c>
      <c r="BN15">
        <v>19566216</v>
      </c>
      <c r="BO15" t="s">
        <v>74</v>
      </c>
      <c r="BP15" t="s">
        <v>74</v>
      </c>
      <c r="BQ15" t="s">
        <v>74</v>
      </c>
      <c r="BR15" t="s">
        <v>103</v>
      </c>
      <c r="BS15" t="s">
        <v>358</v>
      </c>
      <c r="BT15" t="str">
        <f>HYPERLINK("https%3A%2F%2Fwww.webofscience.com%2Fwos%2Fwoscc%2Ffull-record%2FWOS:000267600600030","View Full Record in Web of Science")</f>
        <v>View Full Record in Web of Science</v>
      </c>
    </row>
    <row r="16" spans="1:72" x14ac:dyDescent="0.15">
      <c r="A16" t="s">
        <v>72</v>
      </c>
      <c r="B16" t="s">
        <v>359</v>
      </c>
      <c r="C16" t="s">
        <v>74</v>
      </c>
      <c r="D16" t="s">
        <v>74</v>
      </c>
      <c r="E16" t="s">
        <v>74</v>
      </c>
      <c r="F16" t="s">
        <v>360</v>
      </c>
      <c r="G16" t="s">
        <v>74</v>
      </c>
      <c r="H16" t="s">
        <v>74</v>
      </c>
      <c r="I16" t="s">
        <v>361</v>
      </c>
      <c r="J16" t="s">
        <v>362</v>
      </c>
      <c r="K16" t="s">
        <v>74</v>
      </c>
      <c r="L16" t="s">
        <v>74</v>
      </c>
      <c r="M16" t="s">
        <v>78</v>
      </c>
      <c r="N16" t="s">
        <v>79</v>
      </c>
      <c r="O16" t="s">
        <v>74</v>
      </c>
      <c r="P16" t="s">
        <v>74</v>
      </c>
      <c r="Q16" t="s">
        <v>74</v>
      </c>
      <c r="R16" t="s">
        <v>74</v>
      </c>
      <c r="S16" t="s">
        <v>74</v>
      </c>
      <c r="T16" t="s">
        <v>363</v>
      </c>
      <c r="U16" t="s">
        <v>364</v>
      </c>
      <c r="V16" t="s">
        <v>365</v>
      </c>
      <c r="W16" t="s">
        <v>366</v>
      </c>
      <c r="X16" t="s">
        <v>367</v>
      </c>
      <c r="Y16" t="s">
        <v>368</v>
      </c>
      <c r="Z16" t="s">
        <v>369</v>
      </c>
      <c r="AA16" t="s">
        <v>370</v>
      </c>
      <c r="AB16" t="s">
        <v>371</v>
      </c>
      <c r="AC16" t="s">
        <v>372</v>
      </c>
      <c r="AD16" t="s">
        <v>372</v>
      </c>
      <c r="AE16" t="s">
        <v>373</v>
      </c>
      <c r="AF16" t="s">
        <v>74</v>
      </c>
      <c r="AG16">
        <v>64</v>
      </c>
      <c r="AH16">
        <v>13</v>
      </c>
      <c r="AI16">
        <v>14</v>
      </c>
      <c r="AJ16">
        <v>1</v>
      </c>
      <c r="AK16">
        <v>16</v>
      </c>
      <c r="AL16" t="s">
        <v>91</v>
      </c>
      <c r="AM16" t="s">
        <v>374</v>
      </c>
      <c r="AN16" t="s">
        <v>375</v>
      </c>
      <c r="AO16" t="s">
        <v>376</v>
      </c>
      <c r="AP16" t="s">
        <v>74</v>
      </c>
      <c r="AQ16" t="s">
        <v>74</v>
      </c>
      <c r="AR16" t="s">
        <v>377</v>
      </c>
      <c r="AS16" t="s">
        <v>378</v>
      </c>
      <c r="AT16" t="s">
        <v>97</v>
      </c>
      <c r="AU16">
        <v>2009</v>
      </c>
      <c r="AV16">
        <v>19</v>
      </c>
      <c r="AW16">
        <v>2</v>
      </c>
      <c r="AX16" t="s">
        <v>74</v>
      </c>
      <c r="AY16" t="s">
        <v>74</v>
      </c>
      <c r="AZ16" t="s">
        <v>74</v>
      </c>
      <c r="BA16" t="s">
        <v>74</v>
      </c>
      <c r="BB16">
        <v>249</v>
      </c>
      <c r="BC16">
        <v>259</v>
      </c>
      <c r="BD16" t="s">
        <v>74</v>
      </c>
      <c r="BE16" t="s">
        <v>379</v>
      </c>
      <c r="BF16" t="str">
        <f>HYPERLINK("http://dx.doi.org/10.1007/s11160-009-9106-5","http://dx.doi.org/10.1007/s11160-009-9106-5")</f>
        <v>http://dx.doi.org/10.1007/s11160-009-9106-5</v>
      </c>
      <c r="BG16" t="s">
        <v>74</v>
      </c>
      <c r="BH16" t="s">
        <v>74</v>
      </c>
      <c r="BI16">
        <v>11</v>
      </c>
      <c r="BJ16" t="s">
        <v>380</v>
      </c>
      <c r="BK16" t="s">
        <v>100</v>
      </c>
      <c r="BL16" t="s">
        <v>380</v>
      </c>
      <c r="BM16" t="s">
        <v>381</v>
      </c>
      <c r="BN16" t="s">
        <v>74</v>
      </c>
      <c r="BO16" t="s">
        <v>74</v>
      </c>
      <c r="BP16" t="s">
        <v>74</v>
      </c>
      <c r="BQ16" t="s">
        <v>74</v>
      </c>
      <c r="BR16" t="s">
        <v>103</v>
      </c>
      <c r="BS16" t="s">
        <v>382</v>
      </c>
      <c r="BT16" t="str">
        <f>HYPERLINK("https%3A%2F%2Fwww.webofscience.com%2Fwos%2Fwoscc%2Ffull-record%2FWOS:000265827200008","View Full Record in Web of Science")</f>
        <v>View Full Record in Web of Science</v>
      </c>
    </row>
    <row r="17" spans="1:72" x14ac:dyDescent="0.15">
      <c r="A17" t="s">
        <v>72</v>
      </c>
      <c r="B17" t="s">
        <v>383</v>
      </c>
      <c r="C17" t="s">
        <v>74</v>
      </c>
      <c r="D17" t="s">
        <v>74</v>
      </c>
      <c r="E17" t="s">
        <v>74</v>
      </c>
      <c r="F17" t="s">
        <v>384</v>
      </c>
      <c r="G17" t="s">
        <v>74</v>
      </c>
      <c r="H17" t="s">
        <v>74</v>
      </c>
      <c r="I17" t="s">
        <v>385</v>
      </c>
      <c r="J17" t="s">
        <v>386</v>
      </c>
      <c r="K17" t="s">
        <v>74</v>
      </c>
      <c r="L17" t="s">
        <v>74</v>
      </c>
      <c r="M17" t="s">
        <v>78</v>
      </c>
      <c r="N17" t="s">
        <v>79</v>
      </c>
      <c r="O17" t="s">
        <v>74</v>
      </c>
      <c r="P17" t="s">
        <v>74</v>
      </c>
      <c r="Q17" t="s">
        <v>74</v>
      </c>
      <c r="R17" t="s">
        <v>74</v>
      </c>
      <c r="S17" t="s">
        <v>74</v>
      </c>
      <c r="T17" t="s">
        <v>74</v>
      </c>
      <c r="U17" t="s">
        <v>74</v>
      </c>
      <c r="V17" t="s">
        <v>387</v>
      </c>
      <c r="W17" t="s">
        <v>388</v>
      </c>
      <c r="X17" t="s">
        <v>389</v>
      </c>
      <c r="Y17" t="s">
        <v>390</v>
      </c>
      <c r="Z17" t="s">
        <v>74</v>
      </c>
      <c r="AA17" t="s">
        <v>74</v>
      </c>
      <c r="AB17" t="s">
        <v>391</v>
      </c>
      <c r="AC17" t="s">
        <v>74</v>
      </c>
      <c r="AD17" t="s">
        <v>74</v>
      </c>
      <c r="AE17" t="s">
        <v>74</v>
      </c>
      <c r="AF17" t="s">
        <v>74</v>
      </c>
      <c r="AG17">
        <v>6</v>
      </c>
      <c r="AH17">
        <v>0</v>
      </c>
      <c r="AI17">
        <v>0</v>
      </c>
      <c r="AJ17">
        <v>0</v>
      </c>
      <c r="AK17">
        <v>0</v>
      </c>
      <c r="AL17" t="s">
        <v>392</v>
      </c>
      <c r="AM17" t="s">
        <v>92</v>
      </c>
      <c r="AN17" t="s">
        <v>393</v>
      </c>
      <c r="AO17" t="s">
        <v>394</v>
      </c>
      <c r="AP17" t="s">
        <v>74</v>
      </c>
      <c r="AQ17" t="s">
        <v>74</v>
      </c>
      <c r="AR17" t="s">
        <v>395</v>
      </c>
      <c r="AS17" t="s">
        <v>396</v>
      </c>
      <c r="AT17" t="s">
        <v>97</v>
      </c>
      <c r="AU17">
        <v>2009</v>
      </c>
      <c r="AV17">
        <v>34</v>
      </c>
      <c r="AW17">
        <v>6</v>
      </c>
      <c r="AX17" t="s">
        <v>74</v>
      </c>
      <c r="AY17" t="s">
        <v>74</v>
      </c>
      <c r="AZ17" t="s">
        <v>74</v>
      </c>
      <c r="BA17" t="s">
        <v>74</v>
      </c>
      <c r="BB17">
        <v>379</v>
      </c>
      <c r="BC17">
        <v>383</v>
      </c>
      <c r="BD17" t="s">
        <v>74</v>
      </c>
      <c r="BE17" t="s">
        <v>397</v>
      </c>
      <c r="BF17" t="str">
        <f>HYPERLINK("http://dx.doi.org/10.3103/S1068373909060065","http://dx.doi.org/10.3103/S1068373909060065")</f>
        <v>http://dx.doi.org/10.3103/S1068373909060065</v>
      </c>
      <c r="BG17" t="s">
        <v>74</v>
      </c>
      <c r="BH17" t="s">
        <v>74</v>
      </c>
      <c r="BI17">
        <v>5</v>
      </c>
      <c r="BJ17" t="s">
        <v>398</v>
      </c>
      <c r="BK17" t="s">
        <v>100</v>
      </c>
      <c r="BL17" t="s">
        <v>398</v>
      </c>
      <c r="BM17" t="s">
        <v>399</v>
      </c>
      <c r="BN17" t="s">
        <v>74</v>
      </c>
      <c r="BO17" t="s">
        <v>74</v>
      </c>
      <c r="BP17" t="s">
        <v>74</v>
      </c>
      <c r="BQ17" t="s">
        <v>74</v>
      </c>
      <c r="BR17" t="s">
        <v>103</v>
      </c>
      <c r="BS17" t="s">
        <v>400</v>
      </c>
      <c r="BT17" t="str">
        <f>HYPERLINK("https%3A%2F%2Fwww.webofscience.com%2Fwos%2Fwoscc%2Ffull-record%2FWOS:000269210600006","View Full Record in Web of Science")</f>
        <v>View Full Record in Web of Science</v>
      </c>
    </row>
    <row r="18" spans="1:72" x14ac:dyDescent="0.15">
      <c r="A18" t="s">
        <v>72</v>
      </c>
      <c r="B18" t="s">
        <v>401</v>
      </c>
      <c r="C18" t="s">
        <v>74</v>
      </c>
      <c r="D18" t="s">
        <v>74</v>
      </c>
      <c r="E18" t="s">
        <v>74</v>
      </c>
      <c r="F18" t="s">
        <v>402</v>
      </c>
      <c r="G18" t="s">
        <v>74</v>
      </c>
      <c r="H18" t="s">
        <v>74</v>
      </c>
      <c r="I18" t="s">
        <v>403</v>
      </c>
      <c r="J18" t="s">
        <v>404</v>
      </c>
      <c r="K18" t="s">
        <v>74</v>
      </c>
      <c r="L18" t="s">
        <v>74</v>
      </c>
      <c r="M18" t="s">
        <v>78</v>
      </c>
      <c r="N18" t="s">
        <v>79</v>
      </c>
      <c r="O18" t="s">
        <v>74</v>
      </c>
      <c r="P18" t="s">
        <v>74</v>
      </c>
      <c r="Q18" t="s">
        <v>74</v>
      </c>
      <c r="R18" t="s">
        <v>74</v>
      </c>
      <c r="S18" t="s">
        <v>74</v>
      </c>
      <c r="T18" t="s">
        <v>405</v>
      </c>
      <c r="U18" t="s">
        <v>406</v>
      </c>
      <c r="V18" t="s">
        <v>407</v>
      </c>
      <c r="W18" t="s">
        <v>408</v>
      </c>
      <c r="X18" t="s">
        <v>409</v>
      </c>
      <c r="Y18" t="s">
        <v>410</v>
      </c>
      <c r="Z18" t="s">
        <v>411</v>
      </c>
      <c r="AA18" t="s">
        <v>412</v>
      </c>
      <c r="AB18" t="s">
        <v>413</v>
      </c>
      <c r="AC18" t="s">
        <v>414</v>
      </c>
      <c r="AD18" t="s">
        <v>415</v>
      </c>
      <c r="AE18" t="s">
        <v>416</v>
      </c>
      <c r="AF18" t="s">
        <v>74</v>
      </c>
      <c r="AG18">
        <v>45</v>
      </c>
      <c r="AH18">
        <v>50</v>
      </c>
      <c r="AI18">
        <v>58</v>
      </c>
      <c r="AJ18">
        <v>4</v>
      </c>
      <c r="AK18">
        <v>58</v>
      </c>
      <c r="AL18" t="s">
        <v>251</v>
      </c>
      <c r="AM18" t="s">
        <v>252</v>
      </c>
      <c r="AN18" t="s">
        <v>253</v>
      </c>
      <c r="AO18" t="s">
        <v>417</v>
      </c>
      <c r="AP18" t="s">
        <v>418</v>
      </c>
      <c r="AQ18" t="s">
        <v>74</v>
      </c>
      <c r="AR18" t="s">
        <v>419</v>
      </c>
      <c r="AS18" t="s">
        <v>420</v>
      </c>
      <c r="AT18" t="s">
        <v>421</v>
      </c>
      <c r="AU18">
        <v>2009</v>
      </c>
      <c r="AV18">
        <v>407</v>
      </c>
      <c r="AW18">
        <v>12</v>
      </c>
      <c r="AX18" t="s">
        <v>74</v>
      </c>
      <c r="AY18" t="s">
        <v>74</v>
      </c>
      <c r="AZ18" t="s">
        <v>74</v>
      </c>
      <c r="BA18" t="s">
        <v>74</v>
      </c>
      <c r="BB18">
        <v>3899</v>
      </c>
      <c r="BC18">
        <v>3904</v>
      </c>
      <c r="BD18" t="s">
        <v>74</v>
      </c>
      <c r="BE18" t="s">
        <v>422</v>
      </c>
      <c r="BF18" t="str">
        <f>HYPERLINK("http://dx.doi.org/10.1016/j.scitotenv.2008.12.058","http://dx.doi.org/10.1016/j.scitotenv.2008.12.058")</f>
        <v>http://dx.doi.org/10.1016/j.scitotenv.2008.12.058</v>
      </c>
      <c r="BG18" t="s">
        <v>74</v>
      </c>
      <c r="BH18" t="s">
        <v>74</v>
      </c>
      <c r="BI18">
        <v>6</v>
      </c>
      <c r="BJ18" t="s">
        <v>423</v>
      </c>
      <c r="BK18" t="s">
        <v>100</v>
      </c>
      <c r="BL18" t="s">
        <v>424</v>
      </c>
      <c r="BM18" t="s">
        <v>425</v>
      </c>
      <c r="BN18">
        <v>19321191</v>
      </c>
      <c r="BO18" t="s">
        <v>74</v>
      </c>
      <c r="BP18" t="s">
        <v>74</v>
      </c>
      <c r="BQ18" t="s">
        <v>74</v>
      </c>
      <c r="BR18" t="s">
        <v>103</v>
      </c>
      <c r="BS18" t="s">
        <v>426</v>
      </c>
      <c r="BT18" t="str">
        <f>HYPERLINK("https%3A%2F%2Fwww.webofscience.com%2Fwos%2Fwoscc%2Ffull-record%2FWOS:000266446400032","View Full Record in Web of Science")</f>
        <v>View Full Record in Web of Science</v>
      </c>
    </row>
    <row r="19" spans="1:72" x14ac:dyDescent="0.15">
      <c r="A19" t="s">
        <v>72</v>
      </c>
      <c r="B19" t="s">
        <v>427</v>
      </c>
      <c r="C19" t="s">
        <v>74</v>
      </c>
      <c r="D19" t="s">
        <v>74</v>
      </c>
      <c r="E19" t="s">
        <v>74</v>
      </c>
      <c r="F19" t="s">
        <v>428</v>
      </c>
      <c r="G19" t="s">
        <v>74</v>
      </c>
      <c r="H19" t="s">
        <v>74</v>
      </c>
      <c r="I19" t="s">
        <v>429</v>
      </c>
      <c r="J19" t="s">
        <v>430</v>
      </c>
      <c r="K19" t="s">
        <v>74</v>
      </c>
      <c r="L19" t="s">
        <v>74</v>
      </c>
      <c r="M19" t="s">
        <v>78</v>
      </c>
      <c r="N19" t="s">
        <v>79</v>
      </c>
      <c r="O19" t="s">
        <v>74</v>
      </c>
      <c r="P19" t="s">
        <v>74</v>
      </c>
      <c r="Q19" t="s">
        <v>74</v>
      </c>
      <c r="R19" t="s">
        <v>74</v>
      </c>
      <c r="S19" t="s">
        <v>74</v>
      </c>
      <c r="T19" t="s">
        <v>431</v>
      </c>
      <c r="U19" t="s">
        <v>432</v>
      </c>
      <c r="V19" t="s">
        <v>433</v>
      </c>
      <c r="W19" t="s">
        <v>434</v>
      </c>
      <c r="X19" t="s">
        <v>435</v>
      </c>
      <c r="Y19" t="s">
        <v>436</v>
      </c>
      <c r="Z19" t="s">
        <v>437</v>
      </c>
      <c r="AA19" t="s">
        <v>438</v>
      </c>
      <c r="AB19" t="s">
        <v>439</v>
      </c>
      <c r="AC19" t="s">
        <v>74</v>
      </c>
      <c r="AD19" t="s">
        <v>74</v>
      </c>
      <c r="AE19" t="s">
        <v>74</v>
      </c>
      <c r="AF19" t="s">
        <v>74</v>
      </c>
      <c r="AG19">
        <v>31</v>
      </c>
      <c r="AH19">
        <v>18</v>
      </c>
      <c r="AI19">
        <v>18</v>
      </c>
      <c r="AJ19">
        <v>1</v>
      </c>
      <c r="AK19">
        <v>7</v>
      </c>
      <c r="AL19" t="s">
        <v>440</v>
      </c>
      <c r="AM19" t="s">
        <v>441</v>
      </c>
      <c r="AN19" t="s">
        <v>442</v>
      </c>
      <c r="AO19" t="s">
        <v>443</v>
      </c>
      <c r="AP19" t="s">
        <v>444</v>
      </c>
      <c r="AQ19" t="s">
        <v>74</v>
      </c>
      <c r="AR19" t="s">
        <v>445</v>
      </c>
      <c r="AS19" t="s">
        <v>446</v>
      </c>
      <c r="AT19" t="s">
        <v>97</v>
      </c>
      <c r="AU19">
        <v>2009</v>
      </c>
      <c r="AV19">
        <v>73</v>
      </c>
      <c r="AW19">
        <v>2</v>
      </c>
      <c r="AX19" t="s">
        <v>74</v>
      </c>
      <c r="AY19" t="s">
        <v>74</v>
      </c>
      <c r="AZ19" t="s">
        <v>74</v>
      </c>
      <c r="BA19" t="s">
        <v>74</v>
      </c>
      <c r="BB19">
        <v>357</v>
      </c>
      <c r="BC19">
        <v>368</v>
      </c>
      <c r="BD19" t="s">
        <v>74</v>
      </c>
      <c r="BE19" t="s">
        <v>447</v>
      </c>
      <c r="BF19" t="str">
        <f>HYPERLINK("http://dx.doi.org/10.3989/scimar.2009.73n2357","http://dx.doi.org/10.3989/scimar.2009.73n2357")</f>
        <v>http://dx.doi.org/10.3989/scimar.2009.73n2357</v>
      </c>
      <c r="BG19" t="s">
        <v>74</v>
      </c>
      <c r="BH19" t="s">
        <v>74</v>
      </c>
      <c r="BI19">
        <v>12</v>
      </c>
      <c r="BJ19" t="s">
        <v>448</v>
      </c>
      <c r="BK19" t="s">
        <v>100</v>
      </c>
      <c r="BL19" t="s">
        <v>448</v>
      </c>
      <c r="BM19" t="s">
        <v>449</v>
      </c>
      <c r="BN19" t="s">
        <v>74</v>
      </c>
      <c r="BO19" t="s">
        <v>450</v>
      </c>
      <c r="BP19" t="s">
        <v>74</v>
      </c>
      <c r="BQ19" t="s">
        <v>74</v>
      </c>
      <c r="BR19" t="s">
        <v>103</v>
      </c>
      <c r="BS19" t="s">
        <v>451</v>
      </c>
      <c r="BT19" t="str">
        <f>HYPERLINK("https%3A%2F%2Fwww.webofscience.com%2Fwos%2Fwoscc%2Ffull-record%2FWOS:000267573000014","View Full Record in Web of Science")</f>
        <v>View Full Record in Web of Science</v>
      </c>
    </row>
    <row r="20" spans="1:72" x14ac:dyDescent="0.15">
      <c r="A20" t="s">
        <v>72</v>
      </c>
      <c r="B20" t="s">
        <v>452</v>
      </c>
      <c r="C20" t="s">
        <v>74</v>
      </c>
      <c r="D20" t="s">
        <v>74</v>
      </c>
      <c r="E20" t="s">
        <v>74</v>
      </c>
      <c r="F20" t="s">
        <v>453</v>
      </c>
      <c r="G20" t="s">
        <v>74</v>
      </c>
      <c r="H20" t="s">
        <v>74</v>
      </c>
      <c r="I20" t="s">
        <v>454</v>
      </c>
      <c r="J20" t="s">
        <v>455</v>
      </c>
      <c r="K20" t="s">
        <v>74</v>
      </c>
      <c r="L20" t="s">
        <v>74</v>
      </c>
      <c r="M20" t="s">
        <v>78</v>
      </c>
      <c r="N20" t="s">
        <v>79</v>
      </c>
      <c r="O20" t="s">
        <v>74</v>
      </c>
      <c r="P20" t="s">
        <v>74</v>
      </c>
      <c r="Q20" t="s">
        <v>74</v>
      </c>
      <c r="R20" t="s">
        <v>74</v>
      </c>
      <c r="S20" t="s">
        <v>74</v>
      </c>
      <c r="T20" t="s">
        <v>456</v>
      </c>
      <c r="U20" t="s">
        <v>457</v>
      </c>
      <c r="V20" t="s">
        <v>458</v>
      </c>
      <c r="W20" t="s">
        <v>459</v>
      </c>
      <c r="X20" t="s">
        <v>460</v>
      </c>
      <c r="Y20" t="s">
        <v>461</v>
      </c>
      <c r="Z20" t="s">
        <v>462</v>
      </c>
      <c r="AA20" t="s">
        <v>463</v>
      </c>
      <c r="AB20" t="s">
        <v>464</v>
      </c>
      <c r="AC20" t="s">
        <v>465</v>
      </c>
      <c r="AD20" t="s">
        <v>466</v>
      </c>
      <c r="AE20" t="s">
        <v>467</v>
      </c>
      <c r="AF20" t="s">
        <v>74</v>
      </c>
      <c r="AG20">
        <v>49</v>
      </c>
      <c r="AH20">
        <v>54</v>
      </c>
      <c r="AI20">
        <v>63</v>
      </c>
      <c r="AJ20">
        <v>1</v>
      </c>
      <c r="AK20">
        <v>85</v>
      </c>
      <c r="AL20" t="s">
        <v>303</v>
      </c>
      <c r="AM20" t="s">
        <v>304</v>
      </c>
      <c r="AN20" t="s">
        <v>305</v>
      </c>
      <c r="AO20" t="s">
        <v>468</v>
      </c>
      <c r="AP20" t="s">
        <v>469</v>
      </c>
      <c r="AQ20" t="s">
        <v>74</v>
      </c>
      <c r="AR20" t="s">
        <v>470</v>
      </c>
      <c r="AS20" t="s">
        <v>471</v>
      </c>
      <c r="AT20" t="s">
        <v>97</v>
      </c>
      <c r="AU20">
        <v>2009</v>
      </c>
      <c r="AV20">
        <v>41</v>
      </c>
      <c r="AW20">
        <v>6</v>
      </c>
      <c r="AX20" t="s">
        <v>74</v>
      </c>
      <c r="AY20" t="s">
        <v>74</v>
      </c>
      <c r="AZ20" t="s">
        <v>74</v>
      </c>
      <c r="BA20" t="s">
        <v>74</v>
      </c>
      <c r="BB20">
        <v>1104</v>
      </c>
      <c r="BC20">
        <v>1110</v>
      </c>
      <c r="BD20" t="s">
        <v>74</v>
      </c>
      <c r="BE20" t="s">
        <v>472</v>
      </c>
      <c r="BF20" t="str">
        <f>HYPERLINK("http://dx.doi.org/10.1016/j.soilbio.2009.02.024","http://dx.doi.org/10.1016/j.soilbio.2009.02.024")</f>
        <v>http://dx.doi.org/10.1016/j.soilbio.2009.02.024</v>
      </c>
      <c r="BG20" t="s">
        <v>74</v>
      </c>
      <c r="BH20" t="s">
        <v>74</v>
      </c>
      <c r="BI20">
        <v>7</v>
      </c>
      <c r="BJ20" t="s">
        <v>473</v>
      </c>
      <c r="BK20" t="s">
        <v>100</v>
      </c>
      <c r="BL20" t="s">
        <v>474</v>
      </c>
      <c r="BM20" t="s">
        <v>475</v>
      </c>
      <c r="BN20" t="s">
        <v>74</v>
      </c>
      <c r="BO20" t="s">
        <v>74</v>
      </c>
      <c r="BP20" t="s">
        <v>74</v>
      </c>
      <c r="BQ20" t="s">
        <v>74</v>
      </c>
      <c r="BR20" t="s">
        <v>103</v>
      </c>
      <c r="BS20" t="s">
        <v>476</v>
      </c>
      <c r="BT20" t="str">
        <f>HYPERLINK("https%3A%2F%2Fwww.webofscience.com%2Fwos%2Fwoscc%2Ffull-record%2FWOS:000266942900010","View Full Record in Web of Science")</f>
        <v>View Full Record in Web of Science</v>
      </c>
    </row>
    <row r="21" spans="1:72" x14ac:dyDescent="0.15">
      <c r="A21" t="s">
        <v>72</v>
      </c>
      <c r="B21" t="s">
        <v>477</v>
      </c>
      <c r="C21" t="s">
        <v>74</v>
      </c>
      <c r="D21" t="s">
        <v>74</v>
      </c>
      <c r="E21" t="s">
        <v>74</v>
      </c>
      <c r="F21" t="s">
        <v>478</v>
      </c>
      <c r="G21" t="s">
        <v>74</v>
      </c>
      <c r="H21" t="s">
        <v>74</v>
      </c>
      <c r="I21" t="s">
        <v>479</v>
      </c>
      <c r="J21" t="s">
        <v>480</v>
      </c>
      <c r="K21" t="s">
        <v>74</v>
      </c>
      <c r="L21" t="s">
        <v>74</v>
      </c>
      <c r="M21" t="s">
        <v>78</v>
      </c>
      <c r="N21" t="s">
        <v>79</v>
      </c>
      <c r="O21" t="s">
        <v>74</v>
      </c>
      <c r="P21" t="s">
        <v>74</v>
      </c>
      <c r="Q21" t="s">
        <v>74</v>
      </c>
      <c r="R21" t="s">
        <v>74</v>
      </c>
      <c r="S21" t="s">
        <v>74</v>
      </c>
      <c r="T21" t="s">
        <v>74</v>
      </c>
      <c r="U21" t="s">
        <v>481</v>
      </c>
      <c r="V21" t="s">
        <v>482</v>
      </c>
      <c r="W21" t="s">
        <v>483</v>
      </c>
      <c r="X21" t="s">
        <v>484</v>
      </c>
      <c r="Y21" t="s">
        <v>485</v>
      </c>
      <c r="Z21" t="s">
        <v>486</v>
      </c>
      <c r="AA21" t="s">
        <v>487</v>
      </c>
      <c r="AB21" t="s">
        <v>488</v>
      </c>
      <c r="AC21" t="s">
        <v>74</v>
      </c>
      <c r="AD21" t="s">
        <v>74</v>
      </c>
      <c r="AE21" t="s">
        <v>74</v>
      </c>
      <c r="AF21" t="s">
        <v>74</v>
      </c>
      <c r="AG21">
        <v>53</v>
      </c>
      <c r="AH21">
        <v>11</v>
      </c>
      <c r="AI21">
        <v>11</v>
      </c>
      <c r="AJ21">
        <v>0</v>
      </c>
      <c r="AK21">
        <v>2</v>
      </c>
      <c r="AL21" t="s">
        <v>489</v>
      </c>
      <c r="AM21" t="s">
        <v>490</v>
      </c>
      <c r="AN21" t="s">
        <v>491</v>
      </c>
      <c r="AO21" t="s">
        <v>492</v>
      </c>
      <c r="AP21" t="s">
        <v>493</v>
      </c>
      <c r="AQ21" t="s">
        <v>74</v>
      </c>
      <c r="AR21" t="s">
        <v>480</v>
      </c>
      <c r="AS21" t="s">
        <v>494</v>
      </c>
      <c r="AT21" t="s">
        <v>97</v>
      </c>
      <c r="AU21">
        <v>2009</v>
      </c>
      <c r="AV21">
        <v>21</v>
      </c>
      <c r="AW21">
        <v>3</v>
      </c>
      <c r="AX21" t="s">
        <v>74</v>
      </c>
      <c r="AY21" t="s">
        <v>74</v>
      </c>
      <c r="AZ21" t="s">
        <v>74</v>
      </c>
      <c r="BA21" t="s">
        <v>74</v>
      </c>
      <c r="BB21">
        <v>151</v>
      </c>
      <c r="BC21">
        <v>161</v>
      </c>
      <c r="BD21" t="s">
        <v>74</v>
      </c>
      <c r="BE21" t="s">
        <v>495</v>
      </c>
      <c r="BF21" t="str">
        <f>HYPERLINK("http://dx.doi.org/10.1111/j.1365-3121.2009.00868.x","http://dx.doi.org/10.1111/j.1365-3121.2009.00868.x")</f>
        <v>http://dx.doi.org/10.1111/j.1365-3121.2009.00868.x</v>
      </c>
      <c r="BG21" t="s">
        <v>74</v>
      </c>
      <c r="BH21" t="s">
        <v>74</v>
      </c>
      <c r="BI21">
        <v>11</v>
      </c>
      <c r="BJ21" t="s">
        <v>496</v>
      </c>
      <c r="BK21" t="s">
        <v>100</v>
      </c>
      <c r="BL21" t="s">
        <v>497</v>
      </c>
      <c r="BM21" t="s">
        <v>498</v>
      </c>
      <c r="BN21" t="s">
        <v>74</v>
      </c>
      <c r="BO21" t="s">
        <v>499</v>
      </c>
      <c r="BP21" t="s">
        <v>74</v>
      </c>
      <c r="BQ21" t="s">
        <v>74</v>
      </c>
      <c r="BR21" t="s">
        <v>103</v>
      </c>
      <c r="BS21" t="s">
        <v>500</v>
      </c>
      <c r="BT21" t="str">
        <f>HYPERLINK("https%3A%2F%2Fwww.webofscience.com%2Fwos%2Fwoscc%2Ffull-record%2FWOS:000266340400001","View Full Record in Web of Science")</f>
        <v>View Full Record in Web of Science</v>
      </c>
    </row>
    <row r="22" spans="1:72" x14ac:dyDescent="0.15">
      <c r="A22" t="s">
        <v>72</v>
      </c>
      <c r="B22" t="s">
        <v>501</v>
      </c>
      <c r="C22" t="s">
        <v>74</v>
      </c>
      <c r="D22" t="s">
        <v>74</v>
      </c>
      <c r="E22" t="s">
        <v>74</v>
      </c>
      <c r="F22" t="s">
        <v>502</v>
      </c>
      <c r="G22" t="s">
        <v>74</v>
      </c>
      <c r="H22" t="s">
        <v>74</v>
      </c>
      <c r="I22" t="s">
        <v>503</v>
      </c>
      <c r="J22" t="s">
        <v>504</v>
      </c>
      <c r="K22" t="s">
        <v>74</v>
      </c>
      <c r="L22" t="s">
        <v>74</v>
      </c>
      <c r="M22" t="s">
        <v>78</v>
      </c>
      <c r="N22" t="s">
        <v>505</v>
      </c>
      <c r="O22" t="s">
        <v>74</v>
      </c>
      <c r="P22" t="s">
        <v>74</v>
      </c>
      <c r="Q22" t="s">
        <v>74</v>
      </c>
      <c r="R22" t="s">
        <v>74</v>
      </c>
      <c r="S22" t="s">
        <v>74</v>
      </c>
      <c r="T22" t="s">
        <v>74</v>
      </c>
      <c r="U22" t="s">
        <v>74</v>
      </c>
      <c r="V22" t="s">
        <v>74</v>
      </c>
      <c r="W22" t="s">
        <v>74</v>
      </c>
      <c r="X22" t="s">
        <v>74</v>
      </c>
      <c r="Y22" t="s">
        <v>74</v>
      </c>
      <c r="Z22" t="s">
        <v>506</v>
      </c>
      <c r="AA22" t="s">
        <v>74</v>
      </c>
      <c r="AB22" t="s">
        <v>74</v>
      </c>
      <c r="AC22" t="s">
        <v>74</v>
      </c>
      <c r="AD22" t="s">
        <v>74</v>
      </c>
      <c r="AE22" t="s">
        <v>74</v>
      </c>
      <c r="AF22" t="s">
        <v>74</v>
      </c>
      <c r="AG22">
        <v>0</v>
      </c>
      <c r="AH22">
        <v>0</v>
      </c>
      <c r="AI22">
        <v>0</v>
      </c>
      <c r="AJ22">
        <v>0</v>
      </c>
      <c r="AK22">
        <v>1</v>
      </c>
      <c r="AL22" t="s">
        <v>489</v>
      </c>
      <c r="AM22" t="s">
        <v>490</v>
      </c>
      <c r="AN22" t="s">
        <v>491</v>
      </c>
      <c r="AO22" t="s">
        <v>507</v>
      </c>
      <c r="AP22" t="s">
        <v>508</v>
      </c>
      <c r="AQ22" t="s">
        <v>74</v>
      </c>
      <c r="AR22" t="s">
        <v>504</v>
      </c>
      <c r="AS22" t="s">
        <v>509</v>
      </c>
      <c r="AT22" t="s">
        <v>97</v>
      </c>
      <c r="AU22">
        <v>2009</v>
      </c>
      <c r="AV22">
        <v>64</v>
      </c>
      <c r="AW22">
        <v>6</v>
      </c>
      <c r="AX22" t="s">
        <v>74</v>
      </c>
      <c r="AY22" t="s">
        <v>74</v>
      </c>
      <c r="AZ22" t="s">
        <v>74</v>
      </c>
      <c r="BA22" t="s">
        <v>74</v>
      </c>
      <c r="BB22">
        <v>142</v>
      </c>
      <c r="BC22">
        <v>142</v>
      </c>
      <c r="BD22" t="s">
        <v>74</v>
      </c>
      <c r="BE22" t="s">
        <v>74</v>
      </c>
      <c r="BF22" t="s">
        <v>74</v>
      </c>
      <c r="BG22" t="s">
        <v>74</v>
      </c>
      <c r="BH22" t="s">
        <v>74</v>
      </c>
      <c r="BI22">
        <v>1</v>
      </c>
      <c r="BJ22" t="s">
        <v>398</v>
      </c>
      <c r="BK22" t="s">
        <v>100</v>
      </c>
      <c r="BL22" t="s">
        <v>398</v>
      </c>
      <c r="BM22" t="s">
        <v>510</v>
      </c>
      <c r="BN22" t="s">
        <v>74</v>
      </c>
      <c r="BO22" t="s">
        <v>74</v>
      </c>
      <c r="BP22" t="s">
        <v>74</v>
      </c>
      <c r="BQ22" t="s">
        <v>74</v>
      </c>
      <c r="BR22" t="s">
        <v>103</v>
      </c>
      <c r="BS22" t="s">
        <v>511</v>
      </c>
      <c r="BT22" t="str">
        <f>HYPERLINK("https%3A%2F%2Fwww.webofscience.com%2Fwos%2Fwoscc%2Ffull-record%2FWOS:000267037500003","View Full Record in Web of Science")</f>
        <v>View Full Record in Web of Science</v>
      </c>
    </row>
    <row r="23" spans="1:72" x14ac:dyDescent="0.15">
      <c r="A23" t="s">
        <v>72</v>
      </c>
      <c r="B23" t="s">
        <v>512</v>
      </c>
      <c r="C23" t="s">
        <v>74</v>
      </c>
      <c r="D23" t="s">
        <v>74</v>
      </c>
      <c r="E23" t="s">
        <v>74</v>
      </c>
      <c r="F23" t="s">
        <v>513</v>
      </c>
      <c r="G23" t="s">
        <v>74</v>
      </c>
      <c r="H23" t="s">
        <v>74</v>
      </c>
      <c r="I23" t="s">
        <v>514</v>
      </c>
      <c r="J23" t="s">
        <v>515</v>
      </c>
      <c r="K23" t="s">
        <v>74</v>
      </c>
      <c r="L23" t="s">
        <v>74</v>
      </c>
      <c r="M23" t="s">
        <v>78</v>
      </c>
      <c r="N23" t="s">
        <v>79</v>
      </c>
      <c r="O23" t="s">
        <v>74</v>
      </c>
      <c r="P23" t="s">
        <v>74</v>
      </c>
      <c r="Q23" t="s">
        <v>74</v>
      </c>
      <c r="R23" t="s">
        <v>74</v>
      </c>
      <c r="S23" t="s">
        <v>74</v>
      </c>
      <c r="T23" t="s">
        <v>516</v>
      </c>
      <c r="U23" t="s">
        <v>517</v>
      </c>
      <c r="V23" t="s">
        <v>518</v>
      </c>
      <c r="W23" t="s">
        <v>519</v>
      </c>
      <c r="X23" t="s">
        <v>520</v>
      </c>
      <c r="Y23" t="s">
        <v>521</v>
      </c>
      <c r="Z23" t="s">
        <v>522</v>
      </c>
      <c r="AA23" t="s">
        <v>74</v>
      </c>
      <c r="AB23" t="s">
        <v>523</v>
      </c>
      <c r="AC23" t="s">
        <v>524</v>
      </c>
      <c r="AD23" t="s">
        <v>525</v>
      </c>
      <c r="AE23" t="s">
        <v>526</v>
      </c>
      <c r="AF23" t="s">
        <v>74</v>
      </c>
      <c r="AG23">
        <v>56</v>
      </c>
      <c r="AH23">
        <v>34</v>
      </c>
      <c r="AI23">
        <v>36</v>
      </c>
      <c r="AJ23">
        <v>1</v>
      </c>
      <c r="AK23">
        <v>16</v>
      </c>
      <c r="AL23" t="s">
        <v>251</v>
      </c>
      <c r="AM23" t="s">
        <v>252</v>
      </c>
      <c r="AN23" t="s">
        <v>253</v>
      </c>
      <c r="AO23" t="s">
        <v>527</v>
      </c>
      <c r="AP23" t="s">
        <v>528</v>
      </c>
      <c r="AQ23" t="s">
        <v>74</v>
      </c>
      <c r="AR23" t="s">
        <v>529</v>
      </c>
      <c r="AS23" t="s">
        <v>530</v>
      </c>
      <c r="AT23" t="s">
        <v>531</v>
      </c>
      <c r="AU23">
        <v>2009</v>
      </c>
      <c r="AV23">
        <v>282</v>
      </c>
      <c r="AW23" t="s">
        <v>532</v>
      </c>
      <c r="AX23" t="s">
        <v>74</v>
      </c>
      <c r="AY23" t="s">
        <v>74</v>
      </c>
      <c r="AZ23" t="s">
        <v>74</v>
      </c>
      <c r="BA23" t="s">
        <v>74</v>
      </c>
      <c r="BB23">
        <v>212</v>
      </c>
      <c r="BC23">
        <v>221</v>
      </c>
      <c r="BD23" t="s">
        <v>74</v>
      </c>
      <c r="BE23" t="s">
        <v>533</v>
      </c>
      <c r="BF23" t="str">
        <f>HYPERLINK("http://dx.doi.org/10.1016/j.epsl.2009.03.016","http://dx.doi.org/10.1016/j.epsl.2009.03.016")</f>
        <v>http://dx.doi.org/10.1016/j.epsl.2009.03.016</v>
      </c>
      <c r="BG23" t="s">
        <v>74</v>
      </c>
      <c r="BH23" t="s">
        <v>74</v>
      </c>
      <c r="BI23">
        <v>10</v>
      </c>
      <c r="BJ23" t="s">
        <v>534</v>
      </c>
      <c r="BK23" t="s">
        <v>100</v>
      </c>
      <c r="BL23" t="s">
        <v>534</v>
      </c>
      <c r="BM23" t="s">
        <v>535</v>
      </c>
      <c r="BN23" t="s">
        <v>74</v>
      </c>
      <c r="BO23" t="s">
        <v>74</v>
      </c>
      <c r="BP23" t="s">
        <v>74</v>
      </c>
      <c r="BQ23" t="s">
        <v>74</v>
      </c>
      <c r="BR23" t="s">
        <v>103</v>
      </c>
      <c r="BS23" t="s">
        <v>536</v>
      </c>
      <c r="BT23" t="str">
        <f>HYPERLINK("https%3A%2F%2Fwww.webofscience.com%2Fwos%2Fwoscc%2Ffull-record%2FWOS:000266899800021","View Full Record in Web of Science")</f>
        <v>View Full Record in Web of Science</v>
      </c>
    </row>
    <row r="24" spans="1:72" x14ac:dyDescent="0.15">
      <c r="A24" t="s">
        <v>72</v>
      </c>
      <c r="B24" t="s">
        <v>537</v>
      </c>
      <c r="C24" t="s">
        <v>74</v>
      </c>
      <c r="D24" t="s">
        <v>74</v>
      </c>
      <c r="E24" t="s">
        <v>74</v>
      </c>
      <c r="F24" t="s">
        <v>538</v>
      </c>
      <c r="G24" t="s">
        <v>74</v>
      </c>
      <c r="H24" t="s">
        <v>74</v>
      </c>
      <c r="I24" t="s">
        <v>539</v>
      </c>
      <c r="J24" t="s">
        <v>540</v>
      </c>
      <c r="K24" t="s">
        <v>74</v>
      </c>
      <c r="L24" t="s">
        <v>74</v>
      </c>
      <c r="M24" t="s">
        <v>78</v>
      </c>
      <c r="N24" t="s">
        <v>79</v>
      </c>
      <c r="O24" t="s">
        <v>74</v>
      </c>
      <c r="P24" t="s">
        <v>74</v>
      </c>
      <c r="Q24" t="s">
        <v>74</v>
      </c>
      <c r="R24" t="s">
        <v>74</v>
      </c>
      <c r="S24" t="s">
        <v>74</v>
      </c>
      <c r="T24" t="s">
        <v>541</v>
      </c>
      <c r="U24" t="s">
        <v>542</v>
      </c>
      <c r="V24" t="s">
        <v>543</v>
      </c>
      <c r="W24" t="s">
        <v>544</v>
      </c>
      <c r="X24" t="s">
        <v>545</v>
      </c>
      <c r="Y24" t="s">
        <v>546</v>
      </c>
      <c r="Z24" t="s">
        <v>547</v>
      </c>
      <c r="AA24" t="s">
        <v>548</v>
      </c>
      <c r="AB24" t="s">
        <v>549</v>
      </c>
      <c r="AC24" t="s">
        <v>550</v>
      </c>
      <c r="AD24" t="s">
        <v>551</v>
      </c>
      <c r="AE24" t="s">
        <v>552</v>
      </c>
      <c r="AF24" t="s">
        <v>74</v>
      </c>
      <c r="AG24">
        <v>46</v>
      </c>
      <c r="AH24">
        <v>7</v>
      </c>
      <c r="AI24">
        <v>7</v>
      </c>
      <c r="AJ24">
        <v>0</v>
      </c>
      <c r="AK24">
        <v>2</v>
      </c>
      <c r="AL24" t="s">
        <v>553</v>
      </c>
      <c r="AM24" t="s">
        <v>252</v>
      </c>
      <c r="AN24" t="s">
        <v>554</v>
      </c>
      <c r="AO24" t="s">
        <v>555</v>
      </c>
      <c r="AP24" t="s">
        <v>74</v>
      </c>
      <c r="AQ24" t="s">
        <v>74</v>
      </c>
      <c r="AR24" t="s">
        <v>556</v>
      </c>
      <c r="AS24" t="s">
        <v>557</v>
      </c>
      <c r="AT24" t="s">
        <v>531</v>
      </c>
      <c r="AU24">
        <v>2009</v>
      </c>
      <c r="AV24">
        <v>902</v>
      </c>
      <c r="AW24" t="s">
        <v>558</v>
      </c>
      <c r="AX24" t="s">
        <v>74</v>
      </c>
      <c r="AY24" t="s">
        <v>74</v>
      </c>
      <c r="AZ24" t="s">
        <v>74</v>
      </c>
      <c r="BA24" t="s">
        <v>74</v>
      </c>
      <c r="BB24">
        <v>90</v>
      </c>
      <c r="BC24">
        <v>95</v>
      </c>
      <c r="BD24" t="s">
        <v>74</v>
      </c>
      <c r="BE24" t="s">
        <v>559</v>
      </c>
      <c r="BF24" t="str">
        <f>HYPERLINK("http://dx.doi.org/10.1016/j.theochem.2009.02.016","http://dx.doi.org/10.1016/j.theochem.2009.02.016")</f>
        <v>http://dx.doi.org/10.1016/j.theochem.2009.02.016</v>
      </c>
      <c r="BG24" t="s">
        <v>74</v>
      </c>
      <c r="BH24" t="s">
        <v>74</v>
      </c>
      <c r="BI24">
        <v>6</v>
      </c>
      <c r="BJ24" t="s">
        <v>560</v>
      </c>
      <c r="BK24" t="s">
        <v>100</v>
      </c>
      <c r="BL24" t="s">
        <v>561</v>
      </c>
      <c r="BM24" t="s">
        <v>562</v>
      </c>
      <c r="BN24" t="s">
        <v>74</v>
      </c>
      <c r="BO24" t="s">
        <v>74</v>
      </c>
      <c r="BP24" t="s">
        <v>74</v>
      </c>
      <c r="BQ24" t="s">
        <v>74</v>
      </c>
      <c r="BR24" t="s">
        <v>103</v>
      </c>
      <c r="BS24" t="s">
        <v>563</v>
      </c>
      <c r="BT24" t="str">
        <f>HYPERLINK("https%3A%2F%2Fwww.webofscience.com%2Fwos%2Fwoscc%2Ffull-record%2FWOS:000265804300013","View Full Record in Web of Science")</f>
        <v>View Full Record in Web of Science</v>
      </c>
    </row>
    <row r="25" spans="1:72" x14ac:dyDescent="0.15">
      <c r="A25" t="s">
        <v>72</v>
      </c>
      <c r="B25" t="s">
        <v>564</v>
      </c>
      <c r="C25" t="s">
        <v>74</v>
      </c>
      <c r="D25" t="s">
        <v>74</v>
      </c>
      <c r="E25" t="s">
        <v>74</v>
      </c>
      <c r="F25" t="s">
        <v>565</v>
      </c>
      <c r="G25" t="s">
        <v>74</v>
      </c>
      <c r="H25" t="s">
        <v>74</v>
      </c>
      <c r="I25" t="s">
        <v>566</v>
      </c>
      <c r="J25" t="s">
        <v>567</v>
      </c>
      <c r="K25" t="s">
        <v>74</v>
      </c>
      <c r="L25" t="s">
        <v>74</v>
      </c>
      <c r="M25" t="s">
        <v>78</v>
      </c>
      <c r="N25" t="s">
        <v>79</v>
      </c>
      <c r="O25" t="s">
        <v>74</v>
      </c>
      <c r="P25" t="s">
        <v>74</v>
      </c>
      <c r="Q25" t="s">
        <v>74</v>
      </c>
      <c r="R25" t="s">
        <v>74</v>
      </c>
      <c r="S25" t="s">
        <v>74</v>
      </c>
      <c r="T25" t="s">
        <v>568</v>
      </c>
      <c r="U25" t="s">
        <v>569</v>
      </c>
      <c r="V25" t="s">
        <v>570</v>
      </c>
      <c r="W25" t="s">
        <v>571</v>
      </c>
      <c r="X25" t="s">
        <v>572</v>
      </c>
      <c r="Y25" t="s">
        <v>573</v>
      </c>
      <c r="Z25" t="s">
        <v>574</v>
      </c>
      <c r="AA25" t="s">
        <v>575</v>
      </c>
      <c r="AB25" t="s">
        <v>576</v>
      </c>
      <c r="AC25" t="s">
        <v>74</v>
      </c>
      <c r="AD25" t="s">
        <v>74</v>
      </c>
      <c r="AE25" t="s">
        <v>74</v>
      </c>
      <c r="AF25" t="s">
        <v>74</v>
      </c>
      <c r="AG25">
        <v>47</v>
      </c>
      <c r="AH25">
        <v>34</v>
      </c>
      <c r="AI25">
        <v>41</v>
      </c>
      <c r="AJ25">
        <v>0</v>
      </c>
      <c r="AK25">
        <v>17</v>
      </c>
      <c r="AL25" t="s">
        <v>577</v>
      </c>
      <c r="AM25" t="s">
        <v>578</v>
      </c>
      <c r="AN25" t="s">
        <v>579</v>
      </c>
      <c r="AO25" t="s">
        <v>580</v>
      </c>
      <c r="AP25" t="s">
        <v>581</v>
      </c>
      <c r="AQ25" t="s">
        <v>74</v>
      </c>
      <c r="AR25" t="s">
        <v>582</v>
      </c>
      <c r="AS25" t="s">
        <v>583</v>
      </c>
      <c r="AT25" t="s">
        <v>584</v>
      </c>
      <c r="AU25">
        <v>2009</v>
      </c>
      <c r="AV25">
        <v>384</v>
      </c>
      <c r="AW25" t="s">
        <v>74</v>
      </c>
      <c r="AX25" t="s">
        <v>74</v>
      </c>
      <c r="AY25" t="s">
        <v>74</v>
      </c>
      <c r="AZ25" t="s">
        <v>74</v>
      </c>
      <c r="BA25" t="s">
        <v>74</v>
      </c>
      <c r="BB25">
        <v>303</v>
      </c>
      <c r="BC25">
        <v>312</v>
      </c>
      <c r="BD25" t="s">
        <v>74</v>
      </c>
      <c r="BE25" t="s">
        <v>585</v>
      </c>
      <c r="BF25" t="str">
        <f>HYPERLINK("http://dx.doi.org/10.3354/meps08010","http://dx.doi.org/10.3354/meps08010")</f>
        <v>http://dx.doi.org/10.3354/meps08010</v>
      </c>
      <c r="BG25" t="s">
        <v>74</v>
      </c>
      <c r="BH25" t="s">
        <v>74</v>
      </c>
      <c r="BI25">
        <v>10</v>
      </c>
      <c r="BJ25" t="s">
        <v>586</v>
      </c>
      <c r="BK25" t="s">
        <v>100</v>
      </c>
      <c r="BL25" t="s">
        <v>587</v>
      </c>
      <c r="BM25" t="s">
        <v>588</v>
      </c>
      <c r="BN25" t="s">
        <v>74</v>
      </c>
      <c r="BO25" t="s">
        <v>499</v>
      </c>
      <c r="BP25" t="s">
        <v>74</v>
      </c>
      <c r="BQ25" t="s">
        <v>74</v>
      </c>
      <c r="BR25" t="s">
        <v>103</v>
      </c>
      <c r="BS25" t="s">
        <v>589</v>
      </c>
      <c r="BT25" t="str">
        <f>HYPERLINK("https%3A%2F%2Fwww.webofscience.com%2Fwos%2Fwoscc%2Ffull-record%2FWOS:000267404000025","View Full Record in Web of Science")</f>
        <v>View Full Record in Web of Science</v>
      </c>
    </row>
    <row r="26" spans="1:72" x14ac:dyDescent="0.15">
      <c r="A26" t="s">
        <v>72</v>
      </c>
      <c r="B26" t="s">
        <v>590</v>
      </c>
      <c r="C26" t="s">
        <v>74</v>
      </c>
      <c r="D26" t="s">
        <v>74</v>
      </c>
      <c r="E26" t="s">
        <v>74</v>
      </c>
      <c r="F26" t="s">
        <v>591</v>
      </c>
      <c r="G26" t="s">
        <v>74</v>
      </c>
      <c r="H26" t="s">
        <v>74</v>
      </c>
      <c r="I26" t="s">
        <v>592</v>
      </c>
      <c r="J26" t="s">
        <v>593</v>
      </c>
      <c r="K26" t="s">
        <v>74</v>
      </c>
      <c r="L26" t="s">
        <v>74</v>
      </c>
      <c r="M26" t="s">
        <v>78</v>
      </c>
      <c r="N26" t="s">
        <v>79</v>
      </c>
      <c r="O26" t="s">
        <v>74</v>
      </c>
      <c r="P26" t="s">
        <v>74</v>
      </c>
      <c r="Q26" t="s">
        <v>74</v>
      </c>
      <c r="R26" t="s">
        <v>74</v>
      </c>
      <c r="S26" t="s">
        <v>74</v>
      </c>
      <c r="T26" t="s">
        <v>74</v>
      </c>
      <c r="U26" t="s">
        <v>594</v>
      </c>
      <c r="V26" t="s">
        <v>595</v>
      </c>
      <c r="W26" t="s">
        <v>596</v>
      </c>
      <c r="X26" t="s">
        <v>597</v>
      </c>
      <c r="Y26" t="s">
        <v>598</v>
      </c>
      <c r="Z26" t="s">
        <v>599</v>
      </c>
      <c r="AA26" t="s">
        <v>600</v>
      </c>
      <c r="AB26" t="s">
        <v>601</v>
      </c>
      <c r="AC26" t="s">
        <v>602</v>
      </c>
      <c r="AD26" t="s">
        <v>603</v>
      </c>
      <c r="AE26" t="s">
        <v>604</v>
      </c>
      <c r="AF26" t="s">
        <v>74</v>
      </c>
      <c r="AG26">
        <v>30</v>
      </c>
      <c r="AH26">
        <v>35</v>
      </c>
      <c r="AI26">
        <v>36</v>
      </c>
      <c r="AJ26">
        <v>0</v>
      </c>
      <c r="AK26">
        <v>3</v>
      </c>
      <c r="AL26" t="s">
        <v>605</v>
      </c>
      <c r="AM26" t="s">
        <v>606</v>
      </c>
      <c r="AN26" t="s">
        <v>607</v>
      </c>
      <c r="AO26" t="s">
        <v>608</v>
      </c>
      <c r="AP26" t="s">
        <v>609</v>
      </c>
      <c r="AQ26" t="s">
        <v>74</v>
      </c>
      <c r="AR26" t="s">
        <v>610</v>
      </c>
      <c r="AS26" t="s">
        <v>611</v>
      </c>
      <c r="AT26" t="s">
        <v>612</v>
      </c>
      <c r="AU26">
        <v>2009</v>
      </c>
      <c r="AV26">
        <v>114</v>
      </c>
      <c r="AW26" t="s">
        <v>74</v>
      </c>
      <c r="AX26" t="s">
        <v>74</v>
      </c>
      <c r="AY26" t="s">
        <v>74</v>
      </c>
      <c r="AZ26" t="s">
        <v>74</v>
      </c>
      <c r="BA26" t="s">
        <v>74</v>
      </c>
      <c r="BB26" t="s">
        <v>74</v>
      </c>
      <c r="BC26" t="s">
        <v>74</v>
      </c>
      <c r="BD26" t="s">
        <v>613</v>
      </c>
      <c r="BE26" t="s">
        <v>614</v>
      </c>
      <c r="BF26" t="str">
        <f>HYPERLINK("http://dx.doi.org/10.1029/2008JA013717","http://dx.doi.org/10.1029/2008JA013717")</f>
        <v>http://dx.doi.org/10.1029/2008JA013717</v>
      </c>
      <c r="BG26" t="s">
        <v>74</v>
      </c>
      <c r="BH26" t="s">
        <v>74</v>
      </c>
      <c r="BI26">
        <v>10</v>
      </c>
      <c r="BJ26" t="s">
        <v>285</v>
      </c>
      <c r="BK26" t="s">
        <v>100</v>
      </c>
      <c r="BL26" t="s">
        <v>285</v>
      </c>
      <c r="BM26" t="s">
        <v>615</v>
      </c>
      <c r="BN26" t="s">
        <v>74</v>
      </c>
      <c r="BO26" t="s">
        <v>616</v>
      </c>
      <c r="BP26" t="s">
        <v>74</v>
      </c>
      <c r="BQ26" t="s">
        <v>74</v>
      </c>
      <c r="BR26" t="s">
        <v>103</v>
      </c>
      <c r="BS26" t="s">
        <v>617</v>
      </c>
      <c r="BT26" t="str">
        <f>HYPERLINK("https%3A%2F%2Fwww.webofscience.com%2Fwos%2Fwoscc%2Ffull-record%2FWOS:000266531800001","View Full Record in Web of Science")</f>
        <v>View Full Record in Web of Science</v>
      </c>
    </row>
    <row r="27" spans="1:72" x14ac:dyDescent="0.15">
      <c r="A27" t="s">
        <v>72</v>
      </c>
      <c r="B27" t="s">
        <v>618</v>
      </c>
      <c r="C27" t="s">
        <v>74</v>
      </c>
      <c r="D27" t="s">
        <v>74</v>
      </c>
      <c r="E27" t="s">
        <v>74</v>
      </c>
      <c r="F27" t="s">
        <v>619</v>
      </c>
      <c r="G27" t="s">
        <v>74</v>
      </c>
      <c r="H27" t="s">
        <v>74</v>
      </c>
      <c r="I27" t="s">
        <v>620</v>
      </c>
      <c r="J27" t="s">
        <v>621</v>
      </c>
      <c r="K27" t="s">
        <v>74</v>
      </c>
      <c r="L27" t="s">
        <v>74</v>
      </c>
      <c r="M27" t="s">
        <v>78</v>
      </c>
      <c r="N27" t="s">
        <v>79</v>
      </c>
      <c r="O27" t="s">
        <v>74</v>
      </c>
      <c r="P27" t="s">
        <v>74</v>
      </c>
      <c r="Q27" t="s">
        <v>74</v>
      </c>
      <c r="R27" t="s">
        <v>74</v>
      </c>
      <c r="S27" t="s">
        <v>74</v>
      </c>
      <c r="T27" t="s">
        <v>74</v>
      </c>
      <c r="U27" t="s">
        <v>622</v>
      </c>
      <c r="V27" t="s">
        <v>623</v>
      </c>
      <c r="W27" t="s">
        <v>624</v>
      </c>
      <c r="X27" t="s">
        <v>625</v>
      </c>
      <c r="Y27" t="s">
        <v>626</v>
      </c>
      <c r="Z27" t="s">
        <v>627</v>
      </c>
      <c r="AA27" t="s">
        <v>628</v>
      </c>
      <c r="AB27" t="s">
        <v>629</v>
      </c>
      <c r="AC27" t="s">
        <v>630</v>
      </c>
      <c r="AD27" t="s">
        <v>631</v>
      </c>
      <c r="AE27" t="s">
        <v>632</v>
      </c>
      <c r="AF27" t="s">
        <v>74</v>
      </c>
      <c r="AG27">
        <v>82</v>
      </c>
      <c r="AH27">
        <v>80</v>
      </c>
      <c r="AI27">
        <v>88</v>
      </c>
      <c r="AJ27">
        <v>1</v>
      </c>
      <c r="AK27">
        <v>8</v>
      </c>
      <c r="AL27" t="s">
        <v>605</v>
      </c>
      <c r="AM27" t="s">
        <v>606</v>
      </c>
      <c r="AN27" t="s">
        <v>607</v>
      </c>
      <c r="AO27" t="s">
        <v>633</v>
      </c>
      <c r="AP27" t="s">
        <v>634</v>
      </c>
      <c r="AQ27" t="s">
        <v>74</v>
      </c>
      <c r="AR27" t="s">
        <v>621</v>
      </c>
      <c r="AS27" t="s">
        <v>635</v>
      </c>
      <c r="AT27" t="s">
        <v>612</v>
      </c>
      <c r="AU27">
        <v>2009</v>
      </c>
      <c r="AV27">
        <v>24</v>
      </c>
      <c r="AW27" t="s">
        <v>74</v>
      </c>
      <c r="AX27" t="s">
        <v>74</v>
      </c>
      <c r="AY27" t="s">
        <v>74</v>
      </c>
      <c r="AZ27" t="s">
        <v>74</v>
      </c>
      <c r="BA27" t="s">
        <v>74</v>
      </c>
      <c r="BB27" t="s">
        <v>74</v>
      </c>
      <c r="BC27" t="s">
        <v>74</v>
      </c>
      <c r="BD27" t="s">
        <v>636</v>
      </c>
      <c r="BE27" t="s">
        <v>637</v>
      </c>
      <c r="BF27" t="str">
        <f>HYPERLINK("http://dx.doi.org/10.1029/2008PA001654","http://dx.doi.org/10.1029/2008PA001654")</f>
        <v>http://dx.doi.org/10.1029/2008PA001654</v>
      </c>
      <c r="BG27" t="s">
        <v>74</v>
      </c>
      <c r="BH27" t="s">
        <v>74</v>
      </c>
      <c r="BI27">
        <v>14</v>
      </c>
      <c r="BJ27" t="s">
        <v>638</v>
      </c>
      <c r="BK27" t="s">
        <v>100</v>
      </c>
      <c r="BL27" t="s">
        <v>639</v>
      </c>
      <c r="BM27" t="s">
        <v>640</v>
      </c>
      <c r="BN27" t="s">
        <v>74</v>
      </c>
      <c r="BO27" t="s">
        <v>499</v>
      </c>
      <c r="BP27" t="s">
        <v>74</v>
      </c>
      <c r="BQ27" t="s">
        <v>74</v>
      </c>
      <c r="BR27" t="s">
        <v>103</v>
      </c>
      <c r="BS27" t="s">
        <v>641</v>
      </c>
      <c r="BT27" t="str">
        <f>HYPERLINK("https%3A%2F%2Fwww.webofscience.com%2Fwos%2Fwoscc%2Ffull-record%2FWOS:000266533900001","View Full Record in Web of Science")</f>
        <v>View Full Record in Web of Science</v>
      </c>
    </row>
    <row r="28" spans="1:72" x14ac:dyDescent="0.15">
      <c r="A28" t="s">
        <v>72</v>
      </c>
      <c r="B28" t="s">
        <v>642</v>
      </c>
      <c r="C28" t="s">
        <v>74</v>
      </c>
      <c r="D28" t="s">
        <v>74</v>
      </c>
      <c r="E28" t="s">
        <v>74</v>
      </c>
      <c r="F28" t="s">
        <v>643</v>
      </c>
      <c r="G28" t="s">
        <v>74</v>
      </c>
      <c r="H28" t="s">
        <v>74</v>
      </c>
      <c r="I28" t="s">
        <v>644</v>
      </c>
      <c r="J28" t="s">
        <v>645</v>
      </c>
      <c r="K28" t="s">
        <v>74</v>
      </c>
      <c r="L28" t="s">
        <v>74</v>
      </c>
      <c r="M28" t="s">
        <v>78</v>
      </c>
      <c r="N28" t="s">
        <v>79</v>
      </c>
      <c r="O28" t="s">
        <v>74</v>
      </c>
      <c r="P28" t="s">
        <v>74</v>
      </c>
      <c r="Q28" t="s">
        <v>74</v>
      </c>
      <c r="R28" t="s">
        <v>74</v>
      </c>
      <c r="S28" t="s">
        <v>74</v>
      </c>
      <c r="T28" t="s">
        <v>74</v>
      </c>
      <c r="U28" t="s">
        <v>646</v>
      </c>
      <c r="V28" t="s">
        <v>647</v>
      </c>
      <c r="W28" t="s">
        <v>648</v>
      </c>
      <c r="X28" t="s">
        <v>649</v>
      </c>
      <c r="Y28" t="s">
        <v>650</v>
      </c>
      <c r="Z28" t="s">
        <v>651</v>
      </c>
      <c r="AA28" t="s">
        <v>652</v>
      </c>
      <c r="AB28" t="s">
        <v>653</v>
      </c>
      <c r="AC28" t="s">
        <v>654</v>
      </c>
      <c r="AD28" t="s">
        <v>655</v>
      </c>
      <c r="AE28" t="s">
        <v>656</v>
      </c>
      <c r="AF28" t="s">
        <v>74</v>
      </c>
      <c r="AG28">
        <v>37</v>
      </c>
      <c r="AH28">
        <v>30</v>
      </c>
      <c r="AI28">
        <v>32</v>
      </c>
      <c r="AJ28">
        <v>0</v>
      </c>
      <c r="AK28">
        <v>20</v>
      </c>
      <c r="AL28" t="s">
        <v>605</v>
      </c>
      <c r="AM28" t="s">
        <v>606</v>
      </c>
      <c r="AN28" t="s">
        <v>607</v>
      </c>
      <c r="AO28" t="s">
        <v>657</v>
      </c>
      <c r="AP28" t="s">
        <v>658</v>
      </c>
      <c r="AQ28" t="s">
        <v>74</v>
      </c>
      <c r="AR28" t="s">
        <v>659</v>
      </c>
      <c r="AS28" t="s">
        <v>660</v>
      </c>
      <c r="AT28" t="s">
        <v>661</v>
      </c>
      <c r="AU28">
        <v>2009</v>
      </c>
      <c r="AV28">
        <v>36</v>
      </c>
      <c r="AW28" t="s">
        <v>74</v>
      </c>
      <c r="AX28" t="s">
        <v>74</v>
      </c>
      <c r="AY28" t="s">
        <v>74</v>
      </c>
      <c r="AZ28" t="s">
        <v>74</v>
      </c>
      <c r="BA28" t="s">
        <v>74</v>
      </c>
      <c r="BB28" t="s">
        <v>74</v>
      </c>
      <c r="BC28" t="s">
        <v>74</v>
      </c>
      <c r="BD28" t="s">
        <v>662</v>
      </c>
      <c r="BE28" t="s">
        <v>663</v>
      </c>
      <c r="BF28" t="str">
        <f>HYPERLINK("http://dx.doi.org/10.1029/2009GL037552","http://dx.doi.org/10.1029/2009GL037552")</f>
        <v>http://dx.doi.org/10.1029/2009GL037552</v>
      </c>
      <c r="BG28" t="s">
        <v>74</v>
      </c>
      <c r="BH28" t="s">
        <v>74</v>
      </c>
      <c r="BI28">
        <v>4</v>
      </c>
      <c r="BJ28" t="s">
        <v>496</v>
      </c>
      <c r="BK28" t="s">
        <v>100</v>
      </c>
      <c r="BL28" t="s">
        <v>497</v>
      </c>
      <c r="BM28" t="s">
        <v>664</v>
      </c>
      <c r="BN28" t="s">
        <v>74</v>
      </c>
      <c r="BO28" t="s">
        <v>665</v>
      </c>
      <c r="BP28" t="s">
        <v>74</v>
      </c>
      <c r="BQ28" t="s">
        <v>74</v>
      </c>
      <c r="BR28" t="s">
        <v>103</v>
      </c>
      <c r="BS28" t="s">
        <v>666</v>
      </c>
      <c r="BT28" t="str">
        <f>HYPERLINK("https%3A%2F%2Fwww.webofscience.com%2Fwos%2Fwoscc%2Ffull-record%2FWOS:000266363300003","View Full Record in Web of Science")</f>
        <v>View Full Record in Web of Science</v>
      </c>
    </row>
    <row r="29" spans="1:72" x14ac:dyDescent="0.15">
      <c r="A29" t="s">
        <v>72</v>
      </c>
      <c r="B29" t="s">
        <v>667</v>
      </c>
      <c r="C29" t="s">
        <v>74</v>
      </c>
      <c r="D29" t="s">
        <v>74</v>
      </c>
      <c r="E29" t="s">
        <v>74</v>
      </c>
      <c r="F29" t="s">
        <v>668</v>
      </c>
      <c r="G29" t="s">
        <v>74</v>
      </c>
      <c r="H29" t="s">
        <v>74</v>
      </c>
      <c r="I29" t="s">
        <v>669</v>
      </c>
      <c r="J29" t="s">
        <v>670</v>
      </c>
      <c r="K29" t="s">
        <v>74</v>
      </c>
      <c r="L29" t="s">
        <v>74</v>
      </c>
      <c r="M29" t="s">
        <v>78</v>
      </c>
      <c r="N29" t="s">
        <v>79</v>
      </c>
      <c r="O29" t="s">
        <v>74</v>
      </c>
      <c r="P29" t="s">
        <v>74</v>
      </c>
      <c r="Q29" t="s">
        <v>74</v>
      </c>
      <c r="R29" t="s">
        <v>74</v>
      </c>
      <c r="S29" t="s">
        <v>74</v>
      </c>
      <c r="T29" t="s">
        <v>74</v>
      </c>
      <c r="U29" t="s">
        <v>671</v>
      </c>
      <c r="V29" t="s">
        <v>672</v>
      </c>
      <c r="W29" t="s">
        <v>673</v>
      </c>
      <c r="X29" t="s">
        <v>674</v>
      </c>
      <c r="Y29" t="s">
        <v>675</v>
      </c>
      <c r="Z29" t="s">
        <v>676</v>
      </c>
      <c r="AA29" t="s">
        <v>677</v>
      </c>
      <c r="AB29" t="s">
        <v>678</v>
      </c>
      <c r="AC29" t="s">
        <v>679</v>
      </c>
      <c r="AD29" t="s">
        <v>680</v>
      </c>
      <c r="AE29" t="s">
        <v>681</v>
      </c>
      <c r="AF29" t="s">
        <v>74</v>
      </c>
      <c r="AG29">
        <v>23</v>
      </c>
      <c r="AH29">
        <v>115</v>
      </c>
      <c r="AI29">
        <v>129</v>
      </c>
      <c r="AJ29">
        <v>2</v>
      </c>
      <c r="AK29">
        <v>31</v>
      </c>
      <c r="AL29" t="s">
        <v>605</v>
      </c>
      <c r="AM29" t="s">
        <v>606</v>
      </c>
      <c r="AN29" t="s">
        <v>607</v>
      </c>
      <c r="AO29" t="s">
        <v>682</v>
      </c>
      <c r="AP29" t="s">
        <v>683</v>
      </c>
      <c r="AQ29" t="s">
        <v>74</v>
      </c>
      <c r="AR29" t="s">
        <v>684</v>
      </c>
      <c r="AS29" t="s">
        <v>685</v>
      </c>
      <c r="AT29" t="s">
        <v>686</v>
      </c>
      <c r="AU29">
        <v>2009</v>
      </c>
      <c r="AV29">
        <v>114</v>
      </c>
      <c r="AW29" t="s">
        <v>74</v>
      </c>
      <c r="AX29" t="s">
        <v>74</v>
      </c>
      <c r="AY29" t="s">
        <v>74</v>
      </c>
      <c r="AZ29" t="s">
        <v>74</v>
      </c>
      <c r="BA29" t="s">
        <v>74</v>
      </c>
      <c r="BB29" t="s">
        <v>74</v>
      </c>
      <c r="BC29" t="s">
        <v>74</v>
      </c>
      <c r="BD29" t="s">
        <v>687</v>
      </c>
      <c r="BE29" t="s">
        <v>688</v>
      </c>
      <c r="BF29" t="str">
        <f>HYPERLINK("http://dx.doi.org/10.1029/2008JC004955","http://dx.doi.org/10.1029/2008JC004955")</f>
        <v>http://dx.doi.org/10.1029/2008JC004955</v>
      </c>
      <c r="BG29" t="s">
        <v>74</v>
      </c>
      <c r="BH29" t="s">
        <v>74</v>
      </c>
      <c r="BI29">
        <v>16</v>
      </c>
      <c r="BJ29" t="s">
        <v>689</v>
      </c>
      <c r="BK29" t="s">
        <v>100</v>
      </c>
      <c r="BL29" t="s">
        <v>689</v>
      </c>
      <c r="BM29" t="s">
        <v>690</v>
      </c>
      <c r="BN29" t="s">
        <v>74</v>
      </c>
      <c r="BO29" t="s">
        <v>217</v>
      </c>
      <c r="BP29" t="s">
        <v>74</v>
      </c>
      <c r="BQ29" t="s">
        <v>74</v>
      </c>
      <c r="BR29" t="s">
        <v>103</v>
      </c>
      <c r="BS29" t="s">
        <v>691</v>
      </c>
      <c r="BT29" t="str">
        <f>HYPERLINK("https%3A%2F%2Fwww.webofscience.com%2Fwos%2Fwoscc%2Ffull-record%2FWOS:000266364600002","View Full Record in Web of Science")</f>
        <v>View Full Record in Web of Science</v>
      </c>
    </row>
    <row r="30" spans="1:72" x14ac:dyDescent="0.15">
      <c r="A30" t="s">
        <v>72</v>
      </c>
      <c r="B30" t="s">
        <v>692</v>
      </c>
      <c r="C30" t="s">
        <v>74</v>
      </c>
      <c r="D30" t="s">
        <v>74</v>
      </c>
      <c r="E30" t="s">
        <v>74</v>
      </c>
      <c r="F30" t="s">
        <v>693</v>
      </c>
      <c r="G30" t="s">
        <v>74</v>
      </c>
      <c r="H30" t="s">
        <v>74</v>
      </c>
      <c r="I30" t="s">
        <v>694</v>
      </c>
      <c r="J30" t="s">
        <v>695</v>
      </c>
      <c r="K30" t="s">
        <v>74</v>
      </c>
      <c r="L30" t="s">
        <v>74</v>
      </c>
      <c r="M30" t="s">
        <v>78</v>
      </c>
      <c r="N30" t="s">
        <v>79</v>
      </c>
      <c r="O30" t="s">
        <v>74</v>
      </c>
      <c r="P30" t="s">
        <v>74</v>
      </c>
      <c r="Q30" t="s">
        <v>74</v>
      </c>
      <c r="R30" t="s">
        <v>74</v>
      </c>
      <c r="S30" t="s">
        <v>74</v>
      </c>
      <c r="T30" t="s">
        <v>696</v>
      </c>
      <c r="U30" t="s">
        <v>697</v>
      </c>
      <c r="V30" t="s">
        <v>698</v>
      </c>
      <c r="W30" t="s">
        <v>699</v>
      </c>
      <c r="X30" t="s">
        <v>700</v>
      </c>
      <c r="Y30" t="s">
        <v>701</v>
      </c>
      <c r="Z30" t="s">
        <v>702</v>
      </c>
      <c r="AA30" t="s">
        <v>74</v>
      </c>
      <c r="AB30" t="s">
        <v>74</v>
      </c>
      <c r="AC30" t="s">
        <v>703</v>
      </c>
      <c r="AD30" t="s">
        <v>704</v>
      </c>
      <c r="AE30" t="s">
        <v>705</v>
      </c>
      <c r="AF30" t="s">
        <v>74</v>
      </c>
      <c r="AG30">
        <v>23</v>
      </c>
      <c r="AH30">
        <v>46</v>
      </c>
      <c r="AI30">
        <v>51</v>
      </c>
      <c r="AJ30">
        <v>0</v>
      </c>
      <c r="AK30">
        <v>16</v>
      </c>
      <c r="AL30" t="s">
        <v>303</v>
      </c>
      <c r="AM30" t="s">
        <v>304</v>
      </c>
      <c r="AN30" t="s">
        <v>305</v>
      </c>
      <c r="AO30" t="s">
        <v>706</v>
      </c>
      <c r="AP30" t="s">
        <v>707</v>
      </c>
      <c r="AQ30" t="s">
        <v>74</v>
      </c>
      <c r="AR30" t="s">
        <v>708</v>
      </c>
      <c r="AS30" t="s">
        <v>709</v>
      </c>
      <c r="AT30" t="s">
        <v>710</v>
      </c>
      <c r="AU30">
        <v>2009</v>
      </c>
      <c r="AV30">
        <v>19</v>
      </c>
      <c r="AW30">
        <v>10</v>
      </c>
      <c r="AX30" t="s">
        <v>74</v>
      </c>
      <c r="AY30" t="s">
        <v>74</v>
      </c>
      <c r="AZ30" t="s">
        <v>74</v>
      </c>
      <c r="BA30" t="s">
        <v>74</v>
      </c>
      <c r="BB30">
        <v>2801</v>
      </c>
      <c r="BC30">
        <v>2803</v>
      </c>
      <c r="BD30" t="s">
        <v>74</v>
      </c>
      <c r="BE30" t="s">
        <v>711</v>
      </c>
      <c r="BF30" t="str">
        <f>HYPERLINK("http://dx.doi.org/10.1016/j.bmcl.2009.03.108","http://dx.doi.org/10.1016/j.bmcl.2009.03.108")</f>
        <v>http://dx.doi.org/10.1016/j.bmcl.2009.03.108</v>
      </c>
      <c r="BG30" t="s">
        <v>74</v>
      </c>
      <c r="BH30" t="s">
        <v>74</v>
      </c>
      <c r="BI30">
        <v>3</v>
      </c>
      <c r="BJ30" t="s">
        <v>712</v>
      </c>
      <c r="BK30" t="s">
        <v>100</v>
      </c>
      <c r="BL30" t="s">
        <v>713</v>
      </c>
      <c r="BM30" t="s">
        <v>714</v>
      </c>
      <c r="BN30">
        <v>19362837</v>
      </c>
      <c r="BO30" t="s">
        <v>74</v>
      </c>
      <c r="BP30" t="s">
        <v>74</v>
      </c>
      <c r="BQ30" t="s">
        <v>74</v>
      </c>
      <c r="BR30" t="s">
        <v>103</v>
      </c>
      <c r="BS30" t="s">
        <v>715</v>
      </c>
      <c r="BT30" t="str">
        <f>HYPERLINK("https%3A%2F%2Fwww.webofscience.com%2Fwos%2Fwoscc%2Ffull-record%2FWOS:000265627800043","View Full Record in Web of Science")</f>
        <v>View Full Record in Web of Science</v>
      </c>
    </row>
    <row r="31" spans="1:72" x14ac:dyDescent="0.15">
      <c r="A31" t="s">
        <v>72</v>
      </c>
      <c r="B31" t="s">
        <v>716</v>
      </c>
      <c r="C31" t="s">
        <v>74</v>
      </c>
      <c r="D31" t="s">
        <v>74</v>
      </c>
      <c r="E31" t="s">
        <v>74</v>
      </c>
      <c r="F31" t="s">
        <v>717</v>
      </c>
      <c r="G31" t="s">
        <v>74</v>
      </c>
      <c r="H31" t="s">
        <v>74</v>
      </c>
      <c r="I31" t="s">
        <v>718</v>
      </c>
      <c r="J31" t="s">
        <v>719</v>
      </c>
      <c r="K31" t="s">
        <v>74</v>
      </c>
      <c r="L31" t="s">
        <v>74</v>
      </c>
      <c r="M31" t="s">
        <v>78</v>
      </c>
      <c r="N31" t="s">
        <v>720</v>
      </c>
      <c r="O31" t="s">
        <v>74</v>
      </c>
      <c r="P31" t="s">
        <v>74</v>
      </c>
      <c r="Q31" t="s">
        <v>74</v>
      </c>
      <c r="R31" t="s">
        <v>74</v>
      </c>
      <c r="S31" t="s">
        <v>74</v>
      </c>
      <c r="T31" t="s">
        <v>74</v>
      </c>
      <c r="U31" t="s">
        <v>721</v>
      </c>
      <c r="V31" t="s">
        <v>74</v>
      </c>
      <c r="W31" t="s">
        <v>722</v>
      </c>
      <c r="X31" t="s">
        <v>723</v>
      </c>
      <c r="Y31" t="s">
        <v>724</v>
      </c>
      <c r="Z31" t="s">
        <v>725</v>
      </c>
      <c r="AA31" t="s">
        <v>74</v>
      </c>
      <c r="AB31" t="s">
        <v>74</v>
      </c>
      <c r="AC31" t="s">
        <v>74</v>
      </c>
      <c r="AD31" t="s">
        <v>74</v>
      </c>
      <c r="AE31" t="s">
        <v>74</v>
      </c>
      <c r="AF31" t="s">
        <v>74</v>
      </c>
      <c r="AG31">
        <v>11</v>
      </c>
      <c r="AH31">
        <v>3</v>
      </c>
      <c r="AI31">
        <v>4</v>
      </c>
      <c r="AJ31">
        <v>0</v>
      </c>
      <c r="AK31">
        <v>10</v>
      </c>
      <c r="AL31" t="s">
        <v>726</v>
      </c>
      <c r="AM31" t="s">
        <v>606</v>
      </c>
      <c r="AN31" t="s">
        <v>727</v>
      </c>
      <c r="AO31" t="s">
        <v>728</v>
      </c>
      <c r="AP31" t="s">
        <v>74</v>
      </c>
      <c r="AQ31" t="s">
        <v>74</v>
      </c>
      <c r="AR31" t="s">
        <v>729</v>
      </c>
      <c r="AS31" t="s">
        <v>730</v>
      </c>
      <c r="AT31" t="s">
        <v>710</v>
      </c>
      <c r="AU31">
        <v>2009</v>
      </c>
      <c r="AV31">
        <v>43</v>
      </c>
      <c r="AW31">
        <v>10</v>
      </c>
      <c r="AX31" t="s">
        <v>74</v>
      </c>
      <c r="AY31" t="s">
        <v>74</v>
      </c>
      <c r="AZ31" t="s">
        <v>74</v>
      </c>
      <c r="BA31" t="s">
        <v>74</v>
      </c>
      <c r="BB31">
        <v>3974</v>
      </c>
      <c r="BC31">
        <v>3975</v>
      </c>
      <c r="BD31" t="s">
        <v>74</v>
      </c>
      <c r="BE31" t="s">
        <v>731</v>
      </c>
      <c r="BF31" t="str">
        <f>HYPERLINK("http://dx.doi.org/10.1021/es900639g","http://dx.doi.org/10.1021/es900639g")</f>
        <v>http://dx.doi.org/10.1021/es900639g</v>
      </c>
      <c r="BG31" t="s">
        <v>74</v>
      </c>
      <c r="BH31" t="s">
        <v>74</v>
      </c>
      <c r="BI31">
        <v>2</v>
      </c>
      <c r="BJ31" t="s">
        <v>732</v>
      </c>
      <c r="BK31" t="s">
        <v>100</v>
      </c>
      <c r="BL31" t="s">
        <v>733</v>
      </c>
      <c r="BM31" t="s">
        <v>734</v>
      </c>
      <c r="BN31" t="s">
        <v>74</v>
      </c>
      <c r="BO31" t="s">
        <v>74</v>
      </c>
      <c r="BP31" t="s">
        <v>74</v>
      </c>
      <c r="BQ31" t="s">
        <v>74</v>
      </c>
      <c r="BR31" t="s">
        <v>103</v>
      </c>
      <c r="BS31" t="s">
        <v>735</v>
      </c>
      <c r="BT31" t="str">
        <f>HYPERLINK("https%3A%2F%2Fwww.webofscience.com%2Fwos%2Fwoscc%2Ffull-record%2FWOS:000266046700094","View Full Record in Web of Science")</f>
        <v>View Full Record in Web of Science</v>
      </c>
    </row>
    <row r="32" spans="1:72" x14ac:dyDescent="0.15">
      <c r="A32" t="s">
        <v>72</v>
      </c>
      <c r="B32" t="s">
        <v>736</v>
      </c>
      <c r="C32" t="s">
        <v>74</v>
      </c>
      <c r="D32" t="s">
        <v>74</v>
      </c>
      <c r="E32" t="s">
        <v>74</v>
      </c>
      <c r="F32" t="s">
        <v>737</v>
      </c>
      <c r="G32" t="s">
        <v>74</v>
      </c>
      <c r="H32" t="s">
        <v>74</v>
      </c>
      <c r="I32" t="s">
        <v>738</v>
      </c>
      <c r="J32" t="s">
        <v>719</v>
      </c>
      <c r="K32" t="s">
        <v>74</v>
      </c>
      <c r="L32" t="s">
        <v>74</v>
      </c>
      <c r="M32" t="s">
        <v>78</v>
      </c>
      <c r="N32" t="s">
        <v>720</v>
      </c>
      <c r="O32" t="s">
        <v>74</v>
      </c>
      <c r="P32" t="s">
        <v>74</v>
      </c>
      <c r="Q32" t="s">
        <v>74</v>
      </c>
      <c r="R32" t="s">
        <v>74</v>
      </c>
      <c r="S32" t="s">
        <v>74</v>
      </c>
      <c r="T32" t="s">
        <v>74</v>
      </c>
      <c r="U32" t="s">
        <v>739</v>
      </c>
      <c r="V32" t="s">
        <v>74</v>
      </c>
      <c r="W32" t="s">
        <v>740</v>
      </c>
      <c r="X32" t="s">
        <v>741</v>
      </c>
      <c r="Y32" t="s">
        <v>742</v>
      </c>
      <c r="Z32" t="s">
        <v>74</v>
      </c>
      <c r="AA32" t="s">
        <v>743</v>
      </c>
      <c r="AB32" t="s">
        <v>744</v>
      </c>
      <c r="AC32" t="s">
        <v>74</v>
      </c>
      <c r="AD32" t="s">
        <v>74</v>
      </c>
      <c r="AE32" t="s">
        <v>74</v>
      </c>
      <c r="AF32" t="s">
        <v>74</v>
      </c>
      <c r="AG32">
        <v>8</v>
      </c>
      <c r="AH32">
        <v>13</v>
      </c>
      <c r="AI32">
        <v>15</v>
      </c>
      <c r="AJ32">
        <v>0</v>
      </c>
      <c r="AK32">
        <v>19</v>
      </c>
      <c r="AL32" t="s">
        <v>726</v>
      </c>
      <c r="AM32" t="s">
        <v>606</v>
      </c>
      <c r="AN32" t="s">
        <v>727</v>
      </c>
      <c r="AO32" t="s">
        <v>728</v>
      </c>
      <c r="AP32" t="s">
        <v>745</v>
      </c>
      <c r="AQ32" t="s">
        <v>74</v>
      </c>
      <c r="AR32" t="s">
        <v>729</v>
      </c>
      <c r="AS32" t="s">
        <v>730</v>
      </c>
      <c r="AT32" t="s">
        <v>710</v>
      </c>
      <c r="AU32">
        <v>2009</v>
      </c>
      <c r="AV32">
        <v>43</v>
      </c>
      <c r="AW32">
        <v>10</v>
      </c>
      <c r="AX32" t="s">
        <v>74</v>
      </c>
      <c r="AY32" t="s">
        <v>74</v>
      </c>
      <c r="AZ32" t="s">
        <v>74</v>
      </c>
      <c r="BA32" t="s">
        <v>74</v>
      </c>
      <c r="BB32">
        <v>3976</v>
      </c>
      <c r="BC32">
        <v>3977</v>
      </c>
      <c r="BD32" t="s">
        <v>74</v>
      </c>
      <c r="BE32" t="s">
        <v>746</v>
      </c>
      <c r="BF32" t="str">
        <f>HYPERLINK("http://dx.doi.org/10.1021/es8034494","http://dx.doi.org/10.1021/es8034494")</f>
        <v>http://dx.doi.org/10.1021/es8034494</v>
      </c>
      <c r="BG32" t="s">
        <v>74</v>
      </c>
      <c r="BH32" t="s">
        <v>74</v>
      </c>
      <c r="BI32">
        <v>2</v>
      </c>
      <c r="BJ32" t="s">
        <v>732</v>
      </c>
      <c r="BK32" t="s">
        <v>100</v>
      </c>
      <c r="BL32" t="s">
        <v>733</v>
      </c>
      <c r="BM32" t="s">
        <v>734</v>
      </c>
      <c r="BN32">
        <v>19544918</v>
      </c>
      <c r="BO32" t="s">
        <v>74</v>
      </c>
      <c r="BP32" t="s">
        <v>74</v>
      </c>
      <c r="BQ32" t="s">
        <v>74</v>
      </c>
      <c r="BR32" t="s">
        <v>103</v>
      </c>
      <c r="BS32" t="s">
        <v>747</v>
      </c>
      <c r="BT32" t="str">
        <f>HYPERLINK("https%3A%2F%2Fwww.webofscience.com%2Fwos%2Fwoscc%2Ffull-record%2FWOS:000266046700095","View Full Record in Web of Science")</f>
        <v>View Full Record in Web of Science</v>
      </c>
    </row>
    <row r="33" spans="1:72" x14ac:dyDescent="0.15">
      <c r="A33" t="s">
        <v>72</v>
      </c>
      <c r="B33" t="s">
        <v>748</v>
      </c>
      <c r="C33" t="s">
        <v>74</v>
      </c>
      <c r="D33" t="s">
        <v>74</v>
      </c>
      <c r="E33" t="s">
        <v>74</v>
      </c>
      <c r="F33" t="s">
        <v>749</v>
      </c>
      <c r="G33" t="s">
        <v>74</v>
      </c>
      <c r="H33" t="s">
        <v>74</v>
      </c>
      <c r="I33" t="s">
        <v>750</v>
      </c>
      <c r="J33" t="s">
        <v>751</v>
      </c>
      <c r="K33" t="s">
        <v>74</v>
      </c>
      <c r="L33" t="s">
        <v>74</v>
      </c>
      <c r="M33" t="s">
        <v>78</v>
      </c>
      <c r="N33" t="s">
        <v>79</v>
      </c>
      <c r="O33" t="s">
        <v>74</v>
      </c>
      <c r="P33" t="s">
        <v>74</v>
      </c>
      <c r="Q33" t="s">
        <v>74</v>
      </c>
      <c r="R33" t="s">
        <v>74</v>
      </c>
      <c r="S33" t="s">
        <v>74</v>
      </c>
      <c r="T33" t="s">
        <v>74</v>
      </c>
      <c r="U33" t="s">
        <v>752</v>
      </c>
      <c r="V33" t="s">
        <v>753</v>
      </c>
      <c r="W33" t="s">
        <v>754</v>
      </c>
      <c r="X33" t="s">
        <v>755</v>
      </c>
      <c r="Y33" t="s">
        <v>756</v>
      </c>
      <c r="Z33" t="s">
        <v>757</v>
      </c>
      <c r="AA33" t="s">
        <v>74</v>
      </c>
      <c r="AB33" t="s">
        <v>758</v>
      </c>
      <c r="AC33" t="s">
        <v>759</v>
      </c>
      <c r="AD33" t="s">
        <v>760</v>
      </c>
      <c r="AE33" t="s">
        <v>761</v>
      </c>
      <c r="AF33" t="s">
        <v>74</v>
      </c>
      <c r="AG33">
        <v>56</v>
      </c>
      <c r="AH33">
        <v>20</v>
      </c>
      <c r="AI33">
        <v>21</v>
      </c>
      <c r="AJ33">
        <v>0</v>
      </c>
      <c r="AK33">
        <v>5</v>
      </c>
      <c r="AL33" t="s">
        <v>303</v>
      </c>
      <c r="AM33" t="s">
        <v>304</v>
      </c>
      <c r="AN33" t="s">
        <v>305</v>
      </c>
      <c r="AO33" t="s">
        <v>762</v>
      </c>
      <c r="AP33" t="s">
        <v>763</v>
      </c>
      <c r="AQ33" t="s">
        <v>74</v>
      </c>
      <c r="AR33" t="s">
        <v>764</v>
      </c>
      <c r="AS33" t="s">
        <v>765</v>
      </c>
      <c r="AT33" t="s">
        <v>710</v>
      </c>
      <c r="AU33">
        <v>2009</v>
      </c>
      <c r="AV33">
        <v>73</v>
      </c>
      <c r="AW33">
        <v>10</v>
      </c>
      <c r="AX33" t="s">
        <v>74</v>
      </c>
      <c r="AY33" t="s">
        <v>74</v>
      </c>
      <c r="AZ33" t="s">
        <v>74</v>
      </c>
      <c r="BA33" t="s">
        <v>74</v>
      </c>
      <c r="BB33">
        <v>3055</v>
      </c>
      <c r="BC33">
        <v>3076</v>
      </c>
      <c r="BD33" t="s">
        <v>74</v>
      </c>
      <c r="BE33" t="s">
        <v>766</v>
      </c>
      <c r="BF33" t="str">
        <f>HYPERLINK("http://dx.doi.org/10.1016/j.gca.2009.02.018","http://dx.doi.org/10.1016/j.gca.2009.02.018")</f>
        <v>http://dx.doi.org/10.1016/j.gca.2009.02.018</v>
      </c>
      <c r="BG33" t="s">
        <v>74</v>
      </c>
      <c r="BH33" t="s">
        <v>74</v>
      </c>
      <c r="BI33">
        <v>22</v>
      </c>
      <c r="BJ33" t="s">
        <v>534</v>
      </c>
      <c r="BK33" t="s">
        <v>100</v>
      </c>
      <c r="BL33" t="s">
        <v>534</v>
      </c>
      <c r="BM33" t="s">
        <v>767</v>
      </c>
      <c r="BN33" t="s">
        <v>74</v>
      </c>
      <c r="BO33" t="s">
        <v>74</v>
      </c>
      <c r="BP33" t="s">
        <v>74</v>
      </c>
      <c r="BQ33" t="s">
        <v>74</v>
      </c>
      <c r="BR33" t="s">
        <v>103</v>
      </c>
      <c r="BS33" t="s">
        <v>768</v>
      </c>
      <c r="BT33" t="str">
        <f>HYPERLINK("https%3A%2F%2Fwww.webofscience.com%2Fwos%2Fwoscc%2Ffull-record%2FWOS:000265669300022","View Full Record in Web of Science")</f>
        <v>View Full Record in Web of Science</v>
      </c>
    </row>
    <row r="34" spans="1:72" x14ac:dyDescent="0.15">
      <c r="A34" t="s">
        <v>72</v>
      </c>
      <c r="B34" t="s">
        <v>769</v>
      </c>
      <c r="C34" t="s">
        <v>74</v>
      </c>
      <c r="D34" t="s">
        <v>74</v>
      </c>
      <c r="E34" t="s">
        <v>74</v>
      </c>
      <c r="F34" t="s">
        <v>770</v>
      </c>
      <c r="G34" t="s">
        <v>74</v>
      </c>
      <c r="H34" t="s">
        <v>74</v>
      </c>
      <c r="I34" t="s">
        <v>771</v>
      </c>
      <c r="J34" t="s">
        <v>772</v>
      </c>
      <c r="K34" t="s">
        <v>74</v>
      </c>
      <c r="L34" t="s">
        <v>74</v>
      </c>
      <c r="M34" t="s">
        <v>78</v>
      </c>
      <c r="N34" t="s">
        <v>79</v>
      </c>
      <c r="O34" t="s">
        <v>74</v>
      </c>
      <c r="P34" t="s">
        <v>74</v>
      </c>
      <c r="Q34" t="s">
        <v>74</v>
      </c>
      <c r="R34" t="s">
        <v>74</v>
      </c>
      <c r="S34" t="s">
        <v>74</v>
      </c>
      <c r="T34" t="s">
        <v>74</v>
      </c>
      <c r="U34" t="s">
        <v>773</v>
      </c>
      <c r="V34" t="s">
        <v>774</v>
      </c>
      <c r="W34" t="s">
        <v>775</v>
      </c>
      <c r="X34" t="s">
        <v>776</v>
      </c>
      <c r="Y34" t="s">
        <v>777</v>
      </c>
      <c r="Z34" t="s">
        <v>778</v>
      </c>
      <c r="AA34" t="s">
        <v>779</v>
      </c>
      <c r="AB34" t="s">
        <v>780</v>
      </c>
      <c r="AC34" t="s">
        <v>781</v>
      </c>
      <c r="AD34" t="s">
        <v>782</v>
      </c>
      <c r="AE34" t="s">
        <v>783</v>
      </c>
      <c r="AF34" t="s">
        <v>74</v>
      </c>
      <c r="AG34">
        <v>26</v>
      </c>
      <c r="AH34">
        <v>325</v>
      </c>
      <c r="AI34">
        <v>387</v>
      </c>
      <c r="AJ34">
        <v>1</v>
      </c>
      <c r="AK34">
        <v>153</v>
      </c>
      <c r="AL34" t="s">
        <v>784</v>
      </c>
      <c r="AM34" t="s">
        <v>606</v>
      </c>
      <c r="AN34" t="s">
        <v>785</v>
      </c>
      <c r="AO34" t="s">
        <v>786</v>
      </c>
      <c r="AP34" t="s">
        <v>787</v>
      </c>
      <c r="AQ34" t="s">
        <v>74</v>
      </c>
      <c r="AR34" t="s">
        <v>772</v>
      </c>
      <c r="AS34" t="s">
        <v>788</v>
      </c>
      <c r="AT34" t="s">
        <v>710</v>
      </c>
      <c r="AU34">
        <v>2009</v>
      </c>
      <c r="AV34">
        <v>324</v>
      </c>
      <c r="AW34">
        <v>5929</v>
      </c>
      <c r="AX34" t="s">
        <v>74</v>
      </c>
      <c r="AY34" t="s">
        <v>74</v>
      </c>
      <c r="AZ34" t="s">
        <v>74</v>
      </c>
      <c r="BA34" t="s">
        <v>74</v>
      </c>
      <c r="BB34">
        <v>901</v>
      </c>
      <c r="BC34">
        <v>903</v>
      </c>
      <c r="BD34" t="s">
        <v>74</v>
      </c>
      <c r="BE34" t="s">
        <v>789</v>
      </c>
      <c r="BF34" t="str">
        <f>HYPERLINK("http://dx.doi.org/10.1126/science.1169335","http://dx.doi.org/10.1126/science.1169335")</f>
        <v>http://dx.doi.org/10.1126/science.1169335</v>
      </c>
      <c r="BG34" t="s">
        <v>74</v>
      </c>
      <c r="BH34" t="s">
        <v>74</v>
      </c>
      <c r="BI34">
        <v>3</v>
      </c>
      <c r="BJ34" t="s">
        <v>790</v>
      </c>
      <c r="BK34" t="s">
        <v>100</v>
      </c>
      <c r="BL34" t="s">
        <v>791</v>
      </c>
      <c r="BM34" t="s">
        <v>792</v>
      </c>
      <c r="BN34">
        <v>19443778</v>
      </c>
      <c r="BO34" t="s">
        <v>74</v>
      </c>
      <c r="BP34" t="s">
        <v>74</v>
      </c>
      <c r="BQ34" t="s">
        <v>74</v>
      </c>
      <c r="BR34" t="s">
        <v>103</v>
      </c>
      <c r="BS34" t="s">
        <v>793</v>
      </c>
      <c r="BT34" t="str">
        <f>HYPERLINK("https%3A%2F%2Fwww.webofscience.com%2Fwos%2Fwoscc%2Ffull-record%2FWOS:000266048800028","View Full Record in Web of Science")</f>
        <v>View Full Record in Web of Science</v>
      </c>
    </row>
    <row r="35" spans="1:72" x14ac:dyDescent="0.15">
      <c r="A35" t="s">
        <v>72</v>
      </c>
      <c r="B35" t="s">
        <v>794</v>
      </c>
      <c r="C35" t="s">
        <v>74</v>
      </c>
      <c r="D35" t="s">
        <v>74</v>
      </c>
      <c r="E35" t="s">
        <v>74</v>
      </c>
      <c r="F35" t="s">
        <v>795</v>
      </c>
      <c r="G35" t="s">
        <v>74</v>
      </c>
      <c r="H35" t="s">
        <v>74</v>
      </c>
      <c r="I35" t="s">
        <v>796</v>
      </c>
      <c r="J35" t="s">
        <v>797</v>
      </c>
      <c r="K35" t="s">
        <v>74</v>
      </c>
      <c r="L35" t="s">
        <v>74</v>
      </c>
      <c r="M35" t="s">
        <v>78</v>
      </c>
      <c r="N35" t="s">
        <v>79</v>
      </c>
      <c r="O35" t="s">
        <v>74</v>
      </c>
      <c r="P35" t="s">
        <v>74</v>
      </c>
      <c r="Q35" t="s">
        <v>74</v>
      </c>
      <c r="R35" t="s">
        <v>74</v>
      </c>
      <c r="S35" t="s">
        <v>74</v>
      </c>
      <c r="T35" t="s">
        <v>798</v>
      </c>
      <c r="U35" t="s">
        <v>799</v>
      </c>
      <c r="V35" t="s">
        <v>800</v>
      </c>
      <c r="W35" t="s">
        <v>801</v>
      </c>
      <c r="X35" t="s">
        <v>802</v>
      </c>
      <c r="Y35" t="s">
        <v>803</v>
      </c>
      <c r="Z35" t="s">
        <v>804</v>
      </c>
      <c r="AA35" t="s">
        <v>805</v>
      </c>
      <c r="AB35" t="s">
        <v>806</v>
      </c>
      <c r="AC35" t="s">
        <v>807</v>
      </c>
      <c r="AD35" t="s">
        <v>808</v>
      </c>
      <c r="AE35" t="s">
        <v>809</v>
      </c>
      <c r="AF35" t="s">
        <v>74</v>
      </c>
      <c r="AG35">
        <v>29</v>
      </c>
      <c r="AH35">
        <v>74</v>
      </c>
      <c r="AI35">
        <v>81</v>
      </c>
      <c r="AJ35">
        <v>2</v>
      </c>
      <c r="AK35">
        <v>81</v>
      </c>
      <c r="AL35" t="s">
        <v>251</v>
      </c>
      <c r="AM35" t="s">
        <v>252</v>
      </c>
      <c r="AN35" t="s">
        <v>253</v>
      </c>
      <c r="AO35" t="s">
        <v>810</v>
      </c>
      <c r="AP35" t="s">
        <v>811</v>
      </c>
      <c r="AQ35" t="s">
        <v>74</v>
      </c>
      <c r="AR35" t="s">
        <v>797</v>
      </c>
      <c r="AS35" t="s">
        <v>812</v>
      </c>
      <c r="AT35" t="s">
        <v>710</v>
      </c>
      <c r="AU35">
        <v>2009</v>
      </c>
      <c r="AV35">
        <v>78</v>
      </c>
      <c r="AW35">
        <v>3</v>
      </c>
      <c r="AX35" t="s">
        <v>74</v>
      </c>
      <c r="AY35" t="s">
        <v>74</v>
      </c>
      <c r="AZ35" t="s">
        <v>74</v>
      </c>
      <c r="BA35" t="s">
        <v>74</v>
      </c>
      <c r="BB35">
        <v>983</v>
      </c>
      <c r="BC35">
        <v>990</v>
      </c>
      <c r="BD35" t="s">
        <v>74</v>
      </c>
      <c r="BE35" t="s">
        <v>813</v>
      </c>
      <c r="BF35" t="str">
        <f>HYPERLINK("http://dx.doi.org/10.1016/j.talanta.2009.01.003","http://dx.doi.org/10.1016/j.talanta.2009.01.003")</f>
        <v>http://dx.doi.org/10.1016/j.talanta.2009.01.003</v>
      </c>
      <c r="BG35" t="s">
        <v>74</v>
      </c>
      <c r="BH35" t="s">
        <v>74</v>
      </c>
      <c r="BI35">
        <v>8</v>
      </c>
      <c r="BJ35" t="s">
        <v>814</v>
      </c>
      <c r="BK35" t="s">
        <v>100</v>
      </c>
      <c r="BL35" t="s">
        <v>561</v>
      </c>
      <c r="BM35" t="s">
        <v>815</v>
      </c>
      <c r="BN35">
        <v>19269461</v>
      </c>
      <c r="BO35" t="s">
        <v>74</v>
      </c>
      <c r="BP35" t="s">
        <v>74</v>
      </c>
      <c r="BQ35" t="s">
        <v>74</v>
      </c>
      <c r="BR35" t="s">
        <v>103</v>
      </c>
      <c r="BS35" t="s">
        <v>816</v>
      </c>
      <c r="BT35" t="str">
        <f>HYPERLINK("https%3A%2F%2Fwww.webofscience.com%2Fwos%2Fwoscc%2Ffull-record%2FWOS:000264976600056","View Full Record in Web of Science")</f>
        <v>View Full Record in Web of Science</v>
      </c>
    </row>
    <row r="36" spans="1:72" x14ac:dyDescent="0.15">
      <c r="A36" t="s">
        <v>72</v>
      </c>
      <c r="B36" t="s">
        <v>817</v>
      </c>
      <c r="C36" t="s">
        <v>74</v>
      </c>
      <c r="D36" t="s">
        <v>74</v>
      </c>
      <c r="E36" t="s">
        <v>74</v>
      </c>
      <c r="F36" t="s">
        <v>818</v>
      </c>
      <c r="G36" t="s">
        <v>74</v>
      </c>
      <c r="H36" t="s">
        <v>74</v>
      </c>
      <c r="I36" t="s">
        <v>819</v>
      </c>
      <c r="J36" t="s">
        <v>820</v>
      </c>
      <c r="K36" t="s">
        <v>74</v>
      </c>
      <c r="L36" t="s">
        <v>74</v>
      </c>
      <c r="M36" t="s">
        <v>78</v>
      </c>
      <c r="N36" t="s">
        <v>79</v>
      </c>
      <c r="O36" t="s">
        <v>74</v>
      </c>
      <c r="P36" t="s">
        <v>74</v>
      </c>
      <c r="Q36" t="s">
        <v>74</v>
      </c>
      <c r="R36" t="s">
        <v>74</v>
      </c>
      <c r="S36" t="s">
        <v>74</v>
      </c>
      <c r="T36" t="s">
        <v>74</v>
      </c>
      <c r="U36" t="s">
        <v>821</v>
      </c>
      <c r="V36" t="s">
        <v>822</v>
      </c>
      <c r="W36" t="s">
        <v>823</v>
      </c>
      <c r="X36" t="s">
        <v>824</v>
      </c>
      <c r="Y36" t="s">
        <v>825</v>
      </c>
      <c r="Z36" t="s">
        <v>826</v>
      </c>
      <c r="AA36" t="s">
        <v>74</v>
      </c>
      <c r="AB36" t="s">
        <v>827</v>
      </c>
      <c r="AC36" t="s">
        <v>828</v>
      </c>
      <c r="AD36" t="s">
        <v>829</v>
      </c>
      <c r="AE36" t="s">
        <v>830</v>
      </c>
      <c r="AF36" t="s">
        <v>74</v>
      </c>
      <c r="AG36">
        <v>45</v>
      </c>
      <c r="AH36">
        <v>29</v>
      </c>
      <c r="AI36">
        <v>29</v>
      </c>
      <c r="AJ36">
        <v>0</v>
      </c>
      <c r="AK36">
        <v>5</v>
      </c>
      <c r="AL36" t="s">
        <v>605</v>
      </c>
      <c r="AM36" t="s">
        <v>606</v>
      </c>
      <c r="AN36" t="s">
        <v>607</v>
      </c>
      <c r="AO36" t="s">
        <v>831</v>
      </c>
      <c r="AP36" t="s">
        <v>832</v>
      </c>
      <c r="AQ36" t="s">
        <v>74</v>
      </c>
      <c r="AR36" t="s">
        <v>833</v>
      </c>
      <c r="AS36" t="s">
        <v>834</v>
      </c>
      <c r="AT36" t="s">
        <v>835</v>
      </c>
      <c r="AU36">
        <v>2009</v>
      </c>
      <c r="AV36">
        <v>114</v>
      </c>
      <c r="AW36" t="s">
        <v>74</v>
      </c>
      <c r="AX36" t="s">
        <v>74</v>
      </c>
      <c r="AY36" t="s">
        <v>74</v>
      </c>
      <c r="AZ36" t="s">
        <v>74</v>
      </c>
      <c r="BA36" t="s">
        <v>74</v>
      </c>
      <c r="BB36" t="s">
        <v>74</v>
      </c>
      <c r="BC36" t="s">
        <v>74</v>
      </c>
      <c r="BD36" t="s">
        <v>836</v>
      </c>
      <c r="BE36" t="s">
        <v>837</v>
      </c>
      <c r="BF36" t="str">
        <f>HYPERLINK("http://dx.doi.org/10.1029/2008JD011174","http://dx.doi.org/10.1029/2008JD011174")</f>
        <v>http://dx.doi.org/10.1029/2008JD011174</v>
      </c>
      <c r="BG36" t="s">
        <v>74</v>
      </c>
      <c r="BH36" t="s">
        <v>74</v>
      </c>
      <c r="BI36">
        <v>9</v>
      </c>
      <c r="BJ36" t="s">
        <v>398</v>
      </c>
      <c r="BK36" t="s">
        <v>100</v>
      </c>
      <c r="BL36" t="s">
        <v>398</v>
      </c>
      <c r="BM36" t="s">
        <v>838</v>
      </c>
      <c r="BN36" t="s">
        <v>74</v>
      </c>
      <c r="BO36" t="s">
        <v>839</v>
      </c>
      <c r="BP36" t="s">
        <v>74</v>
      </c>
      <c r="BQ36" t="s">
        <v>74</v>
      </c>
      <c r="BR36" t="s">
        <v>103</v>
      </c>
      <c r="BS36" t="s">
        <v>840</v>
      </c>
      <c r="BT36" t="str">
        <f>HYPERLINK("https%3A%2F%2Fwww.webofscience.com%2Fwos%2Fwoscc%2Ffull-record%2FWOS:000266100200001","View Full Record in Web of Science")</f>
        <v>View Full Record in Web of Science</v>
      </c>
    </row>
    <row r="37" spans="1:72" x14ac:dyDescent="0.15">
      <c r="A37" t="s">
        <v>72</v>
      </c>
      <c r="B37" t="s">
        <v>841</v>
      </c>
      <c r="C37" t="s">
        <v>74</v>
      </c>
      <c r="D37" t="s">
        <v>74</v>
      </c>
      <c r="E37" t="s">
        <v>74</v>
      </c>
      <c r="F37" t="s">
        <v>842</v>
      </c>
      <c r="G37" t="s">
        <v>74</v>
      </c>
      <c r="H37" t="s">
        <v>74</v>
      </c>
      <c r="I37" t="s">
        <v>843</v>
      </c>
      <c r="J37" t="s">
        <v>645</v>
      </c>
      <c r="K37" t="s">
        <v>74</v>
      </c>
      <c r="L37" t="s">
        <v>74</v>
      </c>
      <c r="M37" t="s">
        <v>78</v>
      </c>
      <c r="N37" t="s">
        <v>79</v>
      </c>
      <c r="O37" t="s">
        <v>74</v>
      </c>
      <c r="P37" t="s">
        <v>74</v>
      </c>
      <c r="Q37" t="s">
        <v>74</v>
      </c>
      <c r="R37" t="s">
        <v>74</v>
      </c>
      <c r="S37" t="s">
        <v>74</v>
      </c>
      <c r="T37" t="s">
        <v>74</v>
      </c>
      <c r="U37" t="s">
        <v>844</v>
      </c>
      <c r="V37" t="s">
        <v>845</v>
      </c>
      <c r="W37" t="s">
        <v>846</v>
      </c>
      <c r="X37" t="s">
        <v>847</v>
      </c>
      <c r="Y37" t="s">
        <v>848</v>
      </c>
      <c r="Z37" t="s">
        <v>849</v>
      </c>
      <c r="AA37" t="s">
        <v>74</v>
      </c>
      <c r="AB37" t="s">
        <v>850</v>
      </c>
      <c r="AC37" t="s">
        <v>851</v>
      </c>
      <c r="AD37" t="s">
        <v>852</v>
      </c>
      <c r="AE37" t="s">
        <v>853</v>
      </c>
      <c r="AF37" t="s">
        <v>74</v>
      </c>
      <c r="AG37">
        <v>20</v>
      </c>
      <c r="AH37">
        <v>8</v>
      </c>
      <c r="AI37">
        <v>8</v>
      </c>
      <c r="AJ37">
        <v>0</v>
      </c>
      <c r="AK37">
        <v>3</v>
      </c>
      <c r="AL37" t="s">
        <v>605</v>
      </c>
      <c r="AM37" t="s">
        <v>606</v>
      </c>
      <c r="AN37" t="s">
        <v>607</v>
      </c>
      <c r="AO37" t="s">
        <v>657</v>
      </c>
      <c r="AP37" t="s">
        <v>74</v>
      </c>
      <c r="AQ37" t="s">
        <v>74</v>
      </c>
      <c r="AR37" t="s">
        <v>659</v>
      </c>
      <c r="AS37" t="s">
        <v>660</v>
      </c>
      <c r="AT37" t="s">
        <v>854</v>
      </c>
      <c r="AU37">
        <v>2009</v>
      </c>
      <c r="AV37">
        <v>36</v>
      </c>
      <c r="AW37" t="s">
        <v>74</v>
      </c>
      <c r="AX37" t="s">
        <v>74</v>
      </c>
      <c r="AY37" t="s">
        <v>74</v>
      </c>
      <c r="AZ37" t="s">
        <v>74</v>
      </c>
      <c r="BA37" t="s">
        <v>74</v>
      </c>
      <c r="BB37" t="s">
        <v>74</v>
      </c>
      <c r="BC37" t="s">
        <v>74</v>
      </c>
      <c r="BD37" t="s">
        <v>855</v>
      </c>
      <c r="BE37" t="s">
        <v>856</v>
      </c>
      <c r="BF37" t="str">
        <f>HYPERLINK("http://dx.doi.org/10.1029/2009GL037866","http://dx.doi.org/10.1029/2009GL037866")</f>
        <v>http://dx.doi.org/10.1029/2009GL037866</v>
      </c>
      <c r="BG37" t="s">
        <v>74</v>
      </c>
      <c r="BH37" t="s">
        <v>74</v>
      </c>
      <c r="BI37">
        <v>5</v>
      </c>
      <c r="BJ37" t="s">
        <v>496</v>
      </c>
      <c r="BK37" t="s">
        <v>100</v>
      </c>
      <c r="BL37" t="s">
        <v>497</v>
      </c>
      <c r="BM37" t="s">
        <v>857</v>
      </c>
      <c r="BN37" t="s">
        <v>74</v>
      </c>
      <c r="BO37" t="s">
        <v>74</v>
      </c>
      <c r="BP37" t="s">
        <v>74</v>
      </c>
      <c r="BQ37" t="s">
        <v>74</v>
      </c>
      <c r="BR37" t="s">
        <v>103</v>
      </c>
      <c r="BS37" t="s">
        <v>858</v>
      </c>
      <c r="BT37" t="str">
        <f>HYPERLINK("https%3A%2F%2Fwww.webofscience.com%2Fwos%2Fwoscc%2Ffull-record%2FWOS:000266099100006","View Full Record in Web of Science")</f>
        <v>View Full Record in Web of Science</v>
      </c>
    </row>
    <row r="38" spans="1:72" x14ac:dyDescent="0.15">
      <c r="A38" t="s">
        <v>72</v>
      </c>
      <c r="B38" t="s">
        <v>859</v>
      </c>
      <c r="C38" t="s">
        <v>74</v>
      </c>
      <c r="D38" t="s">
        <v>74</v>
      </c>
      <c r="E38" t="s">
        <v>74</v>
      </c>
      <c r="F38" t="s">
        <v>860</v>
      </c>
      <c r="G38" t="s">
        <v>74</v>
      </c>
      <c r="H38" t="s">
        <v>74</v>
      </c>
      <c r="I38" t="s">
        <v>861</v>
      </c>
      <c r="J38" t="s">
        <v>862</v>
      </c>
      <c r="K38" t="s">
        <v>74</v>
      </c>
      <c r="L38" t="s">
        <v>74</v>
      </c>
      <c r="M38" t="s">
        <v>78</v>
      </c>
      <c r="N38" t="s">
        <v>79</v>
      </c>
      <c r="O38" t="s">
        <v>74</v>
      </c>
      <c r="P38" t="s">
        <v>74</v>
      </c>
      <c r="Q38" t="s">
        <v>74</v>
      </c>
      <c r="R38" t="s">
        <v>74</v>
      </c>
      <c r="S38" t="s">
        <v>74</v>
      </c>
      <c r="T38" t="s">
        <v>863</v>
      </c>
      <c r="U38" t="s">
        <v>864</v>
      </c>
      <c r="V38" t="s">
        <v>865</v>
      </c>
      <c r="W38" t="s">
        <v>866</v>
      </c>
      <c r="X38" t="s">
        <v>867</v>
      </c>
      <c r="Y38" t="s">
        <v>868</v>
      </c>
      <c r="Z38" t="s">
        <v>869</v>
      </c>
      <c r="AA38" t="s">
        <v>74</v>
      </c>
      <c r="AB38" t="s">
        <v>870</v>
      </c>
      <c r="AC38" t="s">
        <v>871</v>
      </c>
      <c r="AD38" t="s">
        <v>872</v>
      </c>
      <c r="AE38" t="s">
        <v>873</v>
      </c>
      <c r="AF38" t="s">
        <v>74</v>
      </c>
      <c r="AG38">
        <v>55</v>
      </c>
      <c r="AH38">
        <v>42</v>
      </c>
      <c r="AI38">
        <v>50</v>
      </c>
      <c r="AJ38">
        <v>0</v>
      </c>
      <c r="AK38">
        <v>17</v>
      </c>
      <c r="AL38" t="s">
        <v>874</v>
      </c>
      <c r="AM38" t="s">
        <v>606</v>
      </c>
      <c r="AN38" t="s">
        <v>875</v>
      </c>
      <c r="AO38" t="s">
        <v>876</v>
      </c>
      <c r="AP38" t="s">
        <v>74</v>
      </c>
      <c r="AQ38" t="s">
        <v>74</v>
      </c>
      <c r="AR38" t="s">
        <v>877</v>
      </c>
      <c r="AS38" t="s">
        <v>878</v>
      </c>
      <c r="AT38" t="s">
        <v>879</v>
      </c>
      <c r="AU38">
        <v>2009</v>
      </c>
      <c r="AV38">
        <v>106</v>
      </c>
      <c r="AW38">
        <v>19</v>
      </c>
      <c r="AX38" t="s">
        <v>74</v>
      </c>
      <c r="AY38" t="s">
        <v>74</v>
      </c>
      <c r="AZ38" t="s">
        <v>74</v>
      </c>
      <c r="BA38" t="s">
        <v>74</v>
      </c>
      <c r="BB38">
        <v>7724</v>
      </c>
      <c r="BC38">
        <v>7728</v>
      </c>
      <c r="BD38" t="s">
        <v>74</v>
      </c>
      <c r="BE38" t="s">
        <v>880</v>
      </c>
      <c r="BF38" t="str">
        <f>HYPERLINK("http://dx.doi.org/10.1073/pnas.0811803106","http://dx.doi.org/10.1073/pnas.0811803106")</f>
        <v>http://dx.doi.org/10.1073/pnas.0811803106</v>
      </c>
      <c r="BG38" t="s">
        <v>74</v>
      </c>
      <c r="BH38" t="s">
        <v>74</v>
      </c>
      <c r="BI38">
        <v>5</v>
      </c>
      <c r="BJ38" t="s">
        <v>790</v>
      </c>
      <c r="BK38" t="s">
        <v>100</v>
      </c>
      <c r="BL38" t="s">
        <v>791</v>
      </c>
      <c r="BM38" t="s">
        <v>881</v>
      </c>
      <c r="BN38">
        <v>19416862</v>
      </c>
      <c r="BO38" t="s">
        <v>882</v>
      </c>
      <c r="BP38" t="s">
        <v>74</v>
      </c>
      <c r="BQ38" t="s">
        <v>74</v>
      </c>
      <c r="BR38" t="s">
        <v>103</v>
      </c>
      <c r="BS38" t="s">
        <v>883</v>
      </c>
      <c r="BT38" t="str">
        <f>HYPERLINK("https%3A%2F%2Fwww.webofscience.com%2Fwos%2Fwoscc%2Ffull-record%2FWOS:000266208900011","View Full Record in Web of Science")</f>
        <v>View Full Record in Web of Science</v>
      </c>
    </row>
    <row r="39" spans="1:72" x14ac:dyDescent="0.15">
      <c r="A39" t="s">
        <v>72</v>
      </c>
      <c r="B39" t="s">
        <v>884</v>
      </c>
      <c r="C39" t="s">
        <v>74</v>
      </c>
      <c r="D39" t="s">
        <v>74</v>
      </c>
      <c r="E39" t="s">
        <v>74</v>
      </c>
      <c r="F39" t="s">
        <v>885</v>
      </c>
      <c r="G39" t="s">
        <v>74</v>
      </c>
      <c r="H39" t="s">
        <v>74</v>
      </c>
      <c r="I39" t="s">
        <v>886</v>
      </c>
      <c r="J39" t="s">
        <v>887</v>
      </c>
      <c r="K39" t="s">
        <v>74</v>
      </c>
      <c r="L39" t="s">
        <v>74</v>
      </c>
      <c r="M39" t="s">
        <v>78</v>
      </c>
      <c r="N39" t="s">
        <v>79</v>
      </c>
      <c r="O39" t="s">
        <v>74</v>
      </c>
      <c r="P39" t="s">
        <v>74</v>
      </c>
      <c r="Q39" t="s">
        <v>74</v>
      </c>
      <c r="R39" t="s">
        <v>74</v>
      </c>
      <c r="S39" t="s">
        <v>74</v>
      </c>
      <c r="T39" t="s">
        <v>888</v>
      </c>
      <c r="U39" t="s">
        <v>889</v>
      </c>
      <c r="V39" t="s">
        <v>890</v>
      </c>
      <c r="W39" t="s">
        <v>891</v>
      </c>
      <c r="X39" t="s">
        <v>892</v>
      </c>
      <c r="Y39" t="s">
        <v>893</v>
      </c>
      <c r="Z39" t="s">
        <v>894</v>
      </c>
      <c r="AA39" t="s">
        <v>895</v>
      </c>
      <c r="AB39" t="s">
        <v>896</v>
      </c>
      <c r="AC39" t="s">
        <v>897</v>
      </c>
      <c r="AD39" t="s">
        <v>898</v>
      </c>
      <c r="AE39" t="s">
        <v>899</v>
      </c>
      <c r="AF39" t="s">
        <v>74</v>
      </c>
      <c r="AG39">
        <v>42</v>
      </c>
      <c r="AH39">
        <v>16</v>
      </c>
      <c r="AI39">
        <v>17</v>
      </c>
      <c r="AJ39">
        <v>0</v>
      </c>
      <c r="AK39">
        <v>5</v>
      </c>
      <c r="AL39" t="s">
        <v>900</v>
      </c>
      <c r="AM39" t="s">
        <v>901</v>
      </c>
      <c r="AN39" t="s">
        <v>902</v>
      </c>
      <c r="AO39" t="s">
        <v>903</v>
      </c>
      <c r="AP39" t="s">
        <v>904</v>
      </c>
      <c r="AQ39" t="s">
        <v>74</v>
      </c>
      <c r="AR39" t="s">
        <v>887</v>
      </c>
      <c r="AS39" t="s">
        <v>905</v>
      </c>
      <c r="AT39" t="s">
        <v>906</v>
      </c>
      <c r="AU39">
        <v>2009</v>
      </c>
      <c r="AV39" t="s">
        <v>74</v>
      </c>
      <c r="AW39">
        <v>2096</v>
      </c>
      <c r="AX39" t="s">
        <v>74</v>
      </c>
      <c r="AY39" t="s">
        <v>74</v>
      </c>
      <c r="AZ39" t="s">
        <v>74</v>
      </c>
      <c r="BA39" t="s">
        <v>74</v>
      </c>
      <c r="BB39">
        <v>9</v>
      </c>
      <c r="BC39">
        <v>22</v>
      </c>
      <c r="BD39" t="s">
        <v>74</v>
      </c>
      <c r="BE39" t="s">
        <v>907</v>
      </c>
      <c r="BF39" t="str">
        <f>HYPERLINK("http://dx.doi.org/10.11646/zootaxa.2096.1.3","http://dx.doi.org/10.11646/zootaxa.2096.1.3")</f>
        <v>http://dx.doi.org/10.11646/zootaxa.2096.1.3</v>
      </c>
      <c r="BG39" t="s">
        <v>74</v>
      </c>
      <c r="BH39" t="s">
        <v>74</v>
      </c>
      <c r="BI39">
        <v>14</v>
      </c>
      <c r="BJ39" t="s">
        <v>908</v>
      </c>
      <c r="BK39" t="s">
        <v>100</v>
      </c>
      <c r="BL39" t="s">
        <v>908</v>
      </c>
      <c r="BM39" t="s">
        <v>909</v>
      </c>
      <c r="BN39" t="s">
        <v>74</v>
      </c>
      <c r="BO39" t="s">
        <v>910</v>
      </c>
      <c r="BP39" t="s">
        <v>74</v>
      </c>
      <c r="BQ39" t="s">
        <v>74</v>
      </c>
      <c r="BR39" t="s">
        <v>103</v>
      </c>
      <c r="BS39" t="s">
        <v>911</v>
      </c>
      <c r="BT39" t="str">
        <f>HYPERLINK("https%3A%2F%2Fwww.webofscience.com%2Fwos%2Fwoscc%2Ffull-record%2FWOS:000266231900002","View Full Record in Web of Science")</f>
        <v>View Full Record in Web of Science</v>
      </c>
    </row>
    <row r="40" spans="1:72" x14ac:dyDescent="0.15">
      <c r="A40" t="s">
        <v>72</v>
      </c>
      <c r="B40" t="s">
        <v>912</v>
      </c>
      <c r="C40" t="s">
        <v>74</v>
      </c>
      <c r="D40" t="s">
        <v>74</v>
      </c>
      <c r="E40" t="s">
        <v>74</v>
      </c>
      <c r="F40" t="s">
        <v>913</v>
      </c>
      <c r="G40" t="s">
        <v>74</v>
      </c>
      <c r="H40" t="s">
        <v>74</v>
      </c>
      <c r="I40" t="s">
        <v>914</v>
      </c>
      <c r="J40" t="s">
        <v>887</v>
      </c>
      <c r="K40" t="s">
        <v>74</v>
      </c>
      <c r="L40" t="s">
        <v>74</v>
      </c>
      <c r="M40" t="s">
        <v>78</v>
      </c>
      <c r="N40" t="s">
        <v>79</v>
      </c>
      <c r="O40" t="s">
        <v>74</v>
      </c>
      <c r="P40" t="s">
        <v>74</v>
      </c>
      <c r="Q40" t="s">
        <v>74</v>
      </c>
      <c r="R40" t="s">
        <v>74</v>
      </c>
      <c r="S40" t="s">
        <v>74</v>
      </c>
      <c r="T40" t="s">
        <v>915</v>
      </c>
      <c r="U40" t="s">
        <v>916</v>
      </c>
      <c r="V40" t="s">
        <v>917</v>
      </c>
      <c r="W40" t="s">
        <v>918</v>
      </c>
      <c r="X40" t="s">
        <v>919</v>
      </c>
      <c r="Y40" t="s">
        <v>920</v>
      </c>
      <c r="Z40" t="s">
        <v>921</v>
      </c>
      <c r="AA40" t="s">
        <v>922</v>
      </c>
      <c r="AB40" t="s">
        <v>923</v>
      </c>
      <c r="AC40" t="s">
        <v>924</v>
      </c>
      <c r="AD40" t="s">
        <v>925</v>
      </c>
      <c r="AE40" t="s">
        <v>926</v>
      </c>
      <c r="AF40" t="s">
        <v>74</v>
      </c>
      <c r="AG40">
        <v>26</v>
      </c>
      <c r="AH40">
        <v>42</v>
      </c>
      <c r="AI40">
        <v>46</v>
      </c>
      <c r="AJ40">
        <v>0</v>
      </c>
      <c r="AK40">
        <v>4</v>
      </c>
      <c r="AL40" t="s">
        <v>900</v>
      </c>
      <c r="AM40" t="s">
        <v>901</v>
      </c>
      <c r="AN40" t="s">
        <v>902</v>
      </c>
      <c r="AO40" t="s">
        <v>903</v>
      </c>
      <c r="AP40" t="s">
        <v>904</v>
      </c>
      <c r="AQ40" t="s">
        <v>74</v>
      </c>
      <c r="AR40" t="s">
        <v>887</v>
      </c>
      <c r="AS40" t="s">
        <v>905</v>
      </c>
      <c r="AT40" t="s">
        <v>906</v>
      </c>
      <c r="AU40">
        <v>2009</v>
      </c>
      <c r="AV40" t="s">
        <v>74</v>
      </c>
      <c r="AW40">
        <v>2096</v>
      </c>
      <c r="AX40" t="s">
        <v>74</v>
      </c>
      <c r="AY40" t="s">
        <v>74</v>
      </c>
      <c r="AZ40" t="s">
        <v>74</v>
      </c>
      <c r="BA40" t="s">
        <v>74</v>
      </c>
      <c r="BB40">
        <v>23</v>
      </c>
      <c r="BC40">
        <v>32</v>
      </c>
      <c r="BD40" t="s">
        <v>74</v>
      </c>
      <c r="BE40" t="s">
        <v>927</v>
      </c>
      <c r="BF40" t="str">
        <f>HYPERLINK("http://dx.doi.org/10.11646/zootaxa.2096.1.4","http://dx.doi.org/10.11646/zootaxa.2096.1.4")</f>
        <v>http://dx.doi.org/10.11646/zootaxa.2096.1.4</v>
      </c>
      <c r="BG40" t="s">
        <v>74</v>
      </c>
      <c r="BH40" t="s">
        <v>74</v>
      </c>
      <c r="BI40">
        <v>10</v>
      </c>
      <c r="BJ40" t="s">
        <v>908</v>
      </c>
      <c r="BK40" t="s">
        <v>100</v>
      </c>
      <c r="BL40" t="s">
        <v>908</v>
      </c>
      <c r="BM40" t="s">
        <v>909</v>
      </c>
      <c r="BN40" t="s">
        <v>74</v>
      </c>
      <c r="BO40" t="s">
        <v>287</v>
      </c>
      <c r="BP40" t="s">
        <v>74</v>
      </c>
      <c r="BQ40" t="s">
        <v>74</v>
      </c>
      <c r="BR40" t="s">
        <v>103</v>
      </c>
      <c r="BS40" t="s">
        <v>928</v>
      </c>
      <c r="BT40" t="str">
        <f>HYPERLINK("https%3A%2F%2Fwww.webofscience.com%2Fwos%2Fwoscc%2Ffull-record%2FWOS:000266231900003","View Full Record in Web of Science")</f>
        <v>View Full Record in Web of Science</v>
      </c>
    </row>
    <row r="41" spans="1:72" x14ac:dyDescent="0.15">
      <c r="A41" t="s">
        <v>72</v>
      </c>
      <c r="B41" t="s">
        <v>929</v>
      </c>
      <c r="C41" t="s">
        <v>74</v>
      </c>
      <c r="D41" t="s">
        <v>74</v>
      </c>
      <c r="E41" t="s">
        <v>74</v>
      </c>
      <c r="F41" t="s">
        <v>930</v>
      </c>
      <c r="G41" t="s">
        <v>74</v>
      </c>
      <c r="H41" t="s">
        <v>74</v>
      </c>
      <c r="I41" t="s">
        <v>931</v>
      </c>
      <c r="J41" t="s">
        <v>932</v>
      </c>
      <c r="K41" t="s">
        <v>74</v>
      </c>
      <c r="L41" t="s">
        <v>74</v>
      </c>
      <c r="M41" t="s">
        <v>933</v>
      </c>
      <c r="N41" t="s">
        <v>934</v>
      </c>
      <c r="O41" t="s">
        <v>74</v>
      </c>
      <c r="P41" t="s">
        <v>74</v>
      </c>
      <c r="Q41" t="s">
        <v>74</v>
      </c>
      <c r="R41" t="s">
        <v>74</v>
      </c>
      <c r="S41" t="s">
        <v>74</v>
      </c>
      <c r="T41" t="s">
        <v>74</v>
      </c>
      <c r="U41" t="s">
        <v>74</v>
      </c>
      <c r="V41" t="s">
        <v>74</v>
      </c>
      <c r="W41" t="s">
        <v>935</v>
      </c>
      <c r="X41" t="s">
        <v>936</v>
      </c>
      <c r="Y41" t="s">
        <v>937</v>
      </c>
      <c r="Z41" t="s">
        <v>938</v>
      </c>
      <c r="AA41" t="s">
        <v>939</v>
      </c>
      <c r="AB41" t="s">
        <v>940</v>
      </c>
      <c r="AC41" t="s">
        <v>74</v>
      </c>
      <c r="AD41" t="s">
        <v>74</v>
      </c>
      <c r="AE41" t="s">
        <v>74</v>
      </c>
      <c r="AF41" t="s">
        <v>74</v>
      </c>
      <c r="AG41">
        <v>44</v>
      </c>
      <c r="AH41">
        <v>0</v>
      </c>
      <c r="AI41">
        <v>0</v>
      </c>
      <c r="AJ41">
        <v>1</v>
      </c>
      <c r="AK41">
        <v>3</v>
      </c>
      <c r="AL41" t="s">
        <v>941</v>
      </c>
      <c r="AM41" t="s">
        <v>942</v>
      </c>
      <c r="AN41" t="s">
        <v>943</v>
      </c>
      <c r="AO41" t="s">
        <v>944</v>
      </c>
      <c r="AP41" t="s">
        <v>945</v>
      </c>
      <c r="AQ41" t="s">
        <v>74</v>
      </c>
      <c r="AR41" t="s">
        <v>946</v>
      </c>
      <c r="AS41" t="s">
        <v>947</v>
      </c>
      <c r="AT41" t="s">
        <v>948</v>
      </c>
      <c r="AU41">
        <v>2009</v>
      </c>
      <c r="AV41">
        <v>132</v>
      </c>
      <c r="AW41">
        <v>17</v>
      </c>
      <c r="AX41" t="s">
        <v>74</v>
      </c>
      <c r="AY41" t="s">
        <v>74</v>
      </c>
      <c r="AZ41" t="s">
        <v>74</v>
      </c>
      <c r="BA41" t="s">
        <v>74</v>
      </c>
      <c r="BB41">
        <v>677</v>
      </c>
      <c r="BC41">
        <v>681</v>
      </c>
      <c r="BD41" t="s">
        <v>74</v>
      </c>
      <c r="BE41" t="s">
        <v>949</v>
      </c>
      <c r="BF41" t="str">
        <f>HYPERLINK("http://dx.doi.org/10.1016/j.medcli.2008.10.045","http://dx.doi.org/10.1016/j.medcli.2008.10.045")</f>
        <v>http://dx.doi.org/10.1016/j.medcli.2008.10.045</v>
      </c>
      <c r="BG41" t="s">
        <v>74</v>
      </c>
      <c r="BH41" t="s">
        <v>74</v>
      </c>
      <c r="BI41">
        <v>5</v>
      </c>
      <c r="BJ41" t="s">
        <v>950</v>
      </c>
      <c r="BK41" t="s">
        <v>100</v>
      </c>
      <c r="BL41" t="s">
        <v>951</v>
      </c>
      <c r="BM41" t="s">
        <v>952</v>
      </c>
      <c r="BN41">
        <v>19243794</v>
      </c>
      <c r="BO41" t="s">
        <v>74</v>
      </c>
      <c r="BP41" t="s">
        <v>74</v>
      </c>
      <c r="BQ41" t="s">
        <v>74</v>
      </c>
      <c r="BR41" t="s">
        <v>103</v>
      </c>
      <c r="BS41" t="s">
        <v>953</v>
      </c>
      <c r="BT41" t="str">
        <f>HYPERLINK("https%3A%2F%2Fwww.webofscience.com%2Fwos%2Fwoscc%2Ffull-record%2FWOS:000266482300007","View Full Record in Web of Science")</f>
        <v>View Full Record in Web of Science</v>
      </c>
    </row>
    <row r="42" spans="1:72" x14ac:dyDescent="0.15">
      <c r="A42" t="s">
        <v>72</v>
      </c>
      <c r="B42" t="s">
        <v>954</v>
      </c>
      <c r="C42" t="s">
        <v>74</v>
      </c>
      <c r="D42" t="s">
        <v>74</v>
      </c>
      <c r="E42" t="s">
        <v>74</v>
      </c>
      <c r="F42" t="s">
        <v>955</v>
      </c>
      <c r="G42" t="s">
        <v>74</v>
      </c>
      <c r="H42" t="s">
        <v>74</v>
      </c>
      <c r="I42" t="s">
        <v>956</v>
      </c>
      <c r="J42" t="s">
        <v>957</v>
      </c>
      <c r="K42" t="s">
        <v>74</v>
      </c>
      <c r="L42" t="s">
        <v>74</v>
      </c>
      <c r="M42" t="s">
        <v>78</v>
      </c>
      <c r="N42" t="s">
        <v>79</v>
      </c>
      <c r="O42" t="s">
        <v>74</v>
      </c>
      <c r="P42" t="s">
        <v>74</v>
      </c>
      <c r="Q42" t="s">
        <v>74</v>
      </c>
      <c r="R42" t="s">
        <v>74</v>
      </c>
      <c r="S42" t="s">
        <v>74</v>
      </c>
      <c r="T42" t="s">
        <v>958</v>
      </c>
      <c r="U42" t="s">
        <v>959</v>
      </c>
      <c r="V42" t="s">
        <v>960</v>
      </c>
      <c r="W42" t="s">
        <v>961</v>
      </c>
      <c r="X42" t="s">
        <v>962</v>
      </c>
      <c r="Y42" t="s">
        <v>963</v>
      </c>
      <c r="Z42" t="s">
        <v>964</v>
      </c>
      <c r="AA42" t="s">
        <v>965</v>
      </c>
      <c r="AB42" t="s">
        <v>966</v>
      </c>
      <c r="AC42" t="s">
        <v>74</v>
      </c>
      <c r="AD42" t="s">
        <v>74</v>
      </c>
      <c r="AE42" t="s">
        <v>74</v>
      </c>
      <c r="AF42" t="s">
        <v>74</v>
      </c>
      <c r="AG42">
        <v>44</v>
      </c>
      <c r="AH42">
        <v>99</v>
      </c>
      <c r="AI42">
        <v>102</v>
      </c>
      <c r="AJ42">
        <v>4</v>
      </c>
      <c r="AK42">
        <v>89</v>
      </c>
      <c r="AL42" t="s">
        <v>553</v>
      </c>
      <c r="AM42" t="s">
        <v>252</v>
      </c>
      <c r="AN42" t="s">
        <v>554</v>
      </c>
      <c r="AO42" t="s">
        <v>967</v>
      </c>
      <c r="AP42" t="s">
        <v>968</v>
      </c>
      <c r="AQ42" t="s">
        <v>74</v>
      </c>
      <c r="AR42" t="s">
        <v>969</v>
      </c>
      <c r="AS42" t="s">
        <v>970</v>
      </c>
      <c r="AT42" t="s">
        <v>971</v>
      </c>
      <c r="AU42">
        <v>2009</v>
      </c>
      <c r="AV42">
        <v>641</v>
      </c>
      <c r="AW42" t="s">
        <v>972</v>
      </c>
      <c r="AX42" t="s">
        <v>74</v>
      </c>
      <c r="AY42" t="s">
        <v>74</v>
      </c>
      <c r="AZ42" t="s">
        <v>74</v>
      </c>
      <c r="BA42" t="s">
        <v>74</v>
      </c>
      <c r="BB42">
        <v>32</v>
      </c>
      <c r="BC42">
        <v>36</v>
      </c>
      <c r="BD42" t="s">
        <v>74</v>
      </c>
      <c r="BE42" t="s">
        <v>973</v>
      </c>
      <c r="BF42" t="str">
        <f>HYPERLINK("http://dx.doi.org/10.1016/j.aca.2009.03.033","http://dx.doi.org/10.1016/j.aca.2009.03.033")</f>
        <v>http://dx.doi.org/10.1016/j.aca.2009.03.033</v>
      </c>
      <c r="BG42" t="s">
        <v>74</v>
      </c>
      <c r="BH42" t="s">
        <v>74</v>
      </c>
      <c r="BI42">
        <v>5</v>
      </c>
      <c r="BJ42" t="s">
        <v>814</v>
      </c>
      <c r="BK42" t="s">
        <v>100</v>
      </c>
      <c r="BL42" t="s">
        <v>561</v>
      </c>
      <c r="BM42" t="s">
        <v>974</v>
      </c>
      <c r="BN42">
        <v>19393363</v>
      </c>
      <c r="BO42" t="s">
        <v>74</v>
      </c>
      <c r="BP42" t="s">
        <v>74</v>
      </c>
      <c r="BQ42" t="s">
        <v>74</v>
      </c>
      <c r="BR42" t="s">
        <v>103</v>
      </c>
      <c r="BS42" t="s">
        <v>975</v>
      </c>
      <c r="BT42" t="str">
        <f>HYPERLINK("https%3A%2F%2Fwww.webofscience.com%2Fwos%2Fwoscc%2Ffull-record%2FWOS:000265951400004","View Full Record in Web of Science")</f>
        <v>View Full Record in Web of Science</v>
      </c>
    </row>
    <row r="43" spans="1:72" x14ac:dyDescent="0.15">
      <c r="A43" t="s">
        <v>72</v>
      </c>
      <c r="B43" t="s">
        <v>976</v>
      </c>
      <c r="C43" t="s">
        <v>74</v>
      </c>
      <c r="D43" t="s">
        <v>74</v>
      </c>
      <c r="E43" t="s">
        <v>74</v>
      </c>
      <c r="F43" t="s">
        <v>977</v>
      </c>
      <c r="G43" t="s">
        <v>74</v>
      </c>
      <c r="H43" t="s">
        <v>74</v>
      </c>
      <c r="I43" t="s">
        <v>978</v>
      </c>
      <c r="J43" t="s">
        <v>670</v>
      </c>
      <c r="K43" t="s">
        <v>74</v>
      </c>
      <c r="L43" t="s">
        <v>74</v>
      </c>
      <c r="M43" t="s">
        <v>78</v>
      </c>
      <c r="N43" t="s">
        <v>79</v>
      </c>
      <c r="O43" t="s">
        <v>74</v>
      </c>
      <c r="P43" t="s">
        <v>74</v>
      </c>
      <c r="Q43" t="s">
        <v>74</v>
      </c>
      <c r="R43" t="s">
        <v>74</v>
      </c>
      <c r="S43" t="s">
        <v>74</v>
      </c>
      <c r="T43" t="s">
        <v>74</v>
      </c>
      <c r="U43" t="s">
        <v>979</v>
      </c>
      <c r="V43" t="s">
        <v>980</v>
      </c>
      <c r="W43" t="s">
        <v>981</v>
      </c>
      <c r="X43" t="s">
        <v>982</v>
      </c>
      <c r="Y43" t="s">
        <v>983</v>
      </c>
      <c r="Z43" t="s">
        <v>984</v>
      </c>
      <c r="AA43" t="s">
        <v>985</v>
      </c>
      <c r="AB43" t="s">
        <v>986</v>
      </c>
      <c r="AC43" t="s">
        <v>987</v>
      </c>
      <c r="AD43" t="s">
        <v>988</v>
      </c>
      <c r="AE43" t="s">
        <v>989</v>
      </c>
      <c r="AF43" t="s">
        <v>74</v>
      </c>
      <c r="AG43">
        <v>32</v>
      </c>
      <c r="AH43">
        <v>59</v>
      </c>
      <c r="AI43">
        <v>66</v>
      </c>
      <c r="AJ43">
        <v>0</v>
      </c>
      <c r="AK43">
        <v>8</v>
      </c>
      <c r="AL43" t="s">
        <v>605</v>
      </c>
      <c r="AM43" t="s">
        <v>606</v>
      </c>
      <c r="AN43" t="s">
        <v>607</v>
      </c>
      <c r="AO43" t="s">
        <v>682</v>
      </c>
      <c r="AP43" t="s">
        <v>683</v>
      </c>
      <c r="AQ43" t="s">
        <v>74</v>
      </c>
      <c r="AR43" t="s">
        <v>684</v>
      </c>
      <c r="AS43" t="s">
        <v>685</v>
      </c>
      <c r="AT43" t="s">
        <v>971</v>
      </c>
      <c r="AU43">
        <v>2009</v>
      </c>
      <c r="AV43">
        <v>114</v>
      </c>
      <c r="AW43" t="s">
        <v>74</v>
      </c>
      <c r="AX43" t="s">
        <v>74</v>
      </c>
      <c r="AY43" t="s">
        <v>74</v>
      </c>
      <c r="AZ43" t="s">
        <v>74</v>
      </c>
      <c r="BA43" t="s">
        <v>74</v>
      </c>
      <c r="BB43" t="s">
        <v>74</v>
      </c>
      <c r="BC43" t="s">
        <v>74</v>
      </c>
      <c r="BD43" t="s">
        <v>990</v>
      </c>
      <c r="BE43" t="s">
        <v>991</v>
      </c>
      <c r="BF43" t="str">
        <f>HYPERLINK("http://dx.doi.org/10.1029/2008JC005062","http://dx.doi.org/10.1029/2008JC005062")</f>
        <v>http://dx.doi.org/10.1029/2008JC005062</v>
      </c>
      <c r="BG43" t="s">
        <v>74</v>
      </c>
      <c r="BH43" t="s">
        <v>74</v>
      </c>
      <c r="BI43">
        <v>8</v>
      </c>
      <c r="BJ43" t="s">
        <v>689</v>
      </c>
      <c r="BK43" t="s">
        <v>100</v>
      </c>
      <c r="BL43" t="s">
        <v>689</v>
      </c>
      <c r="BM43" t="s">
        <v>992</v>
      </c>
      <c r="BN43" t="s">
        <v>74</v>
      </c>
      <c r="BO43" t="s">
        <v>287</v>
      </c>
      <c r="BP43" t="s">
        <v>74</v>
      </c>
      <c r="BQ43" t="s">
        <v>74</v>
      </c>
      <c r="BR43" t="s">
        <v>103</v>
      </c>
      <c r="BS43" t="s">
        <v>993</v>
      </c>
      <c r="BT43" t="str">
        <f>HYPERLINK("https%3A%2F%2Fwww.webofscience.com%2Fwos%2Fwoscc%2Ffull-record%2FWOS:000265931900001","View Full Record in Web of Science")</f>
        <v>View Full Record in Web of Science</v>
      </c>
    </row>
    <row r="44" spans="1:72" x14ac:dyDescent="0.15">
      <c r="A44" t="s">
        <v>72</v>
      </c>
      <c r="B44" t="s">
        <v>994</v>
      </c>
      <c r="C44" t="s">
        <v>74</v>
      </c>
      <c r="D44" t="s">
        <v>74</v>
      </c>
      <c r="E44" t="s">
        <v>74</v>
      </c>
      <c r="F44" t="s">
        <v>995</v>
      </c>
      <c r="G44" t="s">
        <v>74</v>
      </c>
      <c r="H44" t="s">
        <v>74</v>
      </c>
      <c r="I44" t="s">
        <v>996</v>
      </c>
      <c r="J44" t="s">
        <v>645</v>
      </c>
      <c r="K44" t="s">
        <v>74</v>
      </c>
      <c r="L44" t="s">
        <v>74</v>
      </c>
      <c r="M44" t="s">
        <v>78</v>
      </c>
      <c r="N44" t="s">
        <v>79</v>
      </c>
      <c r="O44" t="s">
        <v>74</v>
      </c>
      <c r="P44" t="s">
        <v>74</v>
      </c>
      <c r="Q44" t="s">
        <v>74</v>
      </c>
      <c r="R44" t="s">
        <v>74</v>
      </c>
      <c r="S44" t="s">
        <v>74</v>
      </c>
      <c r="T44" t="s">
        <v>74</v>
      </c>
      <c r="U44" t="s">
        <v>997</v>
      </c>
      <c r="V44" t="s">
        <v>998</v>
      </c>
      <c r="W44" t="s">
        <v>999</v>
      </c>
      <c r="X44" t="s">
        <v>1000</v>
      </c>
      <c r="Y44" t="s">
        <v>1001</v>
      </c>
      <c r="Z44" t="s">
        <v>1002</v>
      </c>
      <c r="AA44" t="s">
        <v>1003</v>
      </c>
      <c r="AB44" t="s">
        <v>1004</v>
      </c>
      <c r="AC44" t="s">
        <v>1005</v>
      </c>
      <c r="AD44" t="s">
        <v>1006</v>
      </c>
      <c r="AE44" t="s">
        <v>1007</v>
      </c>
      <c r="AF44" t="s">
        <v>74</v>
      </c>
      <c r="AG44">
        <v>15</v>
      </c>
      <c r="AH44">
        <v>27</v>
      </c>
      <c r="AI44">
        <v>29</v>
      </c>
      <c r="AJ44">
        <v>0</v>
      </c>
      <c r="AK44">
        <v>4</v>
      </c>
      <c r="AL44" t="s">
        <v>605</v>
      </c>
      <c r="AM44" t="s">
        <v>606</v>
      </c>
      <c r="AN44" t="s">
        <v>607</v>
      </c>
      <c r="AO44" t="s">
        <v>657</v>
      </c>
      <c r="AP44" t="s">
        <v>658</v>
      </c>
      <c r="AQ44" t="s">
        <v>74</v>
      </c>
      <c r="AR44" t="s">
        <v>659</v>
      </c>
      <c r="AS44" t="s">
        <v>660</v>
      </c>
      <c r="AT44" t="s">
        <v>1008</v>
      </c>
      <c r="AU44">
        <v>2009</v>
      </c>
      <c r="AV44">
        <v>36</v>
      </c>
      <c r="AW44" t="s">
        <v>74</v>
      </c>
      <c r="AX44" t="s">
        <v>74</v>
      </c>
      <c r="AY44" t="s">
        <v>74</v>
      </c>
      <c r="AZ44" t="s">
        <v>74</v>
      </c>
      <c r="BA44" t="s">
        <v>74</v>
      </c>
      <c r="BB44" t="s">
        <v>74</v>
      </c>
      <c r="BC44" t="s">
        <v>74</v>
      </c>
      <c r="BD44" t="s">
        <v>1009</v>
      </c>
      <c r="BE44" t="s">
        <v>1010</v>
      </c>
      <c r="BF44" t="str">
        <f>HYPERLINK("http://dx.doi.org/10.1029/2008GL037064","http://dx.doi.org/10.1029/2008GL037064")</f>
        <v>http://dx.doi.org/10.1029/2008GL037064</v>
      </c>
      <c r="BG44" t="s">
        <v>74</v>
      </c>
      <c r="BH44" t="s">
        <v>74</v>
      </c>
      <c r="BI44">
        <v>5</v>
      </c>
      <c r="BJ44" t="s">
        <v>496</v>
      </c>
      <c r="BK44" t="s">
        <v>100</v>
      </c>
      <c r="BL44" t="s">
        <v>497</v>
      </c>
      <c r="BM44" t="s">
        <v>1011</v>
      </c>
      <c r="BN44" t="s">
        <v>74</v>
      </c>
      <c r="BO44" t="s">
        <v>1012</v>
      </c>
      <c r="BP44" t="s">
        <v>74</v>
      </c>
      <c r="BQ44" t="s">
        <v>74</v>
      </c>
      <c r="BR44" t="s">
        <v>103</v>
      </c>
      <c r="BS44" t="s">
        <v>1013</v>
      </c>
      <c r="BT44" t="str">
        <f>HYPERLINK("https%3A%2F%2Fwww.webofscience.com%2Fwos%2Fwoscc%2Ffull-record%2FWOS:000265928800001","View Full Record in Web of Science")</f>
        <v>View Full Record in Web of Science</v>
      </c>
    </row>
    <row r="45" spans="1:72" x14ac:dyDescent="0.15">
      <c r="A45" t="s">
        <v>72</v>
      </c>
      <c r="B45" t="s">
        <v>1014</v>
      </c>
      <c r="C45" t="s">
        <v>74</v>
      </c>
      <c r="D45" t="s">
        <v>74</v>
      </c>
      <c r="E45" t="s">
        <v>74</v>
      </c>
      <c r="F45" t="s">
        <v>1015</v>
      </c>
      <c r="G45" t="s">
        <v>74</v>
      </c>
      <c r="H45" t="s">
        <v>74</v>
      </c>
      <c r="I45" t="s">
        <v>1016</v>
      </c>
      <c r="J45" t="s">
        <v>1017</v>
      </c>
      <c r="K45" t="s">
        <v>74</v>
      </c>
      <c r="L45" t="s">
        <v>74</v>
      </c>
      <c r="M45" t="s">
        <v>78</v>
      </c>
      <c r="N45" t="s">
        <v>79</v>
      </c>
      <c r="O45" t="s">
        <v>74</v>
      </c>
      <c r="P45" t="s">
        <v>74</v>
      </c>
      <c r="Q45" t="s">
        <v>74</v>
      </c>
      <c r="R45" t="s">
        <v>74</v>
      </c>
      <c r="S45" t="s">
        <v>74</v>
      </c>
      <c r="T45" t="s">
        <v>74</v>
      </c>
      <c r="U45" t="s">
        <v>1018</v>
      </c>
      <c r="V45" t="s">
        <v>1019</v>
      </c>
      <c r="W45" t="s">
        <v>1020</v>
      </c>
      <c r="X45" t="s">
        <v>1021</v>
      </c>
      <c r="Y45" t="s">
        <v>1022</v>
      </c>
      <c r="Z45" t="s">
        <v>1023</v>
      </c>
      <c r="AA45" t="s">
        <v>74</v>
      </c>
      <c r="AB45" t="s">
        <v>1024</v>
      </c>
      <c r="AC45" t="s">
        <v>1025</v>
      </c>
      <c r="AD45" t="s">
        <v>1026</v>
      </c>
      <c r="AE45" t="s">
        <v>1027</v>
      </c>
      <c r="AF45" t="s">
        <v>74</v>
      </c>
      <c r="AG45">
        <v>29</v>
      </c>
      <c r="AH45">
        <v>48</v>
      </c>
      <c r="AI45">
        <v>53</v>
      </c>
      <c r="AJ45">
        <v>0</v>
      </c>
      <c r="AK45">
        <v>15</v>
      </c>
      <c r="AL45" t="s">
        <v>605</v>
      </c>
      <c r="AM45" t="s">
        <v>606</v>
      </c>
      <c r="AN45" t="s">
        <v>607</v>
      </c>
      <c r="AO45" t="s">
        <v>1028</v>
      </c>
      <c r="AP45" t="s">
        <v>1029</v>
      </c>
      <c r="AQ45" t="s">
        <v>74</v>
      </c>
      <c r="AR45" t="s">
        <v>1030</v>
      </c>
      <c r="AS45" t="s">
        <v>1031</v>
      </c>
      <c r="AT45" t="s">
        <v>1032</v>
      </c>
      <c r="AU45">
        <v>2009</v>
      </c>
      <c r="AV45">
        <v>114</v>
      </c>
      <c r="AW45" t="s">
        <v>74</v>
      </c>
      <c r="AX45" t="s">
        <v>74</v>
      </c>
      <c r="AY45" t="s">
        <v>74</v>
      </c>
      <c r="AZ45" t="s">
        <v>74</v>
      </c>
      <c r="BA45" t="s">
        <v>74</v>
      </c>
      <c r="BB45" t="s">
        <v>74</v>
      </c>
      <c r="BC45" t="s">
        <v>74</v>
      </c>
      <c r="BD45" t="s">
        <v>1033</v>
      </c>
      <c r="BE45" t="s">
        <v>1034</v>
      </c>
      <c r="BF45" t="str">
        <f>HYPERLINK("http://dx.doi.org/10.1029/2007JF000934","http://dx.doi.org/10.1029/2007JF000934")</f>
        <v>http://dx.doi.org/10.1029/2007JF000934</v>
      </c>
      <c r="BG45" t="s">
        <v>74</v>
      </c>
      <c r="BH45" t="s">
        <v>74</v>
      </c>
      <c r="BI45">
        <v>11</v>
      </c>
      <c r="BJ45" t="s">
        <v>496</v>
      </c>
      <c r="BK45" t="s">
        <v>100</v>
      </c>
      <c r="BL45" t="s">
        <v>497</v>
      </c>
      <c r="BM45" t="s">
        <v>1035</v>
      </c>
      <c r="BN45" t="s">
        <v>74</v>
      </c>
      <c r="BO45" t="s">
        <v>1036</v>
      </c>
      <c r="BP45" t="s">
        <v>74</v>
      </c>
      <c r="BQ45" t="s">
        <v>74</v>
      </c>
      <c r="BR45" t="s">
        <v>103</v>
      </c>
      <c r="BS45" t="s">
        <v>1037</v>
      </c>
      <c r="BT45" t="str">
        <f>HYPERLINK("https%3A%2F%2Fwww.webofscience.com%2Fwos%2Fwoscc%2Ffull-record%2FWOS:000265931100001","View Full Record in Web of Science")</f>
        <v>View Full Record in Web of Science</v>
      </c>
    </row>
    <row r="46" spans="1:72" x14ac:dyDescent="0.15">
      <c r="A46" t="s">
        <v>72</v>
      </c>
      <c r="B46" t="s">
        <v>1038</v>
      </c>
      <c r="C46" t="s">
        <v>74</v>
      </c>
      <c r="D46" t="s">
        <v>74</v>
      </c>
      <c r="E46" t="s">
        <v>74</v>
      </c>
      <c r="F46" t="s">
        <v>1039</v>
      </c>
      <c r="G46" t="s">
        <v>74</v>
      </c>
      <c r="H46" t="s">
        <v>74</v>
      </c>
      <c r="I46" t="s">
        <v>1040</v>
      </c>
      <c r="J46" t="s">
        <v>645</v>
      </c>
      <c r="K46" t="s">
        <v>74</v>
      </c>
      <c r="L46" t="s">
        <v>74</v>
      </c>
      <c r="M46" t="s">
        <v>78</v>
      </c>
      <c r="N46" t="s">
        <v>79</v>
      </c>
      <c r="O46" t="s">
        <v>74</v>
      </c>
      <c r="P46" t="s">
        <v>74</v>
      </c>
      <c r="Q46" t="s">
        <v>74</v>
      </c>
      <c r="R46" t="s">
        <v>74</v>
      </c>
      <c r="S46" t="s">
        <v>74</v>
      </c>
      <c r="T46" t="s">
        <v>74</v>
      </c>
      <c r="U46" t="s">
        <v>1041</v>
      </c>
      <c r="V46" t="s">
        <v>1042</v>
      </c>
      <c r="W46" t="s">
        <v>1043</v>
      </c>
      <c r="X46" t="s">
        <v>1044</v>
      </c>
      <c r="Y46" t="s">
        <v>1045</v>
      </c>
      <c r="Z46" t="s">
        <v>1046</v>
      </c>
      <c r="AA46" t="s">
        <v>1047</v>
      </c>
      <c r="AB46" t="s">
        <v>1048</v>
      </c>
      <c r="AC46" t="s">
        <v>1049</v>
      </c>
      <c r="AD46" t="s">
        <v>1050</v>
      </c>
      <c r="AE46" t="s">
        <v>1051</v>
      </c>
      <c r="AF46" t="s">
        <v>74</v>
      </c>
      <c r="AG46">
        <v>29</v>
      </c>
      <c r="AH46">
        <v>5</v>
      </c>
      <c r="AI46">
        <v>7</v>
      </c>
      <c r="AJ46">
        <v>1</v>
      </c>
      <c r="AK46">
        <v>6</v>
      </c>
      <c r="AL46" t="s">
        <v>605</v>
      </c>
      <c r="AM46" t="s">
        <v>606</v>
      </c>
      <c r="AN46" t="s">
        <v>607</v>
      </c>
      <c r="AO46" t="s">
        <v>657</v>
      </c>
      <c r="AP46" t="s">
        <v>658</v>
      </c>
      <c r="AQ46" t="s">
        <v>74</v>
      </c>
      <c r="AR46" t="s">
        <v>659</v>
      </c>
      <c r="AS46" t="s">
        <v>660</v>
      </c>
      <c r="AT46" t="s">
        <v>1052</v>
      </c>
      <c r="AU46">
        <v>2009</v>
      </c>
      <c r="AV46">
        <v>36</v>
      </c>
      <c r="AW46" t="s">
        <v>74</v>
      </c>
      <c r="AX46" t="s">
        <v>74</v>
      </c>
      <c r="AY46" t="s">
        <v>74</v>
      </c>
      <c r="AZ46" t="s">
        <v>74</v>
      </c>
      <c r="BA46" t="s">
        <v>74</v>
      </c>
      <c r="BB46" t="s">
        <v>74</v>
      </c>
      <c r="BC46" t="s">
        <v>74</v>
      </c>
      <c r="BD46" t="s">
        <v>1053</v>
      </c>
      <c r="BE46" t="s">
        <v>1054</v>
      </c>
      <c r="BF46" t="str">
        <f>HYPERLINK("http://dx.doi.org/10.1029/2009GL038092","http://dx.doi.org/10.1029/2009GL038092")</f>
        <v>http://dx.doi.org/10.1029/2009GL038092</v>
      </c>
      <c r="BG46" t="s">
        <v>74</v>
      </c>
      <c r="BH46" t="s">
        <v>74</v>
      </c>
      <c r="BI46">
        <v>5</v>
      </c>
      <c r="BJ46" t="s">
        <v>496</v>
      </c>
      <c r="BK46" t="s">
        <v>100</v>
      </c>
      <c r="BL46" t="s">
        <v>497</v>
      </c>
      <c r="BM46" t="s">
        <v>1055</v>
      </c>
      <c r="BN46" t="s">
        <v>74</v>
      </c>
      <c r="BO46" t="s">
        <v>499</v>
      </c>
      <c r="BP46" t="s">
        <v>74</v>
      </c>
      <c r="BQ46" t="s">
        <v>74</v>
      </c>
      <c r="BR46" t="s">
        <v>103</v>
      </c>
      <c r="BS46" t="s">
        <v>1056</v>
      </c>
      <c r="BT46" t="str">
        <f>HYPERLINK("https%3A%2F%2Fwww.webofscience.com%2Fwos%2Fwoscc%2Ffull-record%2FWOS:000265664400002","View Full Record in Web of Science")</f>
        <v>View Full Record in Web of Science</v>
      </c>
    </row>
    <row r="47" spans="1:72" x14ac:dyDescent="0.15">
      <c r="A47" t="s">
        <v>72</v>
      </c>
      <c r="B47" t="s">
        <v>1057</v>
      </c>
      <c r="C47" t="s">
        <v>74</v>
      </c>
      <c r="D47" t="s">
        <v>74</v>
      </c>
      <c r="E47" t="s">
        <v>74</v>
      </c>
      <c r="F47" t="s">
        <v>1058</v>
      </c>
      <c r="G47" t="s">
        <v>74</v>
      </c>
      <c r="H47" t="s">
        <v>74</v>
      </c>
      <c r="I47" t="s">
        <v>1059</v>
      </c>
      <c r="J47" t="s">
        <v>1060</v>
      </c>
      <c r="K47" t="s">
        <v>74</v>
      </c>
      <c r="L47" t="s">
        <v>74</v>
      </c>
      <c r="M47" t="s">
        <v>1061</v>
      </c>
      <c r="N47" t="s">
        <v>79</v>
      </c>
      <c r="O47" t="s">
        <v>74</v>
      </c>
      <c r="P47" t="s">
        <v>74</v>
      </c>
      <c r="Q47" t="s">
        <v>74</v>
      </c>
      <c r="R47" t="s">
        <v>74</v>
      </c>
      <c r="S47" t="s">
        <v>74</v>
      </c>
      <c r="T47" t="s">
        <v>1062</v>
      </c>
      <c r="U47" t="s">
        <v>1063</v>
      </c>
      <c r="V47" t="s">
        <v>1064</v>
      </c>
      <c r="W47" t="s">
        <v>1065</v>
      </c>
      <c r="X47" t="s">
        <v>1066</v>
      </c>
      <c r="Y47" t="s">
        <v>1067</v>
      </c>
      <c r="Z47" t="s">
        <v>1068</v>
      </c>
      <c r="AA47" t="s">
        <v>1069</v>
      </c>
      <c r="AB47" t="s">
        <v>74</v>
      </c>
      <c r="AC47" t="s">
        <v>74</v>
      </c>
      <c r="AD47" t="s">
        <v>74</v>
      </c>
      <c r="AE47" t="s">
        <v>74</v>
      </c>
      <c r="AF47" t="s">
        <v>74</v>
      </c>
      <c r="AG47">
        <v>21</v>
      </c>
      <c r="AH47">
        <v>0</v>
      </c>
      <c r="AI47">
        <v>7</v>
      </c>
      <c r="AJ47">
        <v>0</v>
      </c>
      <c r="AK47">
        <v>6</v>
      </c>
      <c r="AL47" t="s">
        <v>1070</v>
      </c>
      <c r="AM47" t="s">
        <v>1071</v>
      </c>
      <c r="AN47" t="s">
        <v>1072</v>
      </c>
      <c r="AO47" t="s">
        <v>1073</v>
      </c>
      <c r="AP47" t="s">
        <v>1074</v>
      </c>
      <c r="AQ47" t="s">
        <v>74</v>
      </c>
      <c r="AR47" t="s">
        <v>1075</v>
      </c>
      <c r="AS47" t="s">
        <v>1076</v>
      </c>
      <c r="AT47" t="s">
        <v>1077</v>
      </c>
      <c r="AU47">
        <v>2009</v>
      </c>
      <c r="AV47">
        <v>25</v>
      </c>
      <c r="AW47">
        <v>5</v>
      </c>
      <c r="AX47" t="s">
        <v>74</v>
      </c>
      <c r="AY47" t="s">
        <v>74</v>
      </c>
      <c r="AZ47" t="s">
        <v>74</v>
      </c>
      <c r="BA47" t="s">
        <v>74</v>
      </c>
      <c r="BB47">
        <v>1260</v>
      </c>
      <c r="BC47">
        <v>1274</v>
      </c>
      <c r="BD47" t="s">
        <v>74</v>
      </c>
      <c r="BE47" t="s">
        <v>74</v>
      </c>
      <c r="BF47" t="s">
        <v>74</v>
      </c>
      <c r="BG47" t="s">
        <v>74</v>
      </c>
      <c r="BH47" t="s">
        <v>74</v>
      </c>
      <c r="BI47">
        <v>15</v>
      </c>
      <c r="BJ47" t="s">
        <v>497</v>
      </c>
      <c r="BK47" t="s">
        <v>100</v>
      </c>
      <c r="BL47" t="s">
        <v>497</v>
      </c>
      <c r="BM47" t="s">
        <v>1078</v>
      </c>
      <c r="BN47" t="s">
        <v>74</v>
      </c>
      <c r="BO47" t="s">
        <v>74</v>
      </c>
      <c r="BP47" t="s">
        <v>74</v>
      </c>
      <c r="BQ47" t="s">
        <v>74</v>
      </c>
      <c r="BR47" t="s">
        <v>103</v>
      </c>
      <c r="BS47" t="s">
        <v>1079</v>
      </c>
      <c r="BT47" t="str">
        <f>HYPERLINK("https%3A%2F%2Fwww.webofscience.com%2Fwos%2Fwoscc%2Ffull-record%2FWOS:000266684900018","View Full Record in Web of Science")</f>
        <v>View Full Record in Web of Science</v>
      </c>
    </row>
    <row r="48" spans="1:72" x14ac:dyDescent="0.15">
      <c r="A48" t="s">
        <v>72</v>
      </c>
      <c r="B48" t="s">
        <v>1080</v>
      </c>
      <c r="C48" t="s">
        <v>74</v>
      </c>
      <c r="D48" t="s">
        <v>74</v>
      </c>
      <c r="E48" t="s">
        <v>74</v>
      </c>
      <c r="F48" t="s">
        <v>1081</v>
      </c>
      <c r="G48" t="s">
        <v>74</v>
      </c>
      <c r="H48" t="s">
        <v>74</v>
      </c>
      <c r="I48" t="s">
        <v>1082</v>
      </c>
      <c r="J48" t="s">
        <v>1083</v>
      </c>
      <c r="K48" t="s">
        <v>74</v>
      </c>
      <c r="L48" t="s">
        <v>74</v>
      </c>
      <c r="M48" t="s">
        <v>78</v>
      </c>
      <c r="N48" t="s">
        <v>79</v>
      </c>
      <c r="O48" t="s">
        <v>74</v>
      </c>
      <c r="P48" t="s">
        <v>74</v>
      </c>
      <c r="Q48" t="s">
        <v>74</v>
      </c>
      <c r="R48" t="s">
        <v>74</v>
      </c>
      <c r="S48" t="s">
        <v>74</v>
      </c>
      <c r="T48" t="s">
        <v>74</v>
      </c>
      <c r="U48" t="s">
        <v>1084</v>
      </c>
      <c r="V48" t="s">
        <v>1085</v>
      </c>
      <c r="W48" t="s">
        <v>1086</v>
      </c>
      <c r="X48" t="s">
        <v>1087</v>
      </c>
      <c r="Y48" t="s">
        <v>1088</v>
      </c>
      <c r="Z48" t="s">
        <v>1089</v>
      </c>
      <c r="AA48" t="s">
        <v>1090</v>
      </c>
      <c r="AB48" t="s">
        <v>1091</v>
      </c>
      <c r="AC48" t="s">
        <v>1092</v>
      </c>
      <c r="AD48" t="s">
        <v>1093</v>
      </c>
      <c r="AE48" t="s">
        <v>1094</v>
      </c>
      <c r="AF48" t="s">
        <v>74</v>
      </c>
      <c r="AG48">
        <v>17</v>
      </c>
      <c r="AH48">
        <v>22</v>
      </c>
      <c r="AI48">
        <v>23</v>
      </c>
      <c r="AJ48">
        <v>0</v>
      </c>
      <c r="AK48">
        <v>16</v>
      </c>
      <c r="AL48" t="s">
        <v>1095</v>
      </c>
      <c r="AM48" t="s">
        <v>1096</v>
      </c>
      <c r="AN48" t="s">
        <v>1097</v>
      </c>
      <c r="AO48" t="s">
        <v>1098</v>
      </c>
      <c r="AP48" t="s">
        <v>74</v>
      </c>
      <c r="AQ48" t="s">
        <v>74</v>
      </c>
      <c r="AR48" t="s">
        <v>1099</v>
      </c>
      <c r="AS48" t="s">
        <v>1100</v>
      </c>
      <c r="AT48" t="s">
        <v>1077</v>
      </c>
      <c r="AU48">
        <v>2009</v>
      </c>
      <c r="AV48">
        <v>41</v>
      </c>
      <c r="AW48">
        <v>2</v>
      </c>
      <c r="AX48" t="s">
        <v>74</v>
      </c>
      <c r="AY48" t="s">
        <v>74</v>
      </c>
      <c r="AZ48" t="s">
        <v>74</v>
      </c>
      <c r="BA48" t="s">
        <v>74</v>
      </c>
      <c r="BB48">
        <v>155</v>
      </c>
      <c r="BC48">
        <v>163</v>
      </c>
      <c r="BD48" t="s">
        <v>74</v>
      </c>
      <c r="BE48" t="s">
        <v>1101</v>
      </c>
      <c r="BF48" t="str">
        <f>HYPERLINK("http://dx.doi.org/10.1657/1938-4246-41.2.155","http://dx.doi.org/10.1657/1938-4246-41.2.155")</f>
        <v>http://dx.doi.org/10.1657/1938-4246-41.2.155</v>
      </c>
      <c r="BG48" t="s">
        <v>74</v>
      </c>
      <c r="BH48" t="s">
        <v>74</v>
      </c>
      <c r="BI48">
        <v>9</v>
      </c>
      <c r="BJ48" t="s">
        <v>1102</v>
      </c>
      <c r="BK48" t="s">
        <v>1103</v>
      </c>
      <c r="BL48" t="s">
        <v>1104</v>
      </c>
      <c r="BM48" t="s">
        <v>1105</v>
      </c>
      <c r="BN48" t="s">
        <v>74</v>
      </c>
      <c r="BO48" t="s">
        <v>1106</v>
      </c>
      <c r="BP48" t="s">
        <v>74</v>
      </c>
      <c r="BQ48" t="s">
        <v>74</v>
      </c>
      <c r="BR48" t="s">
        <v>103</v>
      </c>
      <c r="BS48" t="s">
        <v>1107</v>
      </c>
      <c r="BT48" t="str">
        <f>HYPERLINK("https%3A%2F%2Fwww.webofscience.com%2Fwos%2Fwoscc%2Ffull-record%2FWOS:000266252900001","View Full Record in Web of Science")</f>
        <v>View Full Record in Web of Science</v>
      </c>
    </row>
    <row r="49" spans="1:72" x14ac:dyDescent="0.15">
      <c r="A49" t="s">
        <v>72</v>
      </c>
      <c r="B49" t="s">
        <v>1108</v>
      </c>
      <c r="C49" t="s">
        <v>74</v>
      </c>
      <c r="D49" t="s">
        <v>74</v>
      </c>
      <c r="E49" t="s">
        <v>74</v>
      </c>
      <c r="F49" t="s">
        <v>1109</v>
      </c>
      <c r="G49" t="s">
        <v>74</v>
      </c>
      <c r="H49" t="s">
        <v>74</v>
      </c>
      <c r="I49" t="s">
        <v>1110</v>
      </c>
      <c r="J49" t="s">
        <v>1083</v>
      </c>
      <c r="K49" t="s">
        <v>74</v>
      </c>
      <c r="L49" t="s">
        <v>74</v>
      </c>
      <c r="M49" t="s">
        <v>78</v>
      </c>
      <c r="N49" t="s">
        <v>79</v>
      </c>
      <c r="O49" t="s">
        <v>74</v>
      </c>
      <c r="P49" t="s">
        <v>74</v>
      </c>
      <c r="Q49" t="s">
        <v>74</v>
      </c>
      <c r="R49" t="s">
        <v>74</v>
      </c>
      <c r="S49" t="s">
        <v>74</v>
      </c>
      <c r="T49" t="s">
        <v>74</v>
      </c>
      <c r="U49" t="s">
        <v>1111</v>
      </c>
      <c r="V49" t="s">
        <v>1112</v>
      </c>
      <c r="W49" t="s">
        <v>1113</v>
      </c>
      <c r="X49" t="s">
        <v>1114</v>
      </c>
      <c r="Y49" t="s">
        <v>1115</v>
      </c>
      <c r="Z49" t="s">
        <v>1116</v>
      </c>
      <c r="AA49" t="s">
        <v>1117</v>
      </c>
      <c r="AB49" t="s">
        <v>1118</v>
      </c>
      <c r="AC49" t="s">
        <v>1119</v>
      </c>
      <c r="AD49" t="s">
        <v>1119</v>
      </c>
      <c r="AE49" t="s">
        <v>1120</v>
      </c>
      <c r="AF49" t="s">
        <v>74</v>
      </c>
      <c r="AG49">
        <v>53</v>
      </c>
      <c r="AH49">
        <v>67</v>
      </c>
      <c r="AI49">
        <v>74</v>
      </c>
      <c r="AJ49">
        <v>1</v>
      </c>
      <c r="AK49">
        <v>85</v>
      </c>
      <c r="AL49" t="s">
        <v>1095</v>
      </c>
      <c r="AM49" t="s">
        <v>1096</v>
      </c>
      <c r="AN49" t="s">
        <v>1097</v>
      </c>
      <c r="AO49" t="s">
        <v>1098</v>
      </c>
      <c r="AP49" t="s">
        <v>1121</v>
      </c>
      <c r="AQ49" t="s">
        <v>74</v>
      </c>
      <c r="AR49" t="s">
        <v>1099</v>
      </c>
      <c r="AS49" t="s">
        <v>1100</v>
      </c>
      <c r="AT49" t="s">
        <v>1077</v>
      </c>
      <c r="AU49">
        <v>2009</v>
      </c>
      <c r="AV49">
        <v>41</v>
      </c>
      <c r="AW49">
        <v>2</v>
      </c>
      <c r="AX49" t="s">
        <v>74</v>
      </c>
      <c r="AY49" t="s">
        <v>74</v>
      </c>
      <c r="AZ49" t="s">
        <v>74</v>
      </c>
      <c r="BA49" t="s">
        <v>74</v>
      </c>
      <c r="BB49">
        <v>164</v>
      </c>
      <c r="BC49">
        <v>173</v>
      </c>
      <c r="BD49" t="s">
        <v>74</v>
      </c>
      <c r="BE49" t="s">
        <v>1122</v>
      </c>
      <c r="BF49" t="str">
        <f>HYPERLINK("http://dx.doi.org/10.1657/1938-4246-41.2.164","http://dx.doi.org/10.1657/1938-4246-41.2.164")</f>
        <v>http://dx.doi.org/10.1657/1938-4246-41.2.164</v>
      </c>
      <c r="BG49" t="s">
        <v>74</v>
      </c>
      <c r="BH49" t="s">
        <v>74</v>
      </c>
      <c r="BI49">
        <v>10</v>
      </c>
      <c r="BJ49" t="s">
        <v>1102</v>
      </c>
      <c r="BK49" t="s">
        <v>100</v>
      </c>
      <c r="BL49" t="s">
        <v>1104</v>
      </c>
      <c r="BM49" t="s">
        <v>1105</v>
      </c>
      <c r="BN49" t="s">
        <v>74</v>
      </c>
      <c r="BO49" t="s">
        <v>1106</v>
      </c>
      <c r="BP49" t="s">
        <v>74</v>
      </c>
      <c r="BQ49" t="s">
        <v>74</v>
      </c>
      <c r="BR49" t="s">
        <v>103</v>
      </c>
      <c r="BS49" t="s">
        <v>1123</v>
      </c>
      <c r="BT49" t="str">
        <f>HYPERLINK("https%3A%2F%2Fwww.webofscience.com%2Fwos%2Fwoscc%2Ffull-record%2FWOS:000266252900002","View Full Record in Web of Science")</f>
        <v>View Full Record in Web of Science</v>
      </c>
    </row>
    <row r="50" spans="1:72" x14ac:dyDescent="0.15">
      <c r="A50" t="s">
        <v>72</v>
      </c>
      <c r="B50" t="s">
        <v>1124</v>
      </c>
      <c r="C50" t="s">
        <v>74</v>
      </c>
      <c r="D50" t="s">
        <v>74</v>
      </c>
      <c r="E50" t="s">
        <v>74</v>
      </c>
      <c r="F50" t="s">
        <v>1125</v>
      </c>
      <c r="G50" t="s">
        <v>74</v>
      </c>
      <c r="H50" t="s">
        <v>74</v>
      </c>
      <c r="I50" t="s">
        <v>1126</v>
      </c>
      <c r="J50" t="s">
        <v>1083</v>
      </c>
      <c r="K50" t="s">
        <v>74</v>
      </c>
      <c r="L50" t="s">
        <v>74</v>
      </c>
      <c r="M50" t="s">
        <v>78</v>
      </c>
      <c r="N50" t="s">
        <v>79</v>
      </c>
      <c r="O50" t="s">
        <v>74</v>
      </c>
      <c r="P50" t="s">
        <v>74</v>
      </c>
      <c r="Q50" t="s">
        <v>74</v>
      </c>
      <c r="R50" t="s">
        <v>74</v>
      </c>
      <c r="S50" t="s">
        <v>74</v>
      </c>
      <c r="T50" t="s">
        <v>74</v>
      </c>
      <c r="U50" t="s">
        <v>1127</v>
      </c>
      <c r="V50" t="s">
        <v>1128</v>
      </c>
      <c r="W50" t="s">
        <v>1129</v>
      </c>
      <c r="X50" t="s">
        <v>1130</v>
      </c>
      <c r="Y50" t="s">
        <v>1131</v>
      </c>
      <c r="Z50" t="s">
        <v>1132</v>
      </c>
      <c r="AA50" t="s">
        <v>74</v>
      </c>
      <c r="AB50" t="s">
        <v>74</v>
      </c>
      <c r="AC50" t="s">
        <v>1133</v>
      </c>
      <c r="AD50" t="s">
        <v>1134</v>
      </c>
      <c r="AE50" t="s">
        <v>1135</v>
      </c>
      <c r="AF50" t="s">
        <v>74</v>
      </c>
      <c r="AG50">
        <v>42</v>
      </c>
      <c r="AH50">
        <v>30</v>
      </c>
      <c r="AI50">
        <v>31</v>
      </c>
      <c r="AJ50">
        <v>1</v>
      </c>
      <c r="AK50">
        <v>12</v>
      </c>
      <c r="AL50" t="s">
        <v>1095</v>
      </c>
      <c r="AM50" t="s">
        <v>1096</v>
      </c>
      <c r="AN50" t="s">
        <v>1097</v>
      </c>
      <c r="AO50" t="s">
        <v>1098</v>
      </c>
      <c r="AP50" t="s">
        <v>1121</v>
      </c>
      <c r="AQ50" t="s">
        <v>74</v>
      </c>
      <c r="AR50" t="s">
        <v>1099</v>
      </c>
      <c r="AS50" t="s">
        <v>1100</v>
      </c>
      <c r="AT50" t="s">
        <v>1077</v>
      </c>
      <c r="AU50">
        <v>2009</v>
      </c>
      <c r="AV50">
        <v>41</v>
      </c>
      <c r="AW50">
        <v>2</v>
      </c>
      <c r="AX50" t="s">
        <v>74</v>
      </c>
      <c r="AY50" t="s">
        <v>74</v>
      </c>
      <c r="AZ50" t="s">
        <v>74</v>
      </c>
      <c r="BA50" t="s">
        <v>74</v>
      </c>
      <c r="BB50">
        <v>174</v>
      </c>
      <c r="BC50">
        <v>182</v>
      </c>
      <c r="BD50" t="s">
        <v>74</v>
      </c>
      <c r="BE50" t="s">
        <v>1136</v>
      </c>
      <c r="BF50" t="str">
        <f>HYPERLINK("http://dx.doi.org/10.1657/1938-4246-41.2.174","http://dx.doi.org/10.1657/1938-4246-41.2.174")</f>
        <v>http://dx.doi.org/10.1657/1938-4246-41.2.174</v>
      </c>
      <c r="BG50" t="s">
        <v>74</v>
      </c>
      <c r="BH50" t="s">
        <v>74</v>
      </c>
      <c r="BI50">
        <v>9</v>
      </c>
      <c r="BJ50" t="s">
        <v>1102</v>
      </c>
      <c r="BK50" t="s">
        <v>100</v>
      </c>
      <c r="BL50" t="s">
        <v>1104</v>
      </c>
      <c r="BM50" t="s">
        <v>1105</v>
      </c>
      <c r="BN50" t="s">
        <v>74</v>
      </c>
      <c r="BO50" t="s">
        <v>1137</v>
      </c>
      <c r="BP50" t="s">
        <v>74</v>
      </c>
      <c r="BQ50" t="s">
        <v>74</v>
      </c>
      <c r="BR50" t="s">
        <v>103</v>
      </c>
      <c r="BS50" t="s">
        <v>1138</v>
      </c>
      <c r="BT50" t="str">
        <f>HYPERLINK("https%3A%2F%2Fwww.webofscience.com%2Fwos%2Fwoscc%2Ffull-record%2FWOS:000266252900003","View Full Record in Web of Science")</f>
        <v>View Full Record in Web of Science</v>
      </c>
    </row>
    <row r="51" spans="1:72" x14ac:dyDescent="0.15">
      <c r="A51" t="s">
        <v>72</v>
      </c>
      <c r="B51" t="s">
        <v>1139</v>
      </c>
      <c r="C51" t="s">
        <v>74</v>
      </c>
      <c r="D51" t="s">
        <v>74</v>
      </c>
      <c r="E51" t="s">
        <v>74</v>
      </c>
      <c r="F51" t="s">
        <v>1140</v>
      </c>
      <c r="G51" t="s">
        <v>74</v>
      </c>
      <c r="H51" t="s">
        <v>74</v>
      </c>
      <c r="I51" t="s">
        <v>1141</v>
      </c>
      <c r="J51" t="s">
        <v>1083</v>
      </c>
      <c r="K51" t="s">
        <v>74</v>
      </c>
      <c r="L51" t="s">
        <v>74</v>
      </c>
      <c r="M51" t="s">
        <v>78</v>
      </c>
      <c r="N51" t="s">
        <v>79</v>
      </c>
      <c r="O51" t="s">
        <v>74</v>
      </c>
      <c r="P51" t="s">
        <v>74</v>
      </c>
      <c r="Q51" t="s">
        <v>74</v>
      </c>
      <c r="R51" t="s">
        <v>74</v>
      </c>
      <c r="S51" t="s">
        <v>74</v>
      </c>
      <c r="T51" t="s">
        <v>74</v>
      </c>
      <c r="U51" t="s">
        <v>1142</v>
      </c>
      <c r="V51" t="s">
        <v>1143</v>
      </c>
      <c r="W51" t="s">
        <v>1144</v>
      </c>
      <c r="X51" t="s">
        <v>1145</v>
      </c>
      <c r="Y51" t="s">
        <v>1146</v>
      </c>
      <c r="Z51" t="s">
        <v>1147</v>
      </c>
      <c r="AA51" t="s">
        <v>74</v>
      </c>
      <c r="AB51" t="s">
        <v>74</v>
      </c>
      <c r="AC51" t="s">
        <v>1148</v>
      </c>
      <c r="AD51" t="s">
        <v>1149</v>
      </c>
      <c r="AE51" t="s">
        <v>1150</v>
      </c>
      <c r="AF51" t="s">
        <v>74</v>
      </c>
      <c r="AG51">
        <v>43</v>
      </c>
      <c r="AH51">
        <v>10</v>
      </c>
      <c r="AI51">
        <v>12</v>
      </c>
      <c r="AJ51">
        <v>0</v>
      </c>
      <c r="AK51">
        <v>36</v>
      </c>
      <c r="AL51" t="s">
        <v>1095</v>
      </c>
      <c r="AM51" t="s">
        <v>1096</v>
      </c>
      <c r="AN51" t="s">
        <v>1097</v>
      </c>
      <c r="AO51" t="s">
        <v>1098</v>
      </c>
      <c r="AP51" t="s">
        <v>1121</v>
      </c>
      <c r="AQ51" t="s">
        <v>74</v>
      </c>
      <c r="AR51" t="s">
        <v>1099</v>
      </c>
      <c r="AS51" t="s">
        <v>1100</v>
      </c>
      <c r="AT51" t="s">
        <v>1077</v>
      </c>
      <c r="AU51">
        <v>2009</v>
      </c>
      <c r="AV51">
        <v>41</v>
      </c>
      <c r="AW51">
        <v>2</v>
      </c>
      <c r="AX51" t="s">
        <v>74</v>
      </c>
      <c r="AY51" t="s">
        <v>74</v>
      </c>
      <c r="AZ51" t="s">
        <v>74</v>
      </c>
      <c r="BA51" t="s">
        <v>74</v>
      </c>
      <c r="BB51">
        <v>183</v>
      </c>
      <c r="BC51">
        <v>190</v>
      </c>
      <c r="BD51" t="s">
        <v>74</v>
      </c>
      <c r="BE51" t="s">
        <v>1151</v>
      </c>
      <c r="BF51" t="str">
        <f>HYPERLINK("http://dx.doi.org/10.1657/1938-4246-41.2.183","http://dx.doi.org/10.1657/1938-4246-41.2.183")</f>
        <v>http://dx.doi.org/10.1657/1938-4246-41.2.183</v>
      </c>
      <c r="BG51" t="s">
        <v>74</v>
      </c>
      <c r="BH51" t="s">
        <v>74</v>
      </c>
      <c r="BI51">
        <v>8</v>
      </c>
      <c r="BJ51" t="s">
        <v>1102</v>
      </c>
      <c r="BK51" t="s">
        <v>100</v>
      </c>
      <c r="BL51" t="s">
        <v>1104</v>
      </c>
      <c r="BM51" t="s">
        <v>1105</v>
      </c>
      <c r="BN51" t="s">
        <v>74</v>
      </c>
      <c r="BO51" t="s">
        <v>1137</v>
      </c>
      <c r="BP51" t="s">
        <v>74</v>
      </c>
      <c r="BQ51" t="s">
        <v>74</v>
      </c>
      <c r="BR51" t="s">
        <v>103</v>
      </c>
      <c r="BS51" t="s">
        <v>1152</v>
      </c>
      <c r="BT51" t="str">
        <f>HYPERLINK("https%3A%2F%2Fwww.webofscience.com%2Fwos%2Fwoscc%2Ffull-record%2FWOS:000266252900004","View Full Record in Web of Science")</f>
        <v>View Full Record in Web of Science</v>
      </c>
    </row>
    <row r="52" spans="1:72" x14ac:dyDescent="0.15">
      <c r="A52" t="s">
        <v>72</v>
      </c>
      <c r="B52" t="s">
        <v>1153</v>
      </c>
      <c r="C52" t="s">
        <v>74</v>
      </c>
      <c r="D52" t="s">
        <v>74</v>
      </c>
      <c r="E52" t="s">
        <v>74</v>
      </c>
      <c r="F52" t="s">
        <v>1154</v>
      </c>
      <c r="G52" t="s">
        <v>74</v>
      </c>
      <c r="H52" t="s">
        <v>74</v>
      </c>
      <c r="I52" t="s">
        <v>1155</v>
      </c>
      <c r="J52" t="s">
        <v>1083</v>
      </c>
      <c r="K52" t="s">
        <v>74</v>
      </c>
      <c r="L52" t="s">
        <v>74</v>
      </c>
      <c r="M52" t="s">
        <v>78</v>
      </c>
      <c r="N52" t="s">
        <v>79</v>
      </c>
      <c r="O52" t="s">
        <v>74</v>
      </c>
      <c r="P52" t="s">
        <v>74</v>
      </c>
      <c r="Q52" t="s">
        <v>74</v>
      </c>
      <c r="R52" t="s">
        <v>74</v>
      </c>
      <c r="S52" t="s">
        <v>74</v>
      </c>
      <c r="T52" t="s">
        <v>74</v>
      </c>
      <c r="U52" t="s">
        <v>1156</v>
      </c>
      <c r="V52" t="s">
        <v>1157</v>
      </c>
      <c r="W52" t="s">
        <v>1158</v>
      </c>
      <c r="X52" t="s">
        <v>1159</v>
      </c>
      <c r="Y52" t="s">
        <v>1160</v>
      </c>
      <c r="Z52" t="s">
        <v>1161</v>
      </c>
      <c r="AA52" t="s">
        <v>1162</v>
      </c>
      <c r="AB52" t="s">
        <v>1163</v>
      </c>
      <c r="AC52" t="s">
        <v>1164</v>
      </c>
      <c r="AD52" t="s">
        <v>1165</v>
      </c>
      <c r="AE52" t="s">
        <v>1166</v>
      </c>
      <c r="AF52" t="s">
        <v>74</v>
      </c>
      <c r="AG52">
        <v>47</v>
      </c>
      <c r="AH52">
        <v>19</v>
      </c>
      <c r="AI52">
        <v>28</v>
      </c>
      <c r="AJ52">
        <v>0</v>
      </c>
      <c r="AK52">
        <v>31</v>
      </c>
      <c r="AL52" t="s">
        <v>1167</v>
      </c>
      <c r="AM52" t="s">
        <v>1168</v>
      </c>
      <c r="AN52" t="s">
        <v>1169</v>
      </c>
      <c r="AO52" t="s">
        <v>1098</v>
      </c>
      <c r="AP52" t="s">
        <v>1121</v>
      </c>
      <c r="AQ52" t="s">
        <v>74</v>
      </c>
      <c r="AR52" t="s">
        <v>1099</v>
      </c>
      <c r="AS52" t="s">
        <v>1100</v>
      </c>
      <c r="AT52" t="s">
        <v>1077</v>
      </c>
      <c r="AU52">
        <v>2009</v>
      </c>
      <c r="AV52">
        <v>41</v>
      </c>
      <c r="AW52">
        <v>2</v>
      </c>
      <c r="AX52" t="s">
        <v>74</v>
      </c>
      <c r="AY52" t="s">
        <v>74</v>
      </c>
      <c r="AZ52" t="s">
        <v>74</v>
      </c>
      <c r="BA52" t="s">
        <v>74</v>
      </c>
      <c r="BB52">
        <v>191</v>
      </c>
      <c r="BC52">
        <v>203</v>
      </c>
      <c r="BD52" t="s">
        <v>74</v>
      </c>
      <c r="BE52" t="s">
        <v>1170</v>
      </c>
      <c r="BF52" t="str">
        <f>HYPERLINK("http://dx.doi.org/10.1657/1938.4246-41.2.191","http://dx.doi.org/10.1657/1938.4246-41.2.191")</f>
        <v>http://dx.doi.org/10.1657/1938.4246-41.2.191</v>
      </c>
      <c r="BG52" t="s">
        <v>74</v>
      </c>
      <c r="BH52" t="s">
        <v>74</v>
      </c>
      <c r="BI52">
        <v>13</v>
      </c>
      <c r="BJ52" t="s">
        <v>1102</v>
      </c>
      <c r="BK52" t="s">
        <v>100</v>
      </c>
      <c r="BL52" t="s">
        <v>1104</v>
      </c>
      <c r="BM52" t="s">
        <v>1105</v>
      </c>
      <c r="BN52" t="s">
        <v>74</v>
      </c>
      <c r="BO52" t="s">
        <v>1036</v>
      </c>
      <c r="BP52" t="s">
        <v>74</v>
      </c>
      <c r="BQ52" t="s">
        <v>74</v>
      </c>
      <c r="BR52" t="s">
        <v>103</v>
      </c>
      <c r="BS52" t="s">
        <v>1171</v>
      </c>
      <c r="BT52" t="str">
        <f>HYPERLINK("https%3A%2F%2Fwww.webofscience.com%2Fwos%2Fwoscc%2Ffull-record%2FWOS:000266252900005","View Full Record in Web of Science")</f>
        <v>View Full Record in Web of Science</v>
      </c>
    </row>
    <row r="53" spans="1:72" x14ac:dyDescent="0.15">
      <c r="A53" t="s">
        <v>72</v>
      </c>
      <c r="B53" t="s">
        <v>1172</v>
      </c>
      <c r="C53" t="s">
        <v>74</v>
      </c>
      <c r="D53" t="s">
        <v>74</v>
      </c>
      <c r="E53" t="s">
        <v>74</v>
      </c>
      <c r="F53" t="s">
        <v>1173</v>
      </c>
      <c r="G53" t="s">
        <v>74</v>
      </c>
      <c r="H53" t="s">
        <v>74</v>
      </c>
      <c r="I53" t="s">
        <v>1174</v>
      </c>
      <c r="J53" t="s">
        <v>1083</v>
      </c>
      <c r="K53" t="s">
        <v>74</v>
      </c>
      <c r="L53" t="s">
        <v>74</v>
      </c>
      <c r="M53" t="s">
        <v>78</v>
      </c>
      <c r="N53" t="s">
        <v>79</v>
      </c>
      <c r="O53" t="s">
        <v>74</v>
      </c>
      <c r="P53" t="s">
        <v>74</v>
      </c>
      <c r="Q53" t="s">
        <v>74</v>
      </c>
      <c r="R53" t="s">
        <v>74</v>
      </c>
      <c r="S53" t="s">
        <v>74</v>
      </c>
      <c r="T53" t="s">
        <v>74</v>
      </c>
      <c r="U53" t="s">
        <v>74</v>
      </c>
      <c r="V53" t="s">
        <v>1175</v>
      </c>
      <c r="W53" t="s">
        <v>1176</v>
      </c>
      <c r="X53" t="s">
        <v>1177</v>
      </c>
      <c r="Y53" t="s">
        <v>1178</v>
      </c>
      <c r="Z53" t="s">
        <v>1179</v>
      </c>
      <c r="AA53" t="s">
        <v>74</v>
      </c>
      <c r="AB53" t="s">
        <v>74</v>
      </c>
      <c r="AC53" t="s">
        <v>1180</v>
      </c>
      <c r="AD53" t="s">
        <v>1180</v>
      </c>
      <c r="AE53" t="s">
        <v>1181</v>
      </c>
      <c r="AF53" t="s">
        <v>74</v>
      </c>
      <c r="AG53">
        <v>22</v>
      </c>
      <c r="AH53">
        <v>12</v>
      </c>
      <c r="AI53">
        <v>14</v>
      </c>
      <c r="AJ53">
        <v>0</v>
      </c>
      <c r="AK53">
        <v>33</v>
      </c>
      <c r="AL53" t="s">
        <v>1095</v>
      </c>
      <c r="AM53" t="s">
        <v>1096</v>
      </c>
      <c r="AN53" t="s">
        <v>1097</v>
      </c>
      <c r="AO53" t="s">
        <v>1098</v>
      </c>
      <c r="AP53" t="s">
        <v>1121</v>
      </c>
      <c r="AQ53" t="s">
        <v>74</v>
      </c>
      <c r="AR53" t="s">
        <v>1099</v>
      </c>
      <c r="AS53" t="s">
        <v>1100</v>
      </c>
      <c r="AT53" t="s">
        <v>1077</v>
      </c>
      <c r="AU53">
        <v>2009</v>
      </c>
      <c r="AV53">
        <v>41</v>
      </c>
      <c r="AW53">
        <v>2</v>
      </c>
      <c r="AX53" t="s">
        <v>74</v>
      </c>
      <c r="AY53" t="s">
        <v>74</v>
      </c>
      <c r="AZ53" t="s">
        <v>74</v>
      </c>
      <c r="BA53" t="s">
        <v>74</v>
      </c>
      <c r="BB53">
        <v>204</v>
      </c>
      <c r="BC53">
        <v>211</v>
      </c>
      <c r="BD53" t="s">
        <v>74</v>
      </c>
      <c r="BE53" t="s">
        <v>1182</v>
      </c>
      <c r="BF53" t="str">
        <f>HYPERLINK("http://dx.doi.org/10.1657/1938-4246-41.2.204","http://dx.doi.org/10.1657/1938-4246-41.2.204")</f>
        <v>http://dx.doi.org/10.1657/1938-4246-41.2.204</v>
      </c>
      <c r="BG53" t="s">
        <v>74</v>
      </c>
      <c r="BH53" t="s">
        <v>74</v>
      </c>
      <c r="BI53">
        <v>8</v>
      </c>
      <c r="BJ53" t="s">
        <v>1102</v>
      </c>
      <c r="BK53" t="s">
        <v>100</v>
      </c>
      <c r="BL53" t="s">
        <v>1104</v>
      </c>
      <c r="BM53" t="s">
        <v>1105</v>
      </c>
      <c r="BN53" t="s">
        <v>74</v>
      </c>
      <c r="BO53" t="s">
        <v>1137</v>
      </c>
      <c r="BP53" t="s">
        <v>74</v>
      </c>
      <c r="BQ53" t="s">
        <v>74</v>
      </c>
      <c r="BR53" t="s">
        <v>103</v>
      </c>
      <c r="BS53" t="s">
        <v>1183</v>
      </c>
      <c r="BT53" t="str">
        <f>HYPERLINK("https%3A%2F%2Fwww.webofscience.com%2Fwos%2Fwoscc%2Ffull-record%2FWOS:000266252900006","View Full Record in Web of Science")</f>
        <v>View Full Record in Web of Science</v>
      </c>
    </row>
    <row r="54" spans="1:72" x14ac:dyDescent="0.15">
      <c r="A54" t="s">
        <v>72</v>
      </c>
      <c r="B54" t="s">
        <v>1184</v>
      </c>
      <c r="C54" t="s">
        <v>74</v>
      </c>
      <c r="D54" t="s">
        <v>74</v>
      </c>
      <c r="E54" t="s">
        <v>74</v>
      </c>
      <c r="F54" t="s">
        <v>1185</v>
      </c>
      <c r="G54" t="s">
        <v>74</v>
      </c>
      <c r="H54" t="s">
        <v>74</v>
      </c>
      <c r="I54" t="s">
        <v>1186</v>
      </c>
      <c r="J54" t="s">
        <v>1083</v>
      </c>
      <c r="K54" t="s">
        <v>74</v>
      </c>
      <c r="L54" t="s">
        <v>74</v>
      </c>
      <c r="M54" t="s">
        <v>78</v>
      </c>
      <c r="N54" t="s">
        <v>79</v>
      </c>
      <c r="O54" t="s">
        <v>74</v>
      </c>
      <c r="P54" t="s">
        <v>74</v>
      </c>
      <c r="Q54" t="s">
        <v>74</v>
      </c>
      <c r="R54" t="s">
        <v>74</v>
      </c>
      <c r="S54" t="s">
        <v>74</v>
      </c>
      <c r="T54" t="s">
        <v>74</v>
      </c>
      <c r="U54" t="s">
        <v>1187</v>
      </c>
      <c r="V54" t="s">
        <v>1188</v>
      </c>
      <c r="W54" t="s">
        <v>1189</v>
      </c>
      <c r="X54" t="s">
        <v>1190</v>
      </c>
      <c r="Y54" t="s">
        <v>1191</v>
      </c>
      <c r="Z54" t="s">
        <v>1192</v>
      </c>
      <c r="AA54" t="s">
        <v>74</v>
      </c>
      <c r="AB54" t="s">
        <v>1193</v>
      </c>
      <c r="AC54" t="s">
        <v>74</v>
      </c>
      <c r="AD54" t="s">
        <v>74</v>
      </c>
      <c r="AE54" t="s">
        <v>74</v>
      </c>
      <c r="AF54" t="s">
        <v>74</v>
      </c>
      <c r="AG54">
        <v>27</v>
      </c>
      <c r="AH54">
        <v>64</v>
      </c>
      <c r="AI54">
        <v>69</v>
      </c>
      <c r="AJ54">
        <v>3</v>
      </c>
      <c r="AK54">
        <v>63</v>
      </c>
      <c r="AL54" t="s">
        <v>1095</v>
      </c>
      <c r="AM54" t="s">
        <v>1096</v>
      </c>
      <c r="AN54" t="s">
        <v>1097</v>
      </c>
      <c r="AO54" t="s">
        <v>1098</v>
      </c>
      <c r="AP54" t="s">
        <v>74</v>
      </c>
      <c r="AQ54" t="s">
        <v>74</v>
      </c>
      <c r="AR54" t="s">
        <v>1099</v>
      </c>
      <c r="AS54" t="s">
        <v>1100</v>
      </c>
      <c r="AT54" t="s">
        <v>1077</v>
      </c>
      <c r="AU54">
        <v>2009</v>
      </c>
      <c r="AV54">
        <v>41</v>
      </c>
      <c r="AW54">
        <v>2</v>
      </c>
      <c r="AX54" t="s">
        <v>74</v>
      </c>
      <c r="AY54" t="s">
        <v>74</v>
      </c>
      <c r="AZ54" t="s">
        <v>74</v>
      </c>
      <c r="BA54" t="s">
        <v>74</v>
      </c>
      <c r="BB54">
        <v>212</v>
      </c>
      <c r="BC54">
        <v>218</v>
      </c>
      <c r="BD54" t="s">
        <v>74</v>
      </c>
      <c r="BE54" t="s">
        <v>1194</v>
      </c>
      <c r="BF54" t="str">
        <f>HYPERLINK("http://dx.doi.org/10.1657/1938-4246-41.2.212","http://dx.doi.org/10.1657/1938-4246-41.2.212")</f>
        <v>http://dx.doi.org/10.1657/1938-4246-41.2.212</v>
      </c>
      <c r="BG54" t="s">
        <v>74</v>
      </c>
      <c r="BH54" t="s">
        <v>74</v>
      </c>
      <c r="BI54">
        <v>7</v>
      </c>
      <c r="BJ54" t="s">
        <v>1102</v>
      </c>
      <c r="BK54" t="s">
        <v>100</v>
      </c>
      <c r="BL54" t="s">
        <v>1104</v>
      </c>
      <c r="BM54" t="s">
        <v>1105</v>
      </c>
      <c r="BN54" t="s">
        <v>74</v>
      </c>
      <c r="BO54" t="s">
        <v>1036</v>
      </c>
      <c r="BP54" t="s">
        <v>74</v>
      </c>
      <c r="BQ54" t="s">
        <v>74</v>
      </c>
      <c r="BR54" t="s">
        <v>103</v>
      </c>
      <c r="BS54" t="s">
        <v>1195</v>
      </c>
      <c r="BT54" t="str">
        <f>HYPERLINK("https%3A%2F%2Fwww.webofscience.com%2Fwos%2Fwoscc%2Ffull-record%2FWOS:000266252900007","View Full Record in Web of Science")</f>
        <v>View Full Record in Web of Science</v>
      </c>
    </row>
    <row r="55" spans="1:72" x14ac:dyDescent="0.15">
      <c r="A55" t="s">
        <v>72</v>
      </c>
      <c r="B55" t="s">
        <v>1196</v>
      </c>
      <c r="C55" t="s">
        <v>74</v>
      </c>
      <c r="D55" t="s">
        <v>74</v>
      </c>
      <c r="E55" t="s">
        <v>74</v>
      </c>
      <c r="F55" t="s">
        <v>1197</v>
      </c>
      <c r="G55" t="s">
        <v>74</v>
      </c>
      <c r="H55" t="s">
        <v>74</v>
      </c>
      <c r="I55" t="s">
        <v>1198</v>
      </c>
      <c r="J55" t="s">
        <v>1083</v>
      </c>
      <c r="K55" t="s">
        <v>74</v>
      </c>
      <c r="L55" t="s">
        <v>74</v>
      </c>
      <c r="M55" t="s">
        <v>78</v>
      </c>
      <c r="N55" t="s">
        <v>79</v>
      </c>
      <c r="O55" t="s">
        <v>74</v>
      </c>
      <c r="P55" t="s">
        <v>74</v>
      </c>
      <c r="Q55" t="s">
        <v>74</v>
      </c>
      <c r="R55" t="s">
        <v>74</v>
      </c>
      <c r="S55" t="s">
        <v>74</v>
      </c>
      <c r="T55" t="s">
        <v>74</v>
      </c>
      <c r="U55" t="s">
        <v>1199</v>
      </c>
      <c r="V55" t="s">
        <v>1200</v>
      </c>
      <c r="W55" t="s">
        <v>1201</v>
      </c>
      <c r="X55" t="s">
        <v>1202</v>
      </c>
      <c r="Y55" t="s">
        <v>1203</v>
      </c>
      <c r="Z55" t="s">
        <v>1204</v>
      </c>
      <c r="AA55" t="s">
        <v>74</v>
      </c>
      <c r="AB55" t="s">
        <v>74</v>
      </c>
      <c r="AC55" t="s">
        <v>74</v>
      </c>
      <c r="AD55" t="s">
        <v>74</v>
      </c>
      <c r="AE55" t="s">
        <v>74</v>
      </c>
      <c r="AF55" t="s">
        <v>74</v>
      </c>
      <c r="AG55">
        <v>38</v>
      </c>
      <c r="AH55">
        <v>52</v>
      </c>
      <c r="AI55">
        <v>59</v>
      </c>
      <c r="AJ55">
        <v>0</v>
      </c>
      <c r="AK55">
        <v>21</v>
      </c>
      <c r="AL55" t="s">
        <v>1167</v>
      </c>
      <c r="AM55" t="s">
        <v>1168</v>
      </c>
      <c r="AN55" t="s">
        <v>1169</v>
      </c>
      <c r="AO55" t="s">
        <v>1098</v>
      </c>
      <c r="AP55" t="s">
        <v>1121</v>
      </c>
      <c r="AQ55" t="s">
        <v>74</v>
      </c>
      <c r="AR55" t="s">
        <v>1099</v>
      </c>
      <c r="AS55" t="s">
        <v>1100</v>
      </c>
      <c r="AT55" t="s">
        <v>1077</v>
      </c>
      <c r="AU55">
        <v>2009</v>
      </c>
      <c r="AV55">
        <v>41</v>
      </c>
      <c r="AW55">
        <v>2</v>
      </c>
      <c r="AX55" t="s">
        <v>74</v>
      </c>
      <c r="AY55" t="s">
        <v>74</v>
      </c>
      <c r="AZ55" t="s">
        <v>74</v>
      </c>
      <c r="BA55" t="s">
        <v>74</v>
      </c>
      <c r="BB55">
        <v>219</v>
      </c>
      <c r="BC55">
        <v>227</v>
      </c>
      <c r="BD55" t="s">
        <v>74</v>
      </c>
      <c r="BE55" t="s">
        <v>1205</v>
      </c>
      <c r="BF55" t="str">
        <f>HYPERLINK("http://dx.doi.org/10.1657/1938-4246-41.2.219","http://dx.doi.org/10.1657/1938-4246-41.2.219")</f>
        <v>http://dx.doi.org/10.1657/1938-4246-41.2.219</v>
      </c>
      <c r="BG55" t="s">
        <v>74</v>
      </c>
      <c r="BH55" t="s">
        <v>74</v>
      </c>
      <c r="BI55">
        <v>9</v>
      </c>
      <c r="BJ55" t="s">
        <v>1102</v>
      </c>
      <c r="BK55" t="s">
        <v>100</v>
      </c>
      <c r="BL55" t="s">
        <v>1104</v>
      </c>
      <c r="BM55" t="s">
        <v>1105</v>
      </c>
      <c r="BN55" t="s">
        <v>74</v>
      </c>
      <c r="BO55" t="s">
        <v>1106</v>
      </c>
      <c r="BP55" t="s">
        <v>74</v>
      </c>
      <c r="BQ55" t="s">
        <v>74</v>
      </c>
      <c r="BR55" t="s">
        <v>103</v>
      </c>
      <c r="BS55" t="s">
        <v>1206</v>
      </c>
      <c r="BT55" t="str">
        <f>HYPERLINK("https%3A%2F%2Fwww.webofscience.com%2Fwos%2Fwoscc%2Ffull-record%2FWOS:000266252900008","View Full Record in Web of Science")</f>
        <v>View Full Record in Web of Science</v>
      </c>
    </row>
    <row r="56" spans="1:72" x14ac:dyDescent="0.15">
      <c r="A56" t="s">
        <v>72</v>
      </c>
      <c r="B56" t="s">
        <v>1207</v>
      </c>
      <c r="C56" t="s">
        <v>74</v>
      </c>
      <c r="D56" t="s">
        <v>74</v>
      </c>
      <c r="E56" t="s">
        <v>74</v>
      </c>
      <c r="F56" t="s">
        <v>1208</v>
      </c>
      <c r="G56" t="s">
        <v>74</v>
      </c>
      <c r="H56" t="s">
        <v>74</v>
      </c>
      <c r="I56" t="s">
        <v>1209</v>
      </c>
      <c r="J56" t="s">
        <v>1083</v>
      </c>
      <c r="K56" t="s">
        <v>74</v>
      </c>
      <c r="L56" t="s">
        <v>74</v>
      </c>
      <c r="M56" t="s">
        <v>78</v>
      </c>
      <c r="N56" t="s">
        <v>79</v>
      </c>
      <c r="O56" t="s">
        <v>74</v>
      </c>
      <c r="P56" t="s">
        <v>74</v>
      </c>
      <c r="Q56" t="s">
        <v>74</v>
      </c>
      <c r="R56" t="s">
        <v>74</v>
      </c>
      <c r="S56" t="s">
        <v>74</v>
      </c>
      <c r="T56" t="s">
        <v>74</v>
      </c>
      <c r="U56" t="s">
        <v>1210</v>
      </c>
      <c r="V56" t="s">
        <v>1211</v>
      </c>
      <c r="W56" t="s">
        <v>1212</v>
      </c>
      <c r="X56" t="s">
        <v>1213</v>
      </c>
      <c r="Y56" t="s">
        <v>1214</v>
      </c>
      <c r="Z56" t="s">
        <v>1215</v>
      </c>
      <c r="AA56" t="s">
        <v>74</v>
      </c>
      <c r="AB56" t="s">
        <v>74</v>
      </c>
      <c r="AC56" t="s">
        <v>1216</v>
      </c>
      <c r="AD56" t="s">
        <v>1217</v>
      </c>
      <c r="AE56" t="s">
        <v>1218</v>
      </c>
      <c r="AF56" t="s">
        <v>74</v>
      </c>
      <c r="AG56">
        <v>47</v>
      </c>
      <c r="AH56">
        <v>16</v>
      </c>
      <c r="AI56">
        <v>18</v>
      </c>
      <c r="AJ56">
        <v>0</v>
      </c>
      <c r="AK56">
        <v>42</v>
      </c>
      <c r="AL56" t="s">
        <v>1167</v>
      </c>
      <c r="AM56" t="s">
        <v>1168</v>
      </c>
      <c r="AN56" t="s">
        <v>1169</v>
      </c>
      <c r="AO56" t="s">
        <v>1098</v>
      </c>
      <c r="AP56" t="s">
        <v>1121</v>
      </c>
      <c r="AQ56" t="s">
        <v>74</v>
      </c>
      <c r="AR56" t="s">
        <v>1099</v>
      </c>
      <c r="AS56" t="s">
        <v>1100</v>
      </c>
      <c r="AT56" t="s">
        <v>1077</v>
      </c>
      <c r="AU56">
        <v>2009</v>
      </c>
      <c r="AV56">
        <v>41</v>
      </c>
      <c r="AW56">
        <v>2</v>
      </c>
      <c r="AX56" t="s">
        <v>74</v>
      </c>
      <c r="AY56" t="s">
        <v>74</v>
      </c>
      <c r="AZ56" t="s">
        <v>74</v>
      </c>
      <c r="BA56" t="s">
        <v>74</v>
      </c>
      <c r="BB56">
        <v>228</v>
      </c>
      <c r="BC56">
        <v>237</v>
      </c>
      <c r="BD56" t="s">
        <v>74</v>
      </c>
      <c r="BE56" t="s">
        <v>1219</v>
      </c>
      <c r="BF56" t="str">
        <f>HYPERLINK("http://dx.doi.org/10.1657/1938-4246-41.2.228","http://dx.doi.org/10.1657/1938-4246-41.2.228")</f>
        <v>http://dx.doi.org/10.1657/1938-4246-41.2.228</v>
      </c>
      <c r="BG56" t="s">
        <v>74</v>
      </c>
      <c r="BH56" t="s">
        <v>74</v>
      </c>
      <c r="BI56">
        <v>10</v>
      </c>
      <c r="BJ56" t="s">
        <v>1102</v>
      </c>
      <c r="BK56" t="s">
        <v>100</v>
      </c>
      <c r="BL56" t="s">
        <v>1104</v>
      </c>
      <c r="BM56" t="s">
        <v>1105</v>
      </c>
      <c r="BN56" t="s">
        <v>74</v>
      </c>
      <c r="BO56" t="s">
        <v>1137</v>
      </c>
      <c r="BP56" t="s">
        <v>74</v>
      </c>
      <c r="BQ56" t="s">
        <v>74</v>
      </c>
      <c r="BR56" t="s">
        <v>103</v>
      </c>
      <c r="BS56" t="s">
        <v>1220</v>
      </c>
      <c r="BT56" t="str">
        <f>HYPERLINK("https%3A%2F%2Fwww.webofscience.com%2Fwos%2Fwoscc%2Ffull-record%2FWOS:000266252900009","View Full Record in Web of Science")</f>
        <v>View Full Record in Web of Science</v>
      </c>
    </row>
    <row r="57" spans="1:72" x14ac:dyDescent="0.15">
      <c r="A57" t="s">
        <v>72</v>
      </c>
      <c r="B57" t="s">
        <v>1221</v>
      </c>
      <c r="C57" t="s">
        <v>74</v>
      </c>
      <c r="D57" t="s">
        <v>74</v>
      </c>
      <c r="E57" t="s">
        <v>74</v>
      </c>
      <c r="F57" t="s">
        <v>1222</v>
      </c>
      <c r="G57" t="s">
        <v>74</v>
      </c>
      <c r="H57" t="s">
        <v>74</v>
      </c>
      <c r="I57" t="s">
        <v>1223</v>
      </c>
      <c r="J57" t="s">
        <v>1083</v>
      </c>
      <c r="K57" t="s">
        <v>74</v>
      </c>
      <c r="L57" t="s">
        <v>74</v>
      </c>
      <c r="M57" t="s">
        <v>78</v>
      </c>
      <c r="N57" t="s">
        <v>79</v>
      </c>
      <c r="O57" t="s">
        <v>74</v>
      </c>
      <c r="P57" t="s">
        <v>74</v>
      </c>
      <c r="Q57" t="s">
        <v>74</v>
      </c>
      <c r="R57" t="s">
        <v>74</v>
      </c>
      <c r="S57" t="s">
        <v>74</v>
      </c>
      <c r="T57" t="s">
        <v>74</v>
      </c>
      <c r="U57" t="s">
        <v>1224</v>
      </c>
      <c r="V57" t="s">
        <v>1225</v>
      </c>
      <c r="W57" t="s">
        <v>1226</v>
      </c>
      <c r="X57" t="s">
        <v>1227</v>
      </c>
      <c r="Y57" t="s">
        <v>1228</v>
      </c>
      <c r="Z57" t="s">
        <v>1229</v>
      </c>
      <c r="AA57" t="s">
        <v>74</v>
      </c>
      <c r="AB57" t="s">
        <v>74</v>
      </c>
      <c r="AC57" t="s">
        <v>1230</v>
      </c>
      <c r="AD57" t="s">
        <v>1231</v>
      </c>
      <c r="AE57" t="s">
        <v>1232</v>
      </c>
      <c r="AF57" t="s">
        <v>74</v>
      </c>
      <c r="AG57">
        <v>50</v>
      </c>
      <c r="AH57">
        <v>16</v>
      </c>
      <c r="AI57">
        <v>18</v>
      </c>
      <c r="AJ57">
        <v>0</v>
      </c>
      <c r="AK57">
        <v>26</v>
      </c>
      <c r="AL57" t="s">
        <v>1167</v>
      </c>
      <c r="AM57" t="s">
        <v>1168</v>
      </c>
      <c r="AN57" t="s">
        <v>1169</v>
      </c>
      <c r="AO57" t="s">
        <v>1098</v>
      </c>
      <c r="AP57" t="s">
        <v>1121</v>
      </c>
      <c r="AQ57" t="s">
        <v>74</v>
      </c>
      <c r="AR57" t="s">
        <v>1099</v>
      </c>
      <c r="AS57" t="s">
        <v>1100</v>
      </c>
      <c r="AT57" t="s">
        <v>1077</v>
      </c>
      <c r="AU57">
        <v>2009</v>
      </c>
      <c r="AV57">
        <v>41</v>
      </c>
      <c r="AW57">
        <v>2</v>
      </c>
      <c r="AX57" t="s">
        <v>74</v>
      </c>
      <c r="AY57" t="s">
        <v>74</v>
      </c>
      <c r="AZ57" t="s">
        <v>74</v>
      </c>
      <c r="BA57" t="s">
        <v>74</v>
      </c>
      <c r="BB57">
        <v>238</v>
      </c>
      <c r="BC57">
        <v>245</v>
      </c>
      <c r="BD57" t="s">
        <v>74</v>
      </c>
      <c r="BE57" t="s">
        <v>1233</v>
      </c>
      <c r="BF57" t="str">
        <f>HYPERLINK("http://dx.doi.org/10.1657/1938-4246-41.2.238","http://dx.doi.org/10.1657/1938-4246-41.2.238")</f>
        <v>http://dx.doi.org/10.1657/1938-4246-41.2.238</v>
      </c>
      <c r="BG57" t="s">
        <v>74</v>
      </c>
      <c r="BH57" t="s">
        <v>74</v>
      </c>
      <c r="BI57">
        <v>8</v>
      </c>
      <c r="BJ57" t="s">
        <v>1102</v>
      </c>
      <c r="BK57" t="s">
        <v>100</v>
      </c>
      <c r="BL57" t="s">
        <v>1104</v>
      </c>
      <c r="BM57" t="s">
        <v>1105</v>
      </c>
      <c r="BN57" t="s">
        <v>74</v>
      </c>
      <c r="BO57" t="s">
        <v>1106</v>
      </c>
      <c r="BP57" t="s">
        <v>74</v>
      </c>
      <c r="BQ57" t="s">
        <v>74</v>
      </c>
      <c r="BR57" t="s">
        <v>103</v>
      </c>
      <c r="BS57" t="s">
        <v>1234</v>
      </c>
      <c r="BT57" t="str">
        <f>HYPERLINK("https%3A%2F%2Fwww.webofscience.com%2Fwos%2Fwoscc%2Ffull-record%2FWOS:000266252900010","View Full Record in Web of Science")</f>
        <v>View Full Record in Web of Science</v>
      </c>
    </row>
    <row r="58" spans="1:72" x14ac:dyDescent="0.15">
      <c r="A58" t="s">
        <v>72</v>
      </c>
      <c r="B58" t="s">
        <v>1235</v>
      </c>
      <c r="C58" t="s">
        <v>74</v>
      </c>
      <c r="D58" t="s">
        <v>74</v>
      </c>
      <c r="E58" t="s">
        <v>74</v>
      </c>
      <c r="F58" t="s">
        <v>1236</v>
      </c>
      <c r="G58" t="s">
        <v>74</v>
      </c>
      <c r="H58" t="s">
        <v>74</v>
      </c>
      <c r="I58" t="s">
        <v>1237</v>
      </c>
      <c r="J58" t="s">
        <v>1083</v>
      </c>
      <c r="K58" t="s">
        <v>74</v>
      </c>
      <c r="L58" t="s">
        <v>74</v>
      </c>
      <c r="M58" t="s">
        <v>78</v>
      </c>
      <c r="N58" t="s">
        <v>79</v>
      </c>
      <c r="O58" t="s">
        <v>74</v>
      </c>
      <c r="P58" t="s">
        <v>74</v>
      </c>
      <c r="Q58" t="s">
        <v>74</v>
      </c>
      <c r="R58" t="s">
        <v>74</v>
      </c>
      <c r="S58" t="s">
        <v>74</v>
      </c>
      <c r="T58" t="s">
        <v>74</v>
      </c>
      <c r="U58" t="s">
        <v>1238</v>
      </c>
      <c r="V58" t="s">
        <v>1239</v>
      </c>
      <c r="W58" t="s">
        <v>1240</v>
      </c>
      <c r="X58" t="s">
        <v>1241</v>
      </c>
      <c r="Y58" t="s">
        <v>1242</v>
      </c>
      <c r="Z58" t="s">
        <v>1243</v>
      </c>
      <c r="AA58" t="s">
        <v>74</v>
      </c>
      <c r="AB58" t="s">
        <v>74</v>
      </c>
      <c r="AC58" t="s">
        <v>1244</v>
      </c>
      <c r="AD58" t="s">
        <v>1245</v>
      </c>
      <c r="AE58" t="s">
        <v>1246</v>
      </c>
      <c r="AF58" t="s">
        <v>74</v>
      </c>
      <c r="AG58">
        <v>28</v>
      </c>
      <c r="AH58">
        <v>9</v>
      </c>
      <c r="AI58">
        <v>10</v>
      </c>
      <c r="AJ58">
        <v>0</v>
      </c>
      <c r="AK58">
        <v>5</v>
      </c>
      <c r="AL58" t="s">
        <v>1095</v>
      </c>
      <c r="AM58" t="s">
        <v>1096</v>
      </c>
      <c r="AN58" t="s">
        <v>1097</v>
      </c>
      <c r="AO58" t="s">
        <v>1098</v>
      </c>
      <c r="AP58" t="s">
        <v>74</v>
      </c>
      <c r="AQ58" t="s">
        <v>74</v>
      </c>
      <c r="AR58" t="s">
        <v>1099</v>
      </c>
      <c r="AS58" t="s">
        <v>1100</v>
      </c>
      <c r="AT58" t="s">
        <v>1077</v>
      </c>
      <c r="AU58">
        <v>2009</v>
      </c>
      <c r="AV58">
        <v>41</v>
      </c>
      <c r="AW58">
        <v>2</v>
      </c>
      <c r="AX58" t="s">
        <v>74</v>
      </c>
      <c r="AY58" t="s">
        <v>74</v>
      </c>
      <c r="AZ58" t="s">
        <v>74</v>
      </c>
      <c r="BA58" t="s">
        <v>74</v>
      </c>
      <c r="BB58">
        <v>246</v>
      </c>
      <c r="BC58">
        <v>256</v>
      </c>
      <c r="BD58" t="s">
        <v>74</v>
      </c>
      <c r="BE58" t="s">
        <v>1247</v>
      </c>
      <c r="BF58" t="str">
        <f>HYPERLINK("http://dx.doi.org/10.1657/1938-4246-41.2.246","http://dx.doi.org/10.1657/1938-4246-41.2.246")</f>
        <v>http://dx.doi.org/10.1657/1938-4246-41.2.246</v>
      </c>
      <c r="BG58" t="s">
        <v>74</v>
      </c>
      <c r="BH58" t="s">
        <v>74</v>
      </c>
      <c r="BI58">
        <v>11</v>
      </c>
      <c r="BJ58" t="s">
        <v>1102</v>
      </c>
      <c r="BK58" t="s">
        <v>100</v>
      </c>
      <c r="BL58" t="s">
        <v>1104</v>
      </c>
      <c r="BM58" t="s">
        <v>1105</v>
      </c>
      <c r="BN58" t="s">
        <v>74</v>
      </c>
      <c r="BO58" t="s">
        <v>1036</v>
      </c>
      <c r="BP58" t="s">
        <v>74</v>
      </c>
      <c r="BQ58" t="s">
        <v>74</v>
      </c>
      <c r="BR58" t="s">
        <v>103</v>
      </c>
      <c r="BS58" t="s">
        <v>1248</v>
      </c>
      <c r="BT58" t="str">
        <f>HYPERLINK("https%3A%2F%2Fwww.webofscience.com%2Fwos%2Fwoscc%2Ffull-record%2FWOS:000266252900011","View Full Record in Web of Science")</f>
        <v>View Full Record in Web of Science</v>
      </c>
    </row>
    <row r="59" spans="1:72" x14ac:dyDescent="0.15">
      <c r="A59" t="s">
        <v>72</v>
      </c>
      <c r="B59" t="s">
        <v>1249</v>
      </c>
      <c r="C59" t="s">
        <v>74</v>
      </c>
      <c r="D59" t="s">
        <v>74</v>
      </c>
      <c r="E59" t="s">
        <v>74</v>
      </c>
      <c r="F59" t="s">
        <v>1250</v>
      </c>
      <c r="G59" t="s">
        <v>74</v>
      </c>
      <c r="H59" t="s">
        <v>74</v>
      </c>
      <c r="I59" t="s">
        <v>1251</v>
      </c>
      <c r="J59" t="s">
        <v>1083</v>
      </c>
      <c r="K59" t="s">
        <v>74</v>
      </c>
      <c r="L59" t="s">
        <v>74</v>
      </c>
      <c r="M59" t="s">
        <v>78</v>
      </c>
      <c r="N59" t="s">
        <v>79</v>
      </c>
      <c r="O59" t="s">
        <v>74</v>
      </c>
      <c r="P59" t="s">
        <v>74</v>
      </c>
      <c r="Q59" t="s">
        <v>74</v>
      </c>
      <c r="R59" t="s">
        <v>74</v>
      </c>
      <c r="S59" t="s">
        <v>74</v>
      </c>
      <c r="T59" t="s">
        <v>74</v>
      </c>
      <c r="U59" t="s">
        <v>1252</v>
      </c>
      <c r="V59" t="s">
        <v>1253</v>
      </c>
      <c r="W59" t="s">
        <v>1254</v>
      </c>
      <c r="X59" t="s">
        <v>1255</v>
      </c>
      <c r="Y59" t="s">
        <v>1256</v>
      </c>
      <c r="Z59" t="s">
        <v>1257</v>
      </c>
      <c r="AA59" t="s">
        <v>74</v>
      </c>
      <c r="AB59" t="s">
        <v>1258</v>
      </c>
      <c r="AC59" t="s">
        <v>1259</v>
      </c>
      <c r="AD59" t="s">
        <v>1026</v>
      </c>
      <c r="AE59" t="s">
        <v>1260</v>
      </c>
      <c r="AF59" t="s">
        <v>74</v>
      </c>
      <c r="AG59">
        <v>64</v>
      </c>
      <c r="AH59">
        <v>14</v>
      </c>
      <c r="AI59">
        <v>17</v>
      </c>
      <c r="AJ59">
        <v>0</v>
      </c>
      <c r="AK59">
        <v>4</v>
      </c>
      <c r="AL59" t="s">
        <v>1167</v>
      </c>
      <c r="AM59" t="s">
        <v>1168</v>
      </c>
      <c r="AN59" t="s">
        <v>1169</v>
      </c>
      <c r="AO59" t="s">
        <v>1098</v>
      </c>
      <c r="AP59" t="s">
        <v>1121</v>
      </c>
      <c r="AQ59" t="s">
        <v>74</v>
      </c>
      <c r="AR59" t="s">
        <v>1099</v>
      </c>
      <c r="AS59" t="s">
        <v>1100</v>
      </c>
      <c r="AT59" t="s">
        <v>1077</v>
      </c>
      <c r="AU59">
        <v>2009</v>
      </c>
      <c r="AV59">
        <v>41</v>
      </c>
      <c r="AW59">
        <v>2</v>
      </c>
      <c r="AX59" t="s">
        <v>74</v>
      </c>
      <c r="AY59" t="s">
        <v>74</v>
      </c>
      <c r="AZ59" t="s">
        <v>74</v>
      </c>
      <c r="BA59" t="s">
        <v>74</v>
      </c>
      <c r="BB59">
        <v>257</v>
      </c>
      <c r="BC59">
        <v>271</v>
      </c>
      <c r="BD59" t="s">
        <v>74</v>
      </c>
      <c r="BE59" t="s">
        <v>1261</v>
      </c>
      <c r="BF59" t="str">
        <f>HYPERLINK("http://dx.doi.org/10.1657/1938-4246-41.2.257","http://dx.doi.org/10.1657/1938-4246-41.2.257")</f>
        <v>http://dx.doi.org/10.1657/1938-4246-41.2.257</v>
      </c>
      <c r="BG59" t="s">
        <v>74</v>
      </c>
      <c r="BH59" t="s">
        <v>74</v>
      </c>
      <c r="BI59">
        <v>15</v>
      </c>
      <c r="BJ59" t="s">
        <v>1102</v>
      </c>
      <c r="BK59" t="s">
        <v>100</v>
      </c>
      <c r="BL59" t="s">
        <v>1104</v>
      </c>
      <c r="BM59" t="s">
        <v>1105</v>
      </c>
      <c r="BN59" t="s">
        <v>74</v>
      </c>
      <c r="BO59" t="s">
        <v>1137</v>
      </c>
      <c r="BP59" t="s">
        <v>74</v>
      </c>
      <c r="BQ59" t="s">
        <v>74</v>
      </c>
      <c r="BR59" t="s">
        <v>103</v>
      </c>
      <c r="BS59" t="s">
        <v>1262</v>
      </c>
      <c r="BT59" t="str">
        <f>HYPERLINK("https%3A%2F%2Fwww.webofscience.com%2Fwos%2Fwoscc%2Ffull-record%2FWOS:000266252900012","View Full Record in Web of Science")</f>
        <v>View Full Record in Web of Science</v>
      </c>
    </row>
    <row r="60" spans="1:72" x14ac:dyDescent="0.15">
      <c r="A60" t="s">
        <v>72</v>
      </c>
      <c r="B60" t="s">
        <v>1263</v>
      </c>
      <c r="C60" t="s">
        <v>74</v>
      </c>
      <c r="D60" t="s">
        <v>74</v>
      </c>
      <c r="E60" t="s">
        <v>74</v>
      </c>
      <c r="F60" t="s">
        <v>1264</v>
      </c>
      <c r="G60" t="s">
        <v>74</v>
      </c>
      <c r="H60" t="s">
        <v>74</v>
      </c>
      <c r="I60" t="s">
        <v>1265</v>
      </c>
      <c r="J60" t="s">
        <v>1083</v>
      </c>
      <c r="K60" t="s">
        <v>74</v>
      </c>
      <c r="L60" t="s">
        <v>74</v>
      </c>
      <c r="M60" t="s">
        <v>78</v>
      </c>
      <c r="N60" t="s">
        <v>79</v>
      </c>
      <c r="O60" t="s">
        <v>74</v>
      </c>
      <c r="P60" t="s">
        <v>74</v>
      </c>
      <c r="Q60" t="s">
        <v>74</v>
      </c>
      <c r="R60" t="s">
        <v>74</v>
      </c>
      <c r="S60" t="s">
        <v>74</v>
      </c>
      <c r="T60" t="s">
        <v>74</v>
      </c>
      <c r="U60" t="s">
        <v>1266</v>
      </c>
      <c r="V60" t="s">
        <v>1267</v>
      </c>
      <c r="W60" t="s">
        <v>1268</v>
      </c>
      <c r="X60" t="s">
        <v>1269</v>
      </c>
      <c r="Y60" t="s">
        <v>1270</v>
      </c>
      <c r="Z60" t="s">
        <v>1271</v>
      </c>
      <c r="AA60" t="s">
        <v>1272</v>
      </c>
      <c r="AB60" t="s">
        <v>1273</v>
      </c>
      <c r="AC60" t="s">
        <v>1274</v>
      </c>
      <c r="AD60" t="s">
        <v>1275</v>
      </c>
      <c r="AE60" t="s">
        <v>1276</v>
      </c>
      <c r="AF60" t="s">
        <v>74</v>
      </c>
      <c r="AG60">
        <v>42</v>
      </c>
      <c r="AH60">
        <v>32</v>
      </c>
      <c r="AI60">
        <v>32</v>
      </c>
      <c r="AJ60">
        <v>0</v>
      </c>
      <c r="AK60">
        <v>45</v>
      </c>
      <c r="AL60" t="s">
        <v>1167</v>
      </c>
      <c r="AM60" t="s">
        <v>1168</v>
      </c>
      <c r="AN60" t="s">
        <v>1169</v>
      </c>
      <c r="AO60" t="s">
        <v>1098</v>
      </c>
      <c r="AP60" t="s">
        <v>1121</v>
      </c>
      <c r="AQ60" t="s">
        <v>74</v>
      </c>
      <c r="AR60" t="s">
        <v>1099</v>
      </c>
      <c r="AS60" t="s">
        <v>1100</v>
      </c>
      <c r="AT60" t="s">
        <v>1077</v>
      </c>
      <c r="AU60">
        <v>2009</v>
      </c>
      <c r="AV60">
        <v>41</v>
      </c>
      <c r="AW60">
        <v>2</v>
      </c>
      <c r="AX60" t="s">
        <v>74</v>
      </c>
      <c r="AY60" t="s">
        <v>74</v>
      </c>
      <c r="AZ60" t="s">
        <v>74</v>
      </c>
      <c r="BA60" t="s">
        <v>74</v>
      </c>
      <c r="BB60">
        <v>272</v>
      </c>
      <c r="BC60">
        <v>279</v>
      </c>
      <c r="BD60" t="s">
        <v>74</v>
      </c>
      <c r="BE60" t="s">
        <v>1277</v>
      </c>
      <c r="BF60" t="str">
        <f>HYPERLINK("http://dx.doi.org/10.1657/1938-4246-41.2.272","http://dx.doi.org/10.1657/1938-4246-41.2.272")</f>
        <v>http://dx.doi.org/10.1657/1938-4246-41.2.272</v>
      </c>
      <c r="BG60" t="s">
        <v>74</v>
      </c>
      <c r="BH60" t="s">
        <v>74</v>
      </c>
      <c r="BI60">
        <v>8</v>
      </c>
      <c r="BJ60" t="s">
        <v>1102</v>
      </c>
      <c r="BK60" t="s">
        <v>100</v>
      </c>
      <c r="BL60" t="s">
        <v>1104</v>
      </c>
      <c r="BM60" t="s">
        <v>1105</v>
      </c>
      <c r="BN60" t="s">
        <v>74</v>
      </c>
      <c r="BO60" t="s">
        <v>1137</v>
      </c>
      <c r="BP60" t="s">
        <v>74</v>
      </c>
      <c r="BQ60" t="s">
        <v>74</v>
      </c>
      <c r="BR60" t="s">
        <v>103</v>
      </c>
      <c r="BS60" t="s">
        <v>1278</v>
      </c>
      <c r="BT60" t="str">
        <f>HYPERLINK("https%3A%2F%2Fwww.webofscience.com%2Fwos%2Fwoscc%2Ffull-record%2FWOS:000266252900013","View Full Record in Web of Science")</f>
        <v>View Full Record in Web of Science</v>
      </c>
    </row>
    <row r="61" spans="1:72" x14ac:dyDescent="0.15">
      <c r="A61" t="s">
        <v>72</v>
      </c>
      <c r="B61" t="s">
        <v>1279</v>
      </c>
      <c r="C61" t="s">
        <v>74</v>
      </c>
      <c r="D61" t="s">
        <v>74</v>
      </c>
      <c r="E61" t="s">
        <v>74</v>
      </c>
      <c r="F61" t="s">
        <v>1280</v>
      </c>
      <c r="G61" t="s">
        <v>74</v>
      </c>
      <c r="H61" t="s">
        <v>74</v>
      </c>
      <c r="I61" t="s">
        <v>1281</v>
      </c>
      <c r="J61" t="s">
        <v>1282</v>
      </c>
      <c r="K61" t="s">
        <v>74</v>
      </c>
      <c r="L61" t="s">
        <v>74</v>
      </c>
      <c r="M61" t="s">
        <v>78</v>
      </c>
      <c r="N61" t="s">
        <v>79</v>
      </c>
      <c r="O61" t="s">
        <v>74</v>
      </c>
      <c r="P61" t="s">
        <v>74</v>
      </c>
      <c r="Q61" t="s">
        <v>74</v>
      </c>
      <c r="R61" t="s">
        <v>74</v>
      </c>
      <c r="S61" t="s">
        <v>74</v>
      </c>
      <c r="T61" t="s">
        <v>1283</v>
      </c>
      <c r="U61" t="s">
        <v>1284</v>
      </c>
      <c r="V61" t="s">
        <v>1285</v>
      </c>
      <c r="W61" t="s">
        <v>1286</v>
      </c>
      <c r="X61" t="s">
        <v>74</v>
      </c>
      <c r="Y61" t="s">
        <v>1287</v>
      </c>
      <c r="Z61" t="s">
        <v>1288</v>
      </c>
      <c r="AA61" t="s">
        <v>74</v>
      </c>
      <c r="AB61" t="s">
        <v>74</v>
      </c>
      <c r="AC61" t="s">
        <v>1289</v>
      </c>
      <c r="AD61" t="s">
        <v>1290</v>
      </c>
      <c r="AE61" t="s">
        <v>1291</v>
      </c>
      <c r="AF61" t="s">
        <v>74</v>
      </c>
      <c r="AG61">
        <v>46</v>
      </c>
      <c r="AH61">
        <v>3</v>
      </c>
      <c r="AI61">
        <v>3</v>
      </c>
      <c r="AJ61">
        <v>0</v>
      </c>
      <c r="AK61">
        <v>2</v>
      </c>
      <c r="AL61" t="s">
        <v>1292</v>
      </c>
      <c r="AM61" t="s">
        <v>1293</v>
      </c>
      <c r="AN61" t="s">
        <v>1294</v>
      </c>
      <c r="AO61" t="s">
        <v>1295</v>
      </c>
      <c r="AP61" t="s">
        <v>1296</v>
      </c>
      <c r="AQ61" t="s">
        <v>74</v>
      </c>
      <c r="AR61" t="s">
        <v>1297</v>
      </c>
      <c r="AS61" t="s">
        <v>1298</v>
      </c>
      <c r="AT61" t="s">
        <v>1077</v>
      </c>
      <c r="AU61">
        <v>2009</v>
      </c>
      <c r="AV61">
        <v>330</v>
      </c>
      <c r="AW61">
        <v>4</v>
      </c>
      <c r="AX61" t="s">
        <v>74</v>
      </c>
      <c r="AY61" t="s">
        <v>74</v>
      </c>
      <c r="AZ61" t="s">
        <v>74</v>
      </c>
      <c r="BA61" t="s">
        <v>74</v>
      </c>
      <c r="BB61">
        <v>330</v>
      </c>
      <c r="BC61">
        <v>345</v>
      </c>
      <c r="BD61" t="s">
        <v>74</v>
      </c>
      <c r="BE61" t="s">
        <v>1299</v>
      </c>
      <c r="BF61" t="str">
        <f>HYPERLINK("http://dx.doi.org/10.1002/asna.200811189","http://dx.doi.org/10.1002/asna.200811189")</f>
        <v>http://dx.doi.org/10.1002/asna.200811189</v>
      </c>
      <c r="BG61" t="s">
        <v>74</v>
      </c>
      <c r="BH61" t="s">
        <v>74</v>
      </c>
      <c r="BI61">
        <v>16</v>
      </c>
      <c r="BJ61" t="s">
        <v>285</v>
      </c>
      <c r="BK61" t="s">
        <v>100</v>
      </c>
      <c r="BL61" t="s">
        <v>285</v>
      </c>
      <c r="BM61" t="s">
        <v>1300</v>
      </c>
      <c r="BN61" t="s">
        <v>74</v>
      </c>
      <c r="BO61" t="s">
        <v>74</v>
      </c>
      <c r="BP61" t="s">
        <v>74</v>
      </c>
      <c r="BQ61" t="s">
        <v>74</v>
      </c>
      <c r="BR61" t="s">
        <v>103</v>
      </c>
      <c r="BS61" t="s">
        <v>1301</v>
      </c>
      <c r="BT61" t="str">
        <f>HYPERLINK("https%3A%2F%2Fwww.webofscience.com%2Fwos%2Fwoscc%2Ffull-record%2FWOS:000266479600003","View Full Record in Web of Science")</f>
        <v>View Full Record in Web of Science</v>
      </c>
    </row>
    <row r="62" spans="1:72" x14ac:dyDescent="0.15">
      <c r="A62" t="s">
        <v>72</v>
      </c>
      <c r="B62" t="s">
        <v>1302</v>
      </c>
      <c r="C62" t="s">
        <v>74</v>
      </c>
      <c r="D62" t="s">
        <v>74</v>
      </c>
      <c r="E62" t="s">
        <v>74</v>
      </c>
      <c r="F62" t="s">
        <v>1303</v>
      </c>
      <c r="G62" t="s">
        <v>74</v>
      </c>
      <c r="H62" t="s">
        <v>74</v>
      </c>
      <c r="I62" t="s">
        <v>1304</v>
      </c>
      <c r="J62" t="s">
        <v>1305</v>
      </c>
      <c r="K62" t="s">
        <v>74</v>
      </c>
      <c r="L62" t="s">
        <v>74</v>
      </c>
      <c r="M62" t="s">
        <v>78</v>
      </c>
      <c r="N62" t="s">
        <v>79</v>
      </c>
      <c r="O62" t="s">
        <v>74</v>
      </c>
      <c r="P62" t="s">
        <v>74</v>
      </c>
      <c r="Q62" t="s">
        <v>74</v>
      </c>
      <c r="R62" t="s">
        <v>74</v>
      </c>
      <c r="S62" t="s">
        <v>74</v>
      </c>
      <c r="T62" t="s">
        <v>1306</v>
      </c>
      <c r="U62" t="s">
        <v>1307</v>
      </c>
      <c r="V62" t="s">
        <v>1308</v>
      </c>
      <c r="W62" t="s">
        <v>1309</v>
      </c>
      <c r="X62" t="s">
        <v>1310</v>
      </c>
      <c r="Y62" t="s">
        <v>1311</v>
      </c>
      <c r="Z62" t="s">
        <v>1312</v>
      </c>
      <c r="AA62" t="s">
        <v>74</v>
      </c>
      <c r="AB62" t="s">
        <v>74</v>
      </c>
      <c r="AC62" t="s">
        <v>1313</v>
      </c>
      <c r="AD62" t="s">
        <v>1314</v>
      </c>
      <c r="AE62" t="s">
        <v>1315</v>
      </c>
      <c r="AF62" t="s">
        <v>74</v>
      </c>
      <c r="AG62">
        <v>45</v>
      </c>
      <c r="AH62">
        <v>42</v>
      </c>
      <c r="AI62">
        <v>56</v>
      </c>
      <c r="AJ62">
        <v>7</v>
      </c>
      <c r="AK62">
        <v>78</v>
      </c>
      <c r="AL62" t="s">
        <v>303</v>
      </c>
      <c r="AM62" t="s">
        <v>304</v>
      </c>
      <c r="AN62" t="s">
        <v>305</v>
      </c>
      <c r="AO62" t="s">
        <v>1316</v>
      </c>
      <c r="AP62" t="s">
        <v>1317</v>
      </c>
      <c r="AQ62" t="s">
        <v>74</v>
      </c>
      <c r="AR62" t="s">
        <v>1318</v>
      </c>
      <c r="AS62" t="s">
        <v>1319</v>
      </c>
      <c r="AT62" t="s">
        <v>1077</v>
      </c>
      <c r="AU62">
        <v>2009</v>
      </c>
      <c r="AV62">
        <v>43</v>
      </c>
      <c r="AW62">
        <v>14</v>
      </c>
      <c r="AX62" t="s">
        <v>74</v>
      </c>
      <c r="AY62" t="s">
        <v>74</v>
      </c>
      <c r="AZ62" t="s">
        <v>74</v>
      </c>
      <c r="BA62" t="s">
        <v>74</v>
      </c>
      <c r="BB62">
        <v>2336</v>
      </c>
      <c r="BC62">
        <v>2347</v>
      </c>
      <c r="BD62" t="s">
        <v>74</v>
      </c>
      <c r="BE62" t="s">
        <v>1320</v>
      </c>
      <c r="BF62" t="str">
        <f>HYPERLINK("http://dx.doi.org/10.1016/j.atmosenv.2009.01.027","http://dx.doi.org/10.1016/j.atmosenv.2009.01.027")</f>
        <v>http://dx.doi.org/10.1016/j.atmosenv.2009.01.027</v>
      </c>
      <c r="BG62" t="s">
        <v>74</v>
      </c>
      <c r="BH62" t="s">
        <v>74</v>
      </c>
      <c r="BI62">
        <v>12</v>
      </c>
      <c r="BJ62" t="s">
        <v>1321</v>
      </c>
      <c r="BK62" t="s">
        <v>100</v>
      </c>
      <c r="BL62" t="s">
        <v>1322</v>
      </c>
      <c r="BM62" t="s">
        <v>1323</v>
      </c>
      <c r="BN62" t="s">
        <v>74</v>
      </c>
      <c r="BO62" t="s">
        <v>74</v>
      </c>
      <c r="BP62" t="s">
        <v>74</v>
      </c>
      <c r="BQ62" t="s">
        <v>74</v>
      </c>
      <c r="BR62" t="s">
        <v>103</v>
      </c>
      <c r="BS62" t="s">
        <v>1324</v>
      </c>
      <c r="BT62" t="str">
        <f>HYPERLINK("https%3A%2F%2Fwww.webofscience.com%2Fwos%2Fwoscc%2Ffull-record%2FWOS:000265809300013","View Full Record in Web of Science")</f>
        <v>View Full Record in Web of Science</v>
      </c>
    </row>
    <row r="63" spans="1:72" x14ac:dyDescent="0.15">
      <c r="A63" t="s">
        <v>72</v>
      </c>
      <c r="B63" t="s">
        <v>1325</v>
      </c>
      <c r="C63" t="s">
        <v>74</v>
      </c>
      <c r="D63" t="s">
        <v>74</v>
      </c>
      <c r="E63" t="s">
        <v>74</v>
      </c>
      <c r="F63" t="s">
        <v>1326</v>
      </c>
      <c r="G63" t="s">
        <v>74</v>
      </c>
      <c r="H63" t="s">
        <v>74</v>
      </c>
      <c r="I63" t="s">
        <v>1327</v>
      </c>
      <c r="J63" t="s">
        <v>1328</v>
      </c>
      <c r="K63" t="s">
        <v>74</v>
      </c>
      <c r="L63" t="s">
        <v>74</v>
      </c>
      <c r="M63" t="s">
        <v>78</v>
      </c>
      <c r="N63" t="s">
        <v>79</v>
      </c>
      <c r="O63" t="s">
        <v>74</v>
      </c>
      <c r="P63" t="s">
        <v>74</v>
      </c>
      <c r="Q63" t="s">
        <v>74</v>
      </c>
      <c r="R63" t="s">
        <v>74</v>
      </c>
      <c r="S63" t="s">
        <v>74</v>
      </c>
      <c r="T63" t="s">
        <v>1329</v>
      </c>
      <c r="U63" t="s">
        <v>1330</v>
      </c>
      <c r="V63" t="s">
        <v>1331</v>
      </c>
      <c r="W63" t="s">
        <v>1332</v>
      </c>
      <c r="X63" t="s">
        <v>1333</v>
      </c>
      <c r="Y63" t="s">
        <v>1334</v>
      </c>
      <c r="Z63" t="s">
        <v>1335</v>
      </c>
      <c r="AA63" t="s">
        <v>1336</v>
      </c>
      <c r="AB63" t="s">
        <v>1337</v>
      </c>
      <c r="AC63" t="s">
        <v>1338</v>
      </c>
      <c r="AD63" t="s">
        <v>1339</v>
      </c>
      <c r="AE63" t="s">
        <v>1340</v>
      </c>
      <c r="AF63" t="s">
        <v>74</v>
      </c>
      <c r="AG63">
        <v>69</v>
      </c>
      <c r="AH63">
        <v>45</v>
      </c>
      <c r="AI63">
        <v>49</v>
      </c>
      <c r="AJ63">
        <v>1</v>
      </c>
      <c r="AK63">
        <v>63</v>
      </c>
      <c r="AL63" t="s">
        <v>1341</v>
      </c>
      <c r="AM63" t="s">
        <v>1342</v>
      </c>
      <c r="AN63" t="s">
        <v>1343</v>
      </c>
      <c r="AO63" t="s">
        <v>1344</v>
      </c>
      <c r="AP63" t="s">
        <v>1345</v>
      </c>
      <c r="AQ63" t="s">
        <v>74</v>
      </c>
      <c r="AR63" t="s">
        <v>1346</v>
      </c>
      <c r="AS63" t="s">
        <v>1347</v>
      </c>
      <c r="AT63" t="s">
        <v>1348</v>
      </c>
      <c r="AU63">
        <v>2009</v>
      </c>
      <c r="AV63">
        <v>20</v>
      </c>
      <c r="AW63">
        <v>3</v>
      </c>
      <c r="AX63" t="s">
        <v>74</v>
      </c>
      <c r="AY63" t="s">
        <v>74</v>
      </c>
      <c r="AZ63" t="s">
        <v>74</v>
      </c>
      <c r="BA63" t="s">
        <v>74</v>
      </c>
      <c r="BB63">
        <v>501</v>
      </c>
      <c r="BC63">
        <v>510</v>
      </c>
      <c r="BD63" t="s">
        <v>74</v>
      </c>
      <c r="BE63" t="s">
        <v>1349</v>
      </c>
      <c r="BF63" t="str">
        <f>HYPERLINK("http://dx.doi.org/10.1093/beheco/arp024","http://dx.doi.org/10.1093/beheco/arp024")</f>
        <v>http://dx.doi.org/10.1093/beheco/arp024</v>
      </c>
      <c r="BG63" t="s">
        <v>74</v>
      </c>
      <c r="BH63" t="s">
        <v>74</v>
      </c>
      <c r="BI63">
        <v>10</v>
      </c>
      <c r="BJ63" t="s">
        <v>1350</v>
      </c>
      <c r="BK63" t="s">
        <v>100</v>
      </c>
      <c r="BL63" t="s">
        <v>1351</v>
      </c>
      <c r="BM63" t="s">
        <v>1352</v>
      </c>
      <c r="BN63" t="s">
        <v>74</v>
      </c>
      <c r="BO63" t="s">
        <v>1353</v>
      </c>
      <c r="BP63" t="s">
        <v>74</v>
      </c>
      <c r="BQ63" t="s">
        <v>74</v>
      </c>
      <c r="BR63" t="s">
        <v>103</v>
      </c>
      <c r="BS63" t="s">
        <v>1354</v>
      </c>
      <c r="BT63" t="str">
        <f>HYPERLINK("https%3A%2F%2Fwww.webofscience.com%2Fwos%2Fwoscc%2Ffull-record%2FWOS:000265950200006","View Full Record in Web of Science")</f>
        <v>View Full Record in Web of Science</v>
      </c>
    </row>
    <row r="64" spans="1:72" x14ac:dyDescent="0.15">
      <c r="A64" t="s">
        <v>72</v>
      </c>
      <c r="B64" t="s">
        <v>1355</v>
      </c>
      <c r="C64" t="s">
        <v>74</v>
      </c>
      <c r="D64" t="s">
        <v>74</v>
      </c>
      <c r="E64" t="s">
        <v>74</v>
      </c>
      <c r="F64" t="s">
        <v>1356</v>
      </c>
      <c r="G64" t="s">
        <v>74</v>
      </c>
      <c r="H64" t="s">
        <v>74</v>
      </c>
      <c r="I64" t="s">
        <v>1357</v>
      </c>
      <c r="J64" t="s">
        <v>1358</v>
      </c>
      <c r="K64" t="s">
        <v>74</v>
      </c>
      <c r="L64" t="s">
        <v>74</v>
      </c>
      <c r="M64" t="s">
        <v>78</v>
      </c>
      <c r="N64" t="s">
        <v>79</v>
      </c>
      <c r="O64" t="s">
        <v>74</v>
      </c>
      <c r="P64" t="s">
        <v>74</v>
      </c>
      <c r="Q64" t="s">
        <v>74</v>
      </c>
      <c r="R64" t="s">
        <v>74</v>
      </c>
      <c r="S64" t="s">
        <v>74</v>
      </c>
      <c r="T64" t="s">
        <v>1359</v>
      </c>
      <c r="U64" t="s">
        <v>1360</v>
      </c>
      <c r="V64" t="s">
        <v>1361</v>
      </c>
      <c r="W64" t="s">
        <v>1362</v>
      </c>
      <c r="X64" t="s">
        <v>1363</v>
      </c>
      <c r="Y64" t="s">
        <v>1364</v>
      </c>
      <c r="Z64" t="s">
        <v>1365</v>
      </c>
      <c r="AA64" t="s">
        <v>1366</v>
      </c>
      <c r="AB64" t="s">
        <v>1367</v>
      </c>
      <c r="AC64" t="s">
        <v>1368</v>
      </c>
      <c r="AD64" t="s">
        <v>1369</v>
      </c>
      <c r="AE64" t="s">
        <v>1370</v>
      </c>
      <c r="AF64" t="s">
        <v>74</v>
      </c>
      <c r="AG64">
        <v>20</v>
      </c>
      <c r="AH64">
        <v>1</v>
      </c>
      <c r="AI64">
        <v>1</v>
      </c>
      <c r="AJ64">
        <v>0</v>
      </c>
      <c r="AK64">
        <v>4</v>
      </c>
      <c r="AL64" t="s">
        <v>1371</v>
      </c>
      <c r="AM64" t="s">
        <v>1372</v>
      </c>
      <c r="AN64" t="s">
        <v>1373</v>
      </c>
      <c r="AO64" t="s">
        <v>1374</v>
      </c>
      <c r="AP64" t="s">
        <v>1375</v>
      </c>
      <c r="AQ64" t="s">
        <v>74</v>
      </c>
      <c r="AR64" t="s">
        <v>1376</v>
      </c>
      <c r="AS64" t="s">
        <v>1377</v>
      </c>
      <c r="AT64" t="s">
        <v>1348</v>
      </c>
      <c r="AU64">
        <v>2009</v>
      </c>
      <c r="AV64">
        <v>52</v>
      </c>
      <c r="AW64">
        <v>3</v>
      </c>
      <c r="AX64" t="s">
        <v>74</v>
      </c>
      <c r="AY64" t="s">
        <v>74</v>
      </c>
      <c r="AZ64" t="s">
        <v>74</v>
      </c>
      <c r="BA64" t="s">
        <v>74</v>
      </c>
      <c r="BB64">
        <v>629</v>
      </c>
      <c r="BC64">
        <v>636</v>
      </c>
      <c r="BD64" t="s">
        <v>74</v>
      </c>
      <c r="BE64" t="s">
        <v>1378</v>
      </c>
      <c r="BF64" t="str">
        <f>HYPERLINK("http://dx.doi.org/10.1590/S1516-89132009000300015","http://dx.doi.org/10.1590/S1516-89132009000300015")</f>
        <v>http://dx.doi.org/10.1590/S1516-89132009000300015</v>
      </c>
      <c r="BG64" t="s">
        <v>74</v>
      </c>
      <c r="BH64" t="s">
        <v>74</v>
      </c>
      <c r="BI64">
        <v>8</v>
      </c>
      <c r="BJ64" t="s">
        <v>1379</v>
      </c>
      <c r="BK64" t="s">
        <v>100</v>
      </c>
      <c r="BL64" t="s">
        <v>1380</v>
      </c>
      <c r="BM64" t="s">
        <v>1381</v>
      </c>
      <c r="BN64" t="s">
        <v>74</v>
      </c>
      <c r="BO64" t="s">
        <v>450</v>
      </c>
      <c r="BP64" t="s">
        <v>74</v>
      </c>
      <c r="BQ64" t="s">
        <v>74</v>
      </c>
      <c r="BR64" t="s">
        <v>103</v>
      </c>
      <c r="BS64" t="s">
        <v>1382</v>
      </c>
      <c r="BT64" t="str">
        <f>HYPERLINK("https%3A%2F%2Fwww.webofscience.com%2Fwos%2Fwoscc%2Ffull-record%2FWOS:000268580700015","View Full Record in Web of Science")</f>
        <v>View Full Record in Web of Science</v>
      </c>
    </row>
    <row r="65" spans="1:72" x14ac:dyDescent="0.15">
      <c r="A65" t="s">
        <v>72</v>
      </c>
      <c r="B65" t="s">
        <v>1383</v>
      </c>
      <c r="C65" t="s">
        <v>74</v>
      </c>
      <c r="D65" t="s">
        <v>74</v>
      </c>
      <c r="E65" t="s">
        <v>74</v>
      </c>
      <c r="F65" t="s">
        <v>1384</v>
      </c>
      <c r="G65" t="s">
        <v>74</v>
      </c>
      <c r="H65" t="s">
        <v>74</v>
      </c>
      <c r="I65" t="s">
        <v>1385</v>
      </c>
      <c r="J65" t="s">
        <v>1386</v>
      </c>
      <c r="K65" t="s">
        <v>74</v>
      </c>
      <c r="L65" t="s">
        <v>74</v>
      </c>
      <c r="M65" t="s">
        <v>78</v>
      </c>
      <c r="N65" t="s">
        <v>79</v>
      </c>
      <c r="O65" t="s">
        <v>74</v>
      </c>
      <c r="P65" t="s">
        <v>74</v>
      </c>
      <c r="Q65" t="s">
        <v>74</v>
      </c>
      <c r="R65" t="s">
        <v>74</v>
      </c>
      <c r="S65" t="s">
        <v>74</v>
      </c>
      <c r="T65" t="s">
        <v>74</v>
      </c>
      <c r="U65" t="s">
        <v>1387</v>
      </c>
      <c r="V65" t="s">
        <v>1388</v>
      </c>
      <c r="W65" t="s">
        <v>1389</v>
      </c>
      <c r="X65" t="s">
        <v>1390</v>
      </c>
      <c r="Y65" t="s">
        <v>1391</v>
      </c>
      <c r="Z65" t="s">
        <v>1392</v>
      </c>
      <c r="AA65" t="s">
        <v>1393</v>
      </c>
      <c r="AB65" t="s">
        <v>1394</v>
      </c>
      <c r="AC65" t="s">
        <v>1395</v>
      </c>
      <c r="AD65" t="s">
        <v>1396</v>
      </c>
      <c r="AE65" t="s">
        <v>1397</v>
      </c>
      <c r="AF65" t="s">
        <v>74</v>
      </c>
      <c r="AG65">
        <v>59</v>
      </c>
      <c r="AH65">
        <v>136</v>
      </c>
      <c r="AI65">
        <v>152</v>
      </c>
      <c r="AJ65">
        <v>0</v>
      </c>
      <c r="AK65">
        <v>26</v>
      </c>
      <c r="AL65" t="s">
        <v>1398</v>
      </c>
      <c r="AM65" t="s">
        <v>1399</v>
      </c>
      <c r="AN65" t="s">
        <v>1400</v>
      </c>
      <c r="AO65" t="s">
        <v>1401</v>
      </c>
      <c r="AP65" t="s">
        <v>1402</v>
      </c>
      <c r="AQ65" t="s">
        <v>74</v>
      </c>
      <c r="AR65" t="s">
        <v>1403</v>
      </c>
      <c r="AS65" t="s">
        <v>1404</v>
      </c>
      <c r="AT65" t="s">
        <v>1077</v>
      </c>
      <c r="AU65">
        <v>2009</v>
      </c>
      <c r="AV65">
        <v>90</v>
      </c>
      <c r="AW65">
        <v>5</v>
      </c>
      <c r="AX65" t="s">
        <v>74</v>
      </c>
      <c r="AY65" t="s">
        <v>74</v>
      </c>
      <c r="AZ65" t="s">
        <v>74</v>
      </c>
      <c r="BA65" t="s">
        <v>74</v>
      </c>
      <c r="BB65">
        <v>657</v>
      </c>
      <c r="BC65">
        <v>670</v>
      </c>
      <c r="BD65" t="s">
        <v>74</v>
      </c>
      <c r="BE65" t="s">
        <v>1405</v>
      </c>
      <c r="BF65" t="str">
        <f>HYPERLINK("http://dx.doi.org/10.1175/2008BAMS2667.1","http://dx.doi.org/10.1175/2008BAMS2667.1")</f>
        <v>http://dx.doi.org/10.1175/2008BAMS2667.1</v>
      </c>
      <c r="BG65" t="s">
        <v>74</v>
      </c>
      <c r="BH65" t="s">
        <v>74</v>
      </c>
      <c r="BI65">
        <v>14</v>
      </c>
      <c r="BJ65" t="s">
        <v>398</v>
      </c>
      <c r="BK65" t="s">
        <v>100</v>
      </c>
      <c r="BL65" t="s">
        <v>398</v>
      </c>
      <c r="BM65" t="s">
        <v>1406</v>
      </c>
      <c r="BN65" t="s">
        <v>74</v>
      </c>
      <c r="BO65" t="s">
        <v>1353</v>
      </c>
      <c r="BP65" t="s">
        <v>74</v>
      </c>
      <c r="BQ65" t="s">
        <v>74</v>
      </c>
      <c r="BR65" t="s">
        <v>103</v>
      </c>
      <c r="BS65" t="s">
        <v>1407</v>
      </c>
      <c r="BT65" t="str">
        <f>HYPERLINK("https%3A%2F%2Fwww.webofscience.com%2Fwos%2Fwoscc%2Ffull-record%2FWOS:000267354800007","View Full Record in Web of Science")</f>
        <v>View Full Record in Web of Science</v>
      </c>
    </row>
    <row r="66" spans="1:72" x14ac:dyDescent="0.15">
      <c r="A66" t="s">
        <v>72</v>
      </c>
      <c r="B66" t="s">
        <v>1408</v>
      </c>
      <c r="C66" t="s">
        <v>74</v>
      </c>
      <c r="D66" t="s">
        <v>74</v>
      </c>
      <c r="E66" t="s">
        <v>74</v>
      </c>
      <c r="F66" t="s">
        <v>1409</v>
      </c>
      <c r="G66" t="s">
        <v>74</v>
      </c>
      <c r="H66" t="s">
        <v>74</v>
      </c>
      <c r="I66" t="s">
        <v>1410</v>
      </c>
      <c r="J66" t="s">
        <v>1411</v>
      </c>
      <c r="K66" t="s">
        <v>74</v>
      </c>
      <c r="L66" t="s">
        <v>74</v>
      </c>
      <c r="M66" t="s">
        <v>78</v>
      </c>
      <c r="N66" t="s">
        <v>79</v>
      </c>
      <c r="O66" t="s">
        <v>74</v>
      </c>
      <c r="P66" t="s">
        <v>74</v>
      </c>
      <c r="Q66" t="s">
        <v>74</v>
      </c>
      <c r="R66" t="s">
        <v>74</v>
      </c>
      <c r="S66" t="s">
        <v>74</v>
      </c>
      <c r="T66" t="s">
        <v>74</v>
      </c>
      <c r="U66" t="s">
        <v>1412</v>
      </c>
      <c r="V66" t="s">
        <v>1413</v>
      </c>
      <c r="W66" t="s">
        <v>1414</v>
      </c>
      <c r="X66" t="s">
        <v>1415</v>
      </c>
      <c r="Y66" t="s">
        <v>1416</v>
      </c>
      <c r="Z66" t="s">
        <v>1417</v>
      </c>
      <c r="AA66" t="s">
        <v>1418</v>
      </c>
      <c r="AB66" t="s">
        <v>1419</v>
      </c>
      <c r="AC66" t="s">
        <v>1420</v>
      </c>
      <c r="AD66" t="s">
        <v>1421</v>
      </c>
      <c r="AE66" t="s">
        <v>1422</v>
      </c>
      <c r="AF66" t="s">
        <v>74</v>
      </c>
      <c r="AG66">
        <v>43</v>
      </c>
      <c r="AH66">
        <v>97</v>
      </c>
      <c r="AI66">
        <v>124</v>
      </c>
      <c r="AJ66">
        <v>0</v>
      </c>
      <c r="AK66">
        <v>33</v>
      </c>
      <c r="AL66" t="s">
        <v>1423</v>
      </c>
      <c r="AM66" t="s">
        <v>1424</v>
      </c>
      <c r="AN66" t="s">
        <v>1425</v>
      </c>
      <c r="AO66" t="s">
        <v>1426</v>
      </c>
      <c r="AP66" t="s">
        <v>1427</v>
      </c>
      <c r="AQ66" t="s">
        <v>74</v>
      </c>
      <c r="AR66" t="s">
        <v>1428</v>
      </c>
      <c r="AS66" t="s">
        <v>1429</v>
      </c>
      <c r="AT66" t="s">
        <v>1077</v>
      </c>
      <c r="AU66">
        <v>2009</v>
      </c>
      <c r="AV66">
        <v>66</v>
      </c>
      <c r="AW66">
        <v>5</v>
      </c>
      <c r="AX66" t="s">
        <v>74</v>
      </c>
      <c r="AY66" t="s">
        <v>74</v>
      </c>
      <c r="AZ66" t="s">
        <v>74</v>
      </c>
      <c r="BA66" t="s">
        <v>74</v>
      </c>
      <c r="BB66">
        <v>736</v>
      </c>
      <c r="BC66">
        <v>750</v>
      </c>
      <c r="BD66" t="s">
        <v>74</v>
      </c>
      <c r="BE66" t="s">
        <v>1430</v>
      </c>
      <c r="BF66" t="str">
        <f>HYPERLINK("http://dx.doi.org/10.1139/F09-032","http://dx.doi.org/10.1139/F09-032")</f>
        <v>http://dx.doi.org/10.1139/F09-032</v>
      </c>
      <c r="BG66" t="s">
        <v>74</v>
      </c>
      <c r="BH66" t="s">
        <v>74</v>
      </c>
      <c r="BI66">
        <v>15</v>
      </c>
      <c r="BJ66" t="s">
        <v>380</v>
      </c>
      <c r="BK66" t="s">
        <v>100</v>
      </c>
      <c r="BL66" t="s">
        <v>380</v>
      </c>
      <c r="BM66" t="s">
        <v>1431</v>
      </c>
      <c r="BN66" t="s">
        <v>74</v>
      </c>
      <c r="BO66" t="s">
        <v>74</v>
      </c>
      <c r="BP66" t="s">
        <v>74</v>
      </c>
      <c r="BQ66" t="s">
        <v>74</v>
      </c>
      <c r="BR66" t="s">
        <v>103</v>
      </c>
      <c r="BS66" t="s">
        <v>1432</v>
      </c>
      <c r="BT66" t="str">
        <f>HYPERLINK("https%3A%2F%2Fwww.webofscience.com%2Fwos%2Fwoscc%2Ffull-record%2FWOS:000267811500003","View Full Record in Web of Science")</f>
        <v>View Full Record in Web of Science</v>
      </c>
    </row>
    <row r="67" spans="1:72" x14ac:dyDescent="0.15">
      <c r="A67" t="s">
        <v>72</v>
      </c>
      <c r="B67" t="s">
        <v>1433</v>
      </c>
      <c r="C67" t="s">
        <v>74</v>
      </c>
      <c r="D67" t="s">
        <v>74</v>
      </c>
      <c r="E67" t="s">
        <v>74</v>
      </c>
      <c r="F67" t="s">
        <v>1434</v>
      </c>
      <c r="G67" t="s">
        <v>74</v>
      </c>
      <c r="H67" t="s">
        <v>74</v>
      </c>
      <c r="I67" t="s">
        <v>1435</v>
      </c>
      <c r="J67" t="s">
        <v>1436</v>
      </c>
      <c r="K67" t="s">
        <v>74</v>
      </c>
      <c r="L67" t="s">
        <v>74</v>
      </c>
      <c r="M67" t="s">
        <v>78</v>
      </c>
      <c r="N67" t="s">
        <v>1437</v>
      </c>
      <c r="O67" t="s">
        <v>1438</v>
      </c>
      <c r="P67" t="s">
        <v>1439</v>
      </c>
      <c r="Q67" t="s">
        <v>1440</v>
      </c>
      <c r="R67" t="s">
        <v>74</v>
      </c>
      <c r="S67" t="s">
        <v>74</v>
      </c>
      <c r="T67" t="s">
        <v>74</v>
      </c>
      <c r="U67" t="s">
        <v>1441</v>
      </c>
      <c r="V67" t="s">
        <v>1442</v>
      </c>
      <c r="W67" t="s">
        <v>1443</v>
      </c>
      <c r="X67" t="s">
        <v>1444</v>
      </c>
      <c r="Y67" t="s">
        <v>1445</v>
      </c>
      <c r="Z67" t="s">
        <v>1446</v>
      </c>
      <c r="AA67" t="s">
        <v>1447</v>
      </c>
      <c r="AB67" t="s">
        <v>1448</v>
      </c>
      <c r="AC67" t="s">
        <v>74</v>
      </c>
      <c r="AD67" t="s">
        <v>74</v>
      </c>
      <c r="AE67" t="s">
        <v>74</v>
      </c>
      <c r="AF67" t="s">
        <v>74</v>
      </c>
      <c r="AG67">
        <v>37</v>
      </c>
      <c r="AH67">
        <v>26</v>
      </c>
      <c r="AI67">
        <v>29</v>
      </c>
      <c r="AJ67">
        <v>1</v>
      </c>
      <c r="AK67">
        <v>20</v>
      </c>
      <c r="AL67" t="s">
        <v>91</v>
      </c>
      <c r="AM67" t="s">
        <v>374</v>
      </c>
      <c r="AN67" t="s">
        <v>375</v>
      </c>
      <c r="AO67" t="s">
        <v>1449</v>
      </c>
      <c r="AP67" t="s">
        <v>1450</v>
      </c>
      <c r="AQ67" t="s">
        <v>74</v>
      </c>
      <c r="AR67" t="s">
        <v>1436</v>
      </c>
      <c r="AS67" t="s">
        <v>1451</v>
      </c>
      <c r="AT67" t="s">
        <v>1077</v>
      </c>
      <c r="AU67">
        <v>2009</v>
      </c>
      <c r="AV67">
        <v>94</v>
      </c>
      <c r="AW67" t="s">
        <v>972</v>
      </c>
      <c r="AX67" t="s">
        <v>74</v>
      </c>
      <c r="AY67" t="s">
        <v>74</v>
      </c>
      <c r="AZ67" t="s">
        <v>74</v>
      </c>
      <c r="BA67" t="s">
        <v>74</v>
      </c>
      <c r="BB67">
        <v>19</v>
      </c>
      <c r="BC67">
        <v>33</v>
      </c>
      <c r="BD67" t="s">
        <v>74</v>
      </c>
      <c r="BE67" t="s">
        <v>1452</v>
      </c>
      <c r="BF67" t="str">
        <f>HYPERLINK("http://dx.doi.org/10.1007/s10584-009-9550-1","http://dx.doi.org/10.1007/s10584-009-9550-1")</f>
        <v>http://dx.doi.org/10.1007/s10584-009-9550-1</v>
      </c>
      <c r="BG67" t="s">
        <v>74</v>
      </c>
      <c r="BH67" t="s">
        <v>74</v>
      </c>
      <c r="BI67">
        <v>15</v>
      </c>
      <c r="BJ67" t="s">
        <v>1321</v>
      </c>
      <c r="BK67" t="s">
        <v>1453</v>
      </c>
      <c r="BL67" t="s">
        <v>1322</v>
      </c>
      <c r="BM67" t="s">
        <v>1454</v>
      </c>
      <c r="BN67" t="s">
        <v>74</v>
      </c>
      <c r="BO67" t="s">
        <v>74</v>
      </c>
      <c r="BP67" t="s">
        <v>74</v>
      </c>
      <c r="BQ67" t="s">
        <v>74</v>
      </c>
      <c r="BR67" t="s">
        <v>103</v>
      </c>
      <c r="BS67" t="s">
        <v>1455</v>
      </c>
      <c r="BT67" t="str">
        <f>HYPERLINK("https%3A%2F%2Fwww.webofscience.com%2Fwos%2Fwoscc%2Ffull-record%2FWOS:000265831600003","View Full Record in Web of Science")</f>
        <v>View Full Record in Web of Science</v>
      </c>
    </row>
    <row r="68" spans="1:72" x14ac:dyDescent="0.15">
      <c r="A68" t="s">
        <v>72</v>
      </c>
      <c r="B68" t="s">
        <v>1456</v>
      </c>
      <c r="C68" t="s">
        <v>74</v>
      </c>
      <c r="D68" t="s">
        <v>74</v>
      </c>
      <c r="E68" t="s">
        <v>74</v>
      </c>
      <c r="F68" t="s">
        <v>1457</v>
      </c>
      <c r="G68" t="s">
        <v>74</v>
      </c>
      <c r="H68" t="s">
        <v>74</v>
      </c>
      <c r="I68" t="s">
        <v>1458</v>
      </c>
      <c r="J68" t="s">
        <v>1459</v>
      </c>
      <c r="K68" t="s">
        <v>74</v>
      </c>
      <c r="L68" t="s">
        <v>74</v>
      </c>
      <c r="M68" t="s">
        <v>78</v>
      </c>
      <c r="N68" t="s">
        <v>79</v>
      </c>
      <c r="O68" t="s">
        <v>74</v>
      </c>
      <c r="P68" t="s">
        <v>74</v>
      </c>
      <c r="Q68" t="s">
        <v>74</v>
      </c>
      <c r="R68" t="s">
        <v>74</v>
      </c>
      <c r="S68" t="s">
        <v>74</v>
      </c>
      <c r="T68" t="s">
        <v>1460</v>
      </c>
      <c r="U68" t="s">
        <v>1461</v>
      </c>
      <c r="V68" t="s">
        <v>1462</v>
      </c>
      <c r="W68" t="s">
        <v>1463</v>
      </c>
      <c r="X68" t="s">
        <v>1464</v>
      </c>
      <c r="Y68" t="s">
        <v>1465</v>
      </c>
      <c r="Z68" t="s">
        <v>1466</v>
      </c>
      <c r="AA68" t="s">
        <v>74</v>
      </c>
      <c r="AB68" t="s">
        <v>1467</v>
      </c>
      <c r="AC68" t="s">
        <v>1468</v>
      </c>
      <c r="AD68" t="s">
        <v>1026</v>
      </c>
      <c r="AE68" t="s">
        <v>1469</v>
      </c>
      <c r="AF68" t="s">
        <v>74</v>
      </c>
      <c r="AG68">
        <v>65</v>
      </c>
      <c r="AH68">
        <v>26</v>
      </c>
      <c r="AI68">
        <v>31</v>
      </c>
      <c r="AJ68">
        <v>0</v>
      </c>
      <c r="AK68">
        <v>15</v>
      </c>
      <c r="AL68" t="s">
        <v>303</v>
      </c>
      <c r="AM68" t="s">
        <v>304</v>
      </c>
      <c r="AN68" t="s">
        <v>305</v>
      </c>
      <c r="AO68" t="s">
        <v>1470</v>
      </c>
      <c r="AP68" t="s">
        <v>1471</v>
      </c>
      <c r="AQ68" t="s">
        <v>74</v>
      </c>
      <c r="AR68" t="s">
        <v>1472</v>
      </c>
      <c r="AS68" t="s">
        <v>1473</v>
      </c>
      <c r="AT68" t="s">
        <v>1077</v>
      </c>
      <c r="AU68">
        <v>2009</v>
      </c>
      <c r="AV68">
        <v>56</v>
      </c>
      <c r="AW68">
        <v>5</v>
      </c>
      <c r="AX68" t="s">
        <v>74</v>
      </c>
      <c r="AY68" t="s">
        <v>74</v>
      </c>
      <c r="AZ68" t="s">
        <v>74</v>
      </c>
      <c r="BA68" t="s">
        <v>74</v>
      </c>
      <c r="BB68">
        <v>686</v>
      </c>
      <c r="BC68">
        <v>702</v>
      </c>
      <c r="BD68" t="s">
        <v>74</v>
      </c>
      <c r="BE68" t="s">
        <v>1474</v>
      </c>
      <c r="BF68" t="str">
        <f>HYPERLINK("http://dx.doi.org/10.1016/j.dsr.2008.12.010","http://dx.doi.org/10.1016/j.dsr.2008.12.010")</f>
        <v>http://dx.doi.org/10.1016/j.dsr.2008.12.010</v>
      </c>
      <c r="BG68" t="s">
        <v>74</v>
      </c>
      <c r="BH68" t="s">
        <v>74</v>
      </c>
      <c r="BI68">
        <v>17</v>
      </c>
      <c r="BJ68" t="s">
        <v>689</v>
      </c>
      <c r="BK68" t="s">
        <v>100</v>
      </c>
      <c r="BL68" t="s">
        <v>689</v>
      </c>
      <c r="BM68" t="s">
        <v>1475</v>
      </c>
      <c r="BN68" t="s">
        <v>74</v>
      </c>
      <c r="BO68" t="s">
        <v>74</v>
      </c>
      <c r="BP68" t="s">
        <v>74</v>
      </c>
      <c r="BQ68" t="s">
        <v>74</v>
      </c>
      <c r="BR68" t="s">
        <v>103</v>
      </c>
      <c r="BS68" t="s">
        <v>1476</v>
      </c>
      <c r="BT68" t="str">
        <f>HYPERLINK("https%3A%2F%2Fwww.webofscience.com%2Fwos%2Fwoscc%2Ffull-record%2FWOS:000265737100003","View Full Record in Web of Science")</f>
        <v>View Full Record in Web of Science</v>
      </c>
    </row>
    <row r="69" spans="1:72" x14ac:dyDescent="0.15">
      <c r="A69" t="s">
        <v>72</v>
      </c>
      <c r="B69" t="s">
        <v>1477</v>
      </c>
      <c r="C69" t="s">
        <v>74</v>
      </c>
      <c r="D69" t="s">
        <v>74</v>
      </c>
      <c r="E69" t="s">
        <v>74</v>
      </c>
      <c r="F69" t="s">
        <v>1478</v>
      </c>
      <c r="G69" t="s">
        <v>74</v>
      </c>
      <c r="H69" t="s">
        <v>74</v>
      </c>
      <c r="I69" t="s">
        <v>1479</v>
      </c>
      <c r="J69" t="s">
        <v>1459</v>
      </c>
      <c r="K69" t="s">
        <v>74</v>
      </c>
      <c r="L69" t="s">
        <v>74</v>
      </c>
      <c r="M69" t="s">
        <v>78</v>
      </c>
      <c r="N69" t="s">
        <v>79</v>
      </c>
      <c r="O69" t="s">
        <v>74</v>
      </c>
      <c r="P69" t="s">
        <v>74</v>
      </c>
      <c r="Q69" t="s">
        <v>74</v>
      </c>
      <c r="R69" t="s">
        <v>74</v>
      </c>
      <c r="S69" t="s">
        <v>74</v>
      </c>
      <c r="T69" t="s">
        <v>1480</v>
      </c>
      <c r="U69" t="s">
        <v>1481</v>
      </c>
      <c r="V69" t="s">
        <v>1482</v>
      </c>
      <c r="W69" t="s">
        <v>1483</v>
      </c>
      <c r="X69" t="s">
        <v>1484</v>
      </c>
      <c r="Y69" t="s">
        <v>1485</v>
      </c>
      <c r="Z69" t="s">
        <v>1486</v>
      </c>
      <c r="AA69" t="s">
        <v>1487</v>
      </c>
      <c r="AB69" t="s">
        <v>1488</v>
      </c>
      <c r="AC69" t="s">
        <v>1489</v>
      </c>
      <c r="AD69" t="s">
        <v>1490</v>
      </c>
      <c r="AE69" t="s">
        <v>74</v>
      </c>
      <c r="AF69" t="s">
        <v>74</v>
      </c>
      <c r="AG69">
        <v>70</v>
      </c>
      <c r="AH69">
        <v>255</v>
      </c>
      <c r="AI69">
        <v>310</v>
      </c>
      <c r="AJ69">
        <v>4</v>
      </c>
      <c r="AK69">
        <v>105</v>
      </c>
      <c r="AL69" t="s">
        <v>303</v>
      </c>
      <c r="AM69" t="s">
        <v>304</v>
      </c>
      <c r="AN69" t="s">
        <v>305</v>
      </c>
      <c r="AO69" t="s">
        <v>1470</v>
      </c>
      <c r="AP69" t="s">
        <v>1471</v>
      </c>
      <c r="AQ69" t="s">
        <v>74</v>
      </c>
      <c r="AR69" t="s">
        <v>1472</v>
      </c>
      <c r="AS69" t="s">
        <v>1473</v>
      </c>
      <c r="AT69" t="s">
        <v>1077</v>
      </c>
      <c r="AU69">
        <v>2009</v>
      </c>
      <c r="AV69">
        <v>56</v>
      </c>
      <c r="AW69">
        <v>5</v>
      </c>
      <c r="AX69" t="s">
        <v>74</v>
      </c>
      <c r="AY69" t="s">
        <v>74</v>
      </c>
      <c r="AZ69" t="s">
        <v>74</v>
      </c>
      <c r="BA69" t="s">
        <v>74</v>
      </c>
      <c r="BB69">
        <v>727</v>
      </c>
      <c r="BC69">
        <v>740</v>
      </c>
      <c r="BD69" t="s">
        <v>74</v>
      </c>
      <c r="BE69" t="s">
        <v>1491</v>
      </c>
      <c r="BF69" t="str">
        <f>HYPERLINK("http://dx.doi.org/10.1016/j.dsr.2008.12.007","http://dx.doi.org/10.1016/j.dsr.2008.12.007")</f>
        <v>http://dx.doi.org/10.1016/j.dsr.2008.12.007</v>
      </c>
      <c r="BG69" t="s">
        <v>74</v>
      </c>
      <c r="BH69" t="s">
        <v>74</v>
      </c>
      <c r="BI69">
        <v>14</v>
      </c>
      <c r="BJ69" t="s">
        <v>689</v>
      </c>
      <c r="BK69" t="s">
        <v>100</v>
      </c>
      <c r="BL69" t="s">
        <v>689</v>
      </c>
      <c r="BM69" t="s">
        <v>1475</v>
      </c>
      <c r="BN69" t="s">
        <v>74</v>
      </c>
      <c r="BO69" t="s">
        <v>74</v>
      </c>
      <c r="BP69" t="s">
        <v>74</v>
      </c>
      <c r="BQ69" t="s">
        <v>74</v>
      </c>
      <c r="BR69" t="s">
        <v>103</v>
      </c>
      <c r="BS69" t="s">
        <v>1492</v>
      </c>
      <c r="BT69" t="str">
        <f>HYPERLINK("https%3A%2F%2Fwww.webofscience.com%2Fwos%2Fwoscc%2Ffull-record%2FWOS:000265737100006","View Full Record in Web of Science")</f>
        <v>View Full Record in Web of Science</v>
      </c>
    </row>
    <row r="70" spans="1:72" x14ac:dyDescent="0.15">
      <c r="A70" t="s">
        <v>72</v>
      </c>
      <c r="B70" t="s">
        <v>1493</v>
      </c>
      <c r="C70" t="s">
        <v>74</v>
      </c>
      <c r="D70" t="s">
        <v>74</v>
      </c>
      <c r="E70" t="s">
        <v>74</v>
      </c>
      <c r="F70" t="s">
        <v>1494</v>
      </c>
      <c r="G70" t="s">
        <v>74</v>
      </c>
      <c r="H70" t="s">
        <v>74</v>
      </c>
      <c r="I70" t="s">
        <v>1495</v>
      </c>
      <c r="J70" t="s">
        <v>1459</v>
      </c>
      <c r="K70" t="s">
        <v>74</v>
      </c>
      <c r="L70" t="s">
        <v>74</v>
      </c>
      <c r="M70" t="s">
        <v>78</v>
      </c>
      <c r="N70" t="s">
        <v>79</v>
      </c>
      <c r="O70" t="s">
        <v>74</v>
      </c>
      <c r="P70" t="s">
        <v>74</v>
      </c>
      <c r="Q70" t="s">
        <v>74</v>
      </c>
      <c r="R70" t="s">
        <v>74</v>
      </c>
      <c r="S70" t="s">
        <v>74</v>
      </c>
      <c r="T70" t="s">
        <v>1496</v>
      </c>
      <c r="U70" t="s">
        <v>1497</v>
      </c>
      <c r="V70" t="s">
        <v>1498</v>
      </c>
      <c r="W70" t="s">
        <v>1499</v>
      </c>
      <c r="X70" t="s">
        <v>1500</v>
      </c>
      <c r="Y70" t="s">
        <v>1501</v>
      </c>
      <c r="Z70" t="s">
        <v>1502</v>
      </c>
      <c r="AA70" t="s">
        <v>1503</v>
      </c>
      <c r="AB70" t="s">
        <v>1504</v>
      </c>
      <c r="AC70" t="s">
        <v>1505</v>
      </c>
      <c r="AD70" t="s">
        <v>1506</v>
      </c>
      <c r="AE70" t="s">
        <v>1507</v>
      </c>
      <c r="AF70" t="s">
        <v>74</v>
      </c>
      <c r="AG70">
        <v>84</v>
      </c>
      <c r="AH70">
        <v>34</v>
      </c>
      <c r="AI70">
        <v>38</v>
      </c>
      <c r="AJ70">
        <v>0</v>
      </c>
      <c r="AK70">
        <v>47</v>
      </c>
      <c r="AL70" t="s">
        <v>303</v>
      </c>
      <c r="AM70" t="s">
        <v>304</v>
      </c>
      <c r="AN70" t="s">
        <v>305</v>
      </c>
      <c r="AO70" t="s">
        <v>1470</v>
      </c>
      <c r="AP70" t="s">
        <v>74</v>
      </c>
      <c r="AQ70" t="s">
        <v>74</v>
      </c>
      <c r="AR70" t="s">
        <v>1472</v>
      </c>
      <c r="AS70" t="s">
        <v>1473</v>
      </c>
      <c r="AT70" t="s">
        <v>1077</v>
      </c>
      <c r="AU70">
        <v>2009</v>
      </c>
      <c r="AV70">
        <v>56</v>
      </c>
      <c r="AW70">
        <v>5</v>
      </c>
      <c r="AX70" t="s">
        <v>74</v>
      </c>
      <c r="AY70" t="s">
        <v>74</v>
      </c>
      <c r="AZ70" t="s">
        <v>74</v>
      </c>
      <c r="BA70" t="s">
        <v>74</v>
      </c>
      <c r="BB70">
        <v>741</v>
      </c>
      <c r="BC70">
        <v>756</v>
      </c>
      <c r="BD70" t="s">
        <v>74</v>
      </c>
      <c r="BE70" t="s">
        <v>1508</v>
      </c>
      <c r="BF70" t="str">
        <f>HYPERLINK("http://dx.doi.org/10.1016/j.dsr.2008.12.017","http://dx.doi.org/10.1016/j.dsr.2008.12.017")</f>
        <v>http://dx.doi.org/10.1016/j.dsr.2008.12.017</v>
      </c>
      <c r="BG70" t="s">
        <v>74</v>
      </c>
      <c r="BH70" t="s">
        <v>74</v>
      </c>
      <c r="BI70">
        <v>16</v>
      </c>
      <c r="BJ70" t="s">
        <v>689</v>
      </c>
      <c r="BK70" t="s">
        <v>100</v>
      </c>
      <c r="BL70" t="s">
        <v>689</v>
      </c>
      <c r="BM70" t="s">
        <v>1475</v>
      </c>
      <c r="BN70" t="s">
        <v>74</v>
      </c>
      <c r="BO70" t="s">
        <v>217</v>
      </c>
      <c r="BP70" t="s">
        <v>74</v>
      </c>
      <c r="BQ70" t="s">
        <v>74</v>
      </c>
      <c r="BR70" t="s">
        <v>103</v>
      </c>
      <c r="BS70" t="s">
        <v>1509</v>
      </c>
      <c r="BT70" t="str">
        <f>HYPERLINK("https%3A%2F%2Fwww.webofscience.com%2Fwos%2Fwoscc%2Ffull-record%2FWOS:000265737100007","View Full Record in Web of Science")</f>
        <v>View Full Record in Web of Science</v>
      </c>
    </row>
    <row r="71" spans="1:72" x14ac:dyDescent="0.15">
      <c r="A71" t="s">
        <v>72</v>
      </c>
      <c r="B71" t="s">
        <v>1510</v>
      </c>
      <c r="C71" t="s">
        <v>74</v>
      </c>
      <c r="D71" t="s">
        <v>74</v>
      </c>
      <c r="E71" t="s">
        <v>74</v>
      </c>
      <c r="F71" t="s">
        <v>1511</v>
      </c>
      <c r="G71" t="s">
        <v>74</v>
      </c>
      <c r="H71" t="s">
        <v>74</v>
      </c>
      <c r="I71" t="s">
        <v>1512</v>
      </c>
      <c r="J71" t="s">
        <v>1459</v>
      </c>
      <c r="K71" t="s">
        <v>74</v>
      </c>
      <c r="L71" t="s">
        <v>74</v>
      </c>
      <c r="M71" t="s">
        <v>78</v>
      </c>
      <c r="N71" t="s">
        <v>79</v>
      </c>
      <c r="O71" t="s">
        <v>74</v>
      </c>
      <c r="P71" t="s">
        <v>74</v>
      </c>
      <c r="Q71" t="s">
        <v>74</v>
      </c>
      <c r="R71" t="s">
        <v>74</v>
      </c>
      <c r="S71" t="s">
        <v>74</v>
      </c>
      <c r="T71" t="s">
        <v>1513</v>
      </c>
      <c r="U71" t="s">
        <v>1514</v>
      </c>
      <c r="V71" t="s">
        <v>1515</v>
      </c>
      <c r="W71" t="s">
        <v>1516</v>
      </c>
      <c r="X71" t="s">
        <v>1517</v>
      </c>
      <c r="Y71" t="s">
        <v>1518</v>
      </c>
      <c r="Z71" t="s">
        <v>1519</v>
      </c>
      <c r="AA71" t="s">
        <v>1520</v>
      </c>
      <c r="AB71" t="s">
        <v>1521</v>
      </c>
      <c r="AC71" t="s">
        <v>1522</v>
      </c>
      <c r="AD71" t="s">
        <v>1523</v>
      </c>
      <c r="AE71" t="s">
        <v>1524</v>
      </c>
      <c r="AF71" t="s">
        <v>74</v>
      </c>
      <c r="AG71">
        <v>66</v>
      </c>
      <c r="AH71">
        <v>58</v>
      </c>
      <c r="AI71">
        <v>67</v>
      </c>
      <c r="AJ71">
        <v>2</v>
      </c>
      <c r="AK71">
        <v>65</v>
      </c>
      <c r="AL71" t="s">
        <v>303</v>
      </c>
      <c r="AM71" t="s">
        <v>304</v>
      </c>
      <c r="AN71" t="s">
        <v>305</v>
      </c>
      <c r="AO71" t="s">
        <v>1470</v>
      </c>
      <c r="AP71" t="s">
        <v>1471</v>
      </c>
      <c r="AQ71" t="s">
        <v>74</v>
      </c>
      <c r="AR71" t="s">
        <v>1472</v>
      </c>
      <c r="AS71" t="s">
        <v>1473</v>
      </c>
      <c r="AT71" t="s">
        <v>1077</v>
      </c>
      <c r="AU71">
        <v>2009</v>
      </c>
      <c r="AV71">
        <v>56</v>
      </c>
      <c r="AW71">
        <v>5</v>
      </c>
      <c r="AX71" t="s">
        <v>74</v>
      </c>
      <c r="AY71" t="s">
        <v>74</v>
      </c>
      <c r="AZ71" t="s">
        <v>74</v>
      </c>
      <c r="BA71" t="s">
        <v>74</v>
      </c>
      <c r="BB71">
        <v>812</v>
      </c>
      <c r="BC71">
        <v>826</v>
      </c>
      <c r="BD71" t="s">
        <v>74</v>
      </c>
      <c r="BE71" t="s">
        <v>1525</v>
      </c>
      <c r="BF71" t="str">
        <f>HYPERLINK("http://dx.doi.org/10.1016/j.dsr.2008.12.016","http://dx.doi.org/10.1016/j.dsr.2008.12.016")</f>
        <v>http://dx.doi.org/10.1016/j.dsr.2008.12.016</v>
      </c>
      <c r="BG71" t="s">
        <v>74</v>
      </c>
      <c r="BH71" t="s">
        <v>74</v>
      </c>
      <c r="BI71">
        <v>15</v>
      </c>
      <c r="BJ71" t="s">
        <v>689</v>
      </c>
      <c r="BK71" t="s">
        <v>100</v>
      </c>
      <c r="BL71" t="s">
        <v>689</v>
      </c>
      <c r="BM71" t="s">
        <v>1475</v>
      </c>
      <c r="BN71" t="s">
        <v>74</v>
      </c>
      <c r="BO71" t="s">
        <v>74</v>
      </c>
      <c r="BP71" t="s">
        <v>74</v>
      </c>
      <c r="BQ71" t="s">
        <v>74</v>
      </c>
      <c r="BR71" t="s">
        <v>103</v>
      </c>
      <c r="BS71" t="s">
        <v>1526</v>
      </c>
      <c r="BT71" t="str">
        <f>HYPERLINK("https%3A%2F%2Fwww.webofscience.com%2Fwos%2Fwoscc%2Ffull-record%2FWOS:000265737100012","View Full Record in Web of Science")</f>
        <v>View Full Record in Web of Science</v>
      </c>
    </row>
    <row r="72" spans="1:72" x14ac:dyDescent="0.15">
      <c r="A72" t="s">
        <v>72</v>
      </c>
      <c r="B72" t="s">
        <v>1527</v>
      </c>
      <c r="C72" t="s">
        <v>74</v>
      </c>
      <c r="D72" t="s">
        <v>74</v>
      </c>
      <c r="E72" t="s">
        <v>74</v>
      </c>
      <c r="F72" t="s">
        <v>1528</v>
      </c>
      <c r="G72" t="s">
        <v>74</v>
      </c>
      <c r="H72" t="s">
        <v>74</v>
      </c>
      <c r="I72" t="s">
        <v>1529</v>
      </c>
      <c r="J72" t="s">
        <v>1530</v>
      </c>
      <c r="K72" t="s">
        <v>74</v>
      </c>
      <c r="L72" t="s">
        <v>74</v>
      </c>
      <c r="M72" t="s">
        <v>78</v>
      </c>
      <c r="N72" t="s">
        <v>79</v>
      </c>
      <c r="O72" t="s">
        <v>74</v>
      </c>
      <c r="P72" t="s">
        <v>74</v>
      </c>
      <c r="Q72" t="s">
        <v>74</v>
      </c>
      <c r="R72" t="s">
        <v>74</v>
      </c>
      <c r="S72" t="s">
        <v>74</v>
      </c>
      <c r="T72" t="s">
        <v>1531</v>
      </c>
      <c r="U72" t="s">
        <v>1532</v>
      </c>
      <c r="V72" t="s">
        <v>1533</v>
      </c>
      <c r="W72" t="s">
        <v>1534</v>
      </c>
      <c r="X72" t="s">
        <v>1535</v>
      </c>
      <c r="Y72" t="s">
        <v>1536</v>
      </c>
      <c r="Z72" t="s">
        <v>1537</v>
      </c>
      <c r="AA72" t="s">
        <v>1538</v>
      </c>
      <c r="AB72" t="s">
        <v>1539</v>
      </c>
      <c r="AC72" t="s">
        <v>1540</v>
      </c>
      <c r="AD72" t="s">
        <v>1541</v>
      </c>
      <c r="AE72" t="s">
        <v>1542</v>
      </c>
      <c r="AF72" t="s">
        <v>74</v>
      </c>
      <c r="AG72">
        <v>26</v>
      </c>
      <c r="AH72">
        <v>9</v>
      </c>
      <c r="AI72">
        <v>10</v>
      </c>
      <c r="AJ72">
        <v>0</v>
      </c>
      <c r="AK72">
        <v>2</v>
      </c>
      <c r="AL72" t="s">
        <v>1167</v>
      </c>
      <c r="AM72" t="s">
        <v>1168</v>
      </c>
      <c r="AN72" t="s">
        <v>1169</v>
      </c>
      <c r="AO72" t="s">
        <v>1543</v>
      </c>
      <c r="AP72" t="s">
        <v>1544</v>
      </c>
      <c r="AQ72" t="s">
        <v>74</v>
      </c>
      <c r="AR72" t="s">
        <v>1545</v>
      </c>
      <c r="AS72" t="s">
        <v>1546</v>
      </c>
      <c r="AT72" t="s">
        <v>1077</v>
      </c>
      <c r="AU72">
        <v>2009</v>
      </c>
      <c r="AV72">
        <v>24</v>
      </c>
      <c r="AW72">
        <v>1</v>
      </c>
      <c r="AX72" t="s">
        <v>74</v>
      </c>
      <c r="AY72" t="s">
        <v>74</v>
      </c>
      <c r="AZ72" t="s">
        <v>74</v>
      </c>
      <c r="BA72" t="s">
        <v>74</v>
      </c>
      <c r="BB72">
        <v>63</v>
      </c>
      <c r="BC72">
        <v>78</v>
      </c>
      <c r="BD72" t="s">
        <v>74</v>
      </c>
      <c r="BE72" t="s">
        <v>74</v>
      </c>
      <c r="BF72" t="s">
        <v>74</v>
      </c>
      <c r="BG72" t="s">
        <v>74</v>
      </c>
      <c r="BH72" t="s">
        <v>74</v>
      </c>
      <c r="BI72">
        <v>16</v>
      </c>
      <c r="BJ72" t="s">
        <v>448</v>
      </c>
      <c r="BK72" t="s">
        <v>100</v>
      </c>
      <c r="BL72" t="s">
        <v>448</v>
      </c>
      <c r="BM72" t="s">
        <v>1547</v>
      </c>
      <c r="BN72" t="s">
        <v>74</v>
      </c>
      <c r="BO72" t="s">
        <v>74</v>
      </c>
      <c r="BP72" t="s">
        <v>74</v>
      </c>
      <c r="BQ72" t="s">
        <v>74</v>
      </c>
      <c r="BR72" t="s">
        <v>103</v>
      </c>
      <c r="BS72" t="s">
        <v>1548</v>
      </c>
      <c r="BT72" t="str">
        <f>HYPERLINK("https%3A%2F%2Fwww.webofscience.com%2Fwos%2Fwoscc%2Ffull-record%2FWOS:000265470000004","View Full Record in Web of Science")</f>
        <v>View Full Record in Web of Science</v>
      </c>
    </row>
    <row r="73" spans="1:72" x14ac:dyDescent="0.15">
      <c r="A73" t="s">
        <v>72</v>
      </c>
      <c r="B73" t="s">
        <v>1549</v>
      </c>
      <c r="C73" t="s">
        <v>74</v>
      </c>
      <c r="D73" t="s">
        <v>74</v>
      </c>
      <c r="E73" t="s">
        <v>74</v>
      </c>
      <c r="F73" t="s">
        <v>1550</v>
      </c>
      <c r="G73" t="s">
        <v>74</v>
      </c>
      <c r="H73" t="s">
        <v>74</v>
      </c>
      <c r="I73" t="s">
        <v>1551</v>
      </c>
      <c r="J73" t="s">
        <v>1530</v>
      </c>
      <c r="K73" t="s">
        <v>74</v>
      </c>
      <c r="L73" t="s">
        <v>74</v>
      </c>
      <c r="M73" t="s">
        <v>78</v>
      </c>
      <c r="N73" t="s">
        <v>79</v>
      </c>
      <c r="O73" t="s">
        <v>74</v>
      </c>
      <c r="P73" t="s">
        <v>74</v>
      </c>
      <c r="Q73" t="s">
        <v>74</v>
      </c>
      <c r="R73" t="s">
        <v>74</v>
      </c>
      <c r="S73" t="s">
        <v>74</v>
      </c>
      <c r="T73" t="s">
        <v>74</v>
      </c>
      <c r="U73" t="s">
        <v>1552</v>
      </c>
      <c r="V73" t="s">
        <v>1553</v>
      </c>
      <c r="W73" t="s">
        <v>1554</v>
      </c>
      <c r="X73" t="s">
        <v>1555</v>
      </c>
      <c r="Y73" t="s">
        <v>1556</v>
      </c>
      <c r="Z73" t="s">
        <v>1557</v>
      </c>
      <c r="AA73" t="s">
        <v>1558</v>
      </c>
      <c r="AB73" t="s">
        <v>1559</v>
      </c>
      <c r="AC73" t="s">
        <v>1560</v>
      </c>
      <c r="AD73" t="s">
        <v>1561</v>
      </c>
      <c r="AE73" t="s">
        <v>1562</v>
      </c>
      <c r="AF73" t="s">
        <v>74</v>
      </c>
      <c r="AG73">
        <v>52</v>
      </c>
      <c r="AH73">
        <v>13</v>
      </c>
      <c r="AI73">
        <v>14</v>
      </c>
      <c r="AJ73">
        <v>0</v>
      </c>
      <c r="AK73">
        <v>4</v>
      </c>
      <c r="AL73" t="s">
        <v>1167</v>
      </c>
      <c r="AM73" t="s">
        <v>1168</v>
      </c>
      <c r="AN73" t="s">
        <v>1169</v>
      </c>
      <c r="AO73" t="s">
        <v>1543</v>
      </c>
      <c r="AP73" t="s">
        <v>1544</v>
      </c>
      <c r="AQ73" t="s">
        <v>74</v>
      </c>
      <c r="AR73" t="s">
        <v>1545</v>
      </c>
      <c r="AS73" t="s">
        <v>1546</v>
      </c>
      <c r="AT73" t="s">
        <v>1077</v>
      </c>
      <c r="AU73">
        <v>2009</v>
      </c>
      <c r="AV73">
        <v>24</v>
      </c>
      <c r="AW73">
        <v>1</v>
      </c>
      <c r="AX73" t="s">
        <v>74</v>
      </c>
      <c r="AY73" t="s">
        <v>74</v>
      </c>
      <c r="AZ73" t="s">
        <v>74</v>
      </c>
      <c r="BA73" t="s">
        <v>74</v>
      </c>
      <c r="BB73">
        <v>79</v>
      </c>
      <c r="BC73">
        <v>100</v>
      </c>
      <c r="BD73" t="s">
        <v>74</v>
      </c>
      <c r="BE73" t="s">
        <v>74</v>
      </c>
      <c r="BF73" t="s">
        <v>74</v>
      </c>
      <c r="BG73" t="s">
        <v>74</v>
      </c>
      <c r="BH73" t="s">
        <v>74</v>
      </c>
      <c r="BI73">
        <v>22</v>
      </c>
      <c r="BJ73" t="s">
        <v>448</v>
      </c>
      <c r="BK73" t="s">
        <v>100</v>
      </c>
      <c r="BL73" t="s">
        <v>448</v>
      </c>
      <c r="BM73" t="s">
        <v>1547</v>
      </c>
      <c r="BN73" t="s">
        <v>74</v>
      </c>
      <c r="BO73" t="s">
        <v>74</v>
      </c>
      <c r="BP73" t="s">
        <v>74</v>
      </c>
      <c r="BQ73" t="s">
        <v>74</v>
      </c>
      <c r="BR73" t="s">
        <v>103</v>
      </c>
      <c r="BS73" t="s">
        <v>1563</v>
      </c>
      <c r="BT73" t="str">
        <f>HYPERLINK("https%3A%2F%2Fwww.webofscience.com%2Fwos%2Fwoscc%2Ffull-record%2FWOS:000265470000005","View Full Record in Web of Science")</f>
        <v>View Full Record in Web of Science</v>
      </c>
    </row>
    <row r="74" spans="1:72" x14ac:dyDescent="0.15">
      <c r="A74" t="s">
        <v>72</v>
      </c>
      <c r="B74" t="s">
        <v>1564</v>
      </c>
      <c r="C74" t="s">
        <v>74</v>
      </c>
      <c r="D74" t="s">
        <v>74</v>
      </c>
      <c r="E74" t="s">
        <v>74</v>
      </c>
      <c r="F74" t="s">
        <v>1565</v>
      </c>
      <c r="G74" t="s">
        <v>74</v>
      </c>
      <c r="H74" t="s">
        <v>74</v>
      </c>
      <c r="I74" t="s">
        <v>1566</v>
      </c>
      <c r="J74" t="s">
        <v>1530</v>
      </c>
      <c r="K74" t="s">
        <v>74</v>
      </c>
      <c r="L74" t="s">
        <v>74</v>
      </c>
      <c r="M74" t="s">
        <v>78</v>
      </c>
      <c r="N74" t="s">
        <v>79</v>
      </c>
      <c r="O74" t="s">
        <v>74</v>
      </c>
      <c r="P74" t="s">
        <v>74</v>
      </c>
      <c r="Q74" t="s">
        <v>74</v>
      </c>
      <c r="R74" t="s">
        <v>74</v>
      </c>
      <c r="S74" t="s">
        <v>74</v>
      </c>
      <c r="T74" t="s">
        <v>74</v>
      </c>
      <c r="U74" t="s">
        <v>1567</v>
      </c>
      <c r="V74" t="s">
        <v>1568</v>
      </c>
      <c r="W74" t="s">
        <v>1569</v>
      </c>
      <c r="X74" t="s">
        <v>1570</v>
      </c>
      <c r="Y74" t="s">
        <v>1571</v>
      </c>
      <c r="Z74" t="s">
        <v>1572</v>
      </c>
      <c r="AA74" t="s">
        <v>1573</v>
      </c>
      <c r="AB74" t="s">
        <v>1574</v>
      </c>
      <c r="AC74" t="s">
        <v>1575</v>
      </c>
      <c r="AD74" t="s">
        <v>1576</v>
      </c>
      <c r="AE74" t="s">
        <v>1577</v>
      </c>
      <c r="AF74" t="s">
        <v>74</v>
      </c>
      <c r="AG74">
        <v>24</v>
      </c>
      <c r="AH74">
        <v>38</v>
      </c>
      <c r="AI74">
        <v>40</v>
      </c>
      <c r="AJ74">
        <v>1</v>
      </c>
      <c r="AK74">
        <v>16</v>
      </c>
      <c r="AL74" t="s">
        <v>1167</v>
      </c>
      <c r="AM74" t="s">
        <v>1168</v>
      </c>
      <c r="AN74" t="s">
        <v>1169</v>
      </c>
      <c r="AO74" t="s">
        <v>1543</v>
      </c>
      <c r="AP74" t="s">
        <v>1544</v>
      </c>
      <c r="AQ74" t="s">
        <v>74</v>
      </c>
      <c r="AR74" t="s">
        <v>1545</v>
      </c>
      <c r="AS74" t="s">
        <v>1546</v>
      </c>
      <c r="AT74" t="s">
        <v>1077</v>
      </c>
      <c r="AU74">
        <v>2009</v>
      </c>
      <c r="AV74">
        <v>24</v>
      </c>
      <c r="AW74">
        <v>1</v>
      </c>
      <c r="AX74" t="s">
        <v>74</v>
      </c>
      <c r="AY74" t="s">
        <v>74</v>
      </c>
      <c r="AZ74" t="s">
        <v>74</v>
      </c>
      <c r="BA74" t="s">
        <v>74</v>
      </c>
      <c r="BB74">
        <v>113</v>
      </c>
      <c r="BC74">
        <v>122</v>
      </c>
      <c r="BD74" t="s">
        <v>74</v>
      </c>
      <c r="BE74" t="s">
        <v>74</v>
      </c>
      <c r="BF74" t="s">
        <v>74</v>
      </c>
      <c r="BG74" t="s">
        <v>74</v>
      </c>
      <c r="BH74" t="s">
        <v>74</v>
      </c>
      <c r="BI74">
        <v>10</v>
      </c>
      <c r="BJ74" t="s">
        <v>448</v>
      </c>
      <c r="BK74" t="s">
        <v>100</v>
      </c>
      <c r="BL74" t="s">
        <v>448</v>
      </c>
      <c r="BM74" t="s">
        <v>1547</v>
      </c>
      <c r="BN74" t="s">
        <v>74</v>
      </c>
      <c r="BO74" t="s">
        <v>74</v>
      </c>
      <c r="BP74" t="s">
        <v>74</v>
      </c>
      <c r="BQ74" t="s">
        <v>74</v>
      </c>
      <c r="BR74" t="s">
        <v>103</v>
      </c>
      <c r="BS74" t="s">
        <v>1578</v>
      </c>
      <c r="BT74" t="str">
        <f>HYPERLINK("https%3A%2F%2Fwww.webofscience.com%2Fwos%2Fwoscc%2Ffull-record%2FWOS:000265470000007","View Full Record in Web of Science")</f>
        <v>View Full Record in Web of Science</v>
      </c>
    </row>
    <row r="75" spans="1:72" x14ac:dyDescent="0.15">
      <c r="A75" t="s">
        <v>72</v>
      </c>
      <c r="B75" t="s">
        <v>1579</v>
      </c>
      <c r="C75" t="s">
        <v>74</v>
      </c>
      <c r="D75" t="s">
        <v>74</v>
      </c>
      <c r="E75" t="s">
        <v>74</v>
      </c>
      <c r="F75" t="s">
        <v>1580</v>
      </c>
      <c r="G75" t="s">
        <v>74</v>
      </c>
      <c r="H75" t="s">
        <v>74</v>
      </c>
      <c r="I75" t="s">
        <v>1581</v>
      </c>
      <c r="J75" t="s">
        <v>1582</v>
      </c>
      <c r="K75" t="s">
        <v>74</v>
      </c>
      <c r="L75" t="s">
        <v>74</v>
      </c>
      <c r="M75" t="s">
        <v>78</v>
      </c>
      <c r="N75" t="s">
        <v>172</v>
      </c>
      <c r="O75" t="s">
        <v>74</v>
      </c>
      <c r="P75" t="s">
        <v>74</v>
      </c>
      <c r="Q75" t="s">
        <v>74</v>
      </c>
      <c r="R75" t="s">
        <v>74</v>
      </c>
      <c r="S75" t="s">
        <v>74</v>
      </c>
      <c r="T75" t="s">
        <v>1583</v>
      </c>
      <c r="U75" t="s">
        <v>1584</v>
      </c>
      <c r="V75" t="s">
        <v>1585</v>
      </c>
      <c r="W75" t="s">
        <v>1586</v>
      </c>
      <c r="X75" t="s">
        <v>1587</v>
      </c>
      <c r="Y75" t="s">
        <v>1588</v>
      </c>
      <c r="Z75" t="s">
        <v>1589</v>
      </c>
      <c r="AA75" t="s">
        <v>1590</v>
      </c>
      <c r="AB75" t="s">
        <v>1591</v>
      </c>
      <c r="AC75" t="s">
        <v>1592</v>
      </c>
      <c r="AD75" t="s">
        <v>1593</v>
      </c>
      <c r="AE75" t="s">
        <v>74</v>
      </c>
      <c r="AF75" t="s">
        <v>74</v>
      </c>
      <c r="AG75">
        <v>144</v>
      </c>
      <c r="AH75">
        <v>44</v>
      </c>
      <c r="AI75">
        <v>45</v>
      </c>
      <c r="AJ75">
        <v>2</v>
      </c>
      <c r="AK75">
        <v>10</v>
      </c>
      <c r="AL75" t="s">
        <v>251</v>
      </c>
      <c r="AM75" t="s">
        <v>252</v>
      </c>
      <c r="AN75" t="s">
        <v>253</v>
      </c>
      <c r="AO75" t="s">
        <v>1594</v>
      </c>
      <c r="AP75" t="s">
        <v>1595</v>
      </c>
      <c r="AQ75" t="s">
        <v>74</v>
      </c>
      <c r="AR75" t="s">
        <v>1596</v>
      </c>
      <c r="AS75" t="s">
        <v>1597</v>
      </c>
      <c r="AT75" t="s">
        <v>1077</v>
      </c>
      <c r="AU75">
        <v>2009</v>
      </c>
      <c r="AV75">
        <v>94</v>
      </c>
      <c r="AW75" t="s">
        <v>532</v>
      </c>
      <c r="AX75" t="s">
        <v>74</v>
      </c>
      <c r="AY75" t="s">
        <v>74</v>
      </c>
      <c r="AZ75" t="s">
        <v>74</v>
      </c>
      <c r="BA75" t="s">
        <v>74</v>
      </c>
      <c r="BB75">
        <v>79</v>
      </c>
      <c r="BC75">
        <v>94</v>
      </c>
      <c r="BD75" t="s">
        <v>74</v>
      </c>
      <c r="BE75" t="s">
        <v>1598</v>
      </c>
      <c r="BF75" t="str">
        <f>HYPERLINK("http://dx.doi.org/10.1016/j.earscirev.2009.03.005","http://dx.doi.org/10.1016/j.earscirev.2009.03.005")</f>
        <v>http://dx.doi.org/10.1016/j.earscirev.2009.03.005</v>
      </c>
      <c r="BG75" t="s">
        <v>74</v>
      </c>
      <c r="BH75" t="s">
        <v>74</v>
      </c>
      <c r="BI75">
        <v>16</v>
      </c>
      <c r="BJ75" t="s">
        <v>496</v>
      </c>
      <c r="BK75" t="s">
        <v>100</v>
      </c>
      <c r="BL75" t="s">
        <v>497</v>
      </c>
      <c r="BM75" t="s">
        <v>1599</v>
      </c>
      <c r="BN75" t="s">
        <v>74</v>
      </c>
      <c r="BO75" t="s">
        <v>74</v>
      </c>
      <c r="BP75" t="s">
        <v>74</v>
      </c>
      <c r="BQ75" t="s">
        <v>74</v>
      </c>
      <c r="BR75" t="s">
        <v>103</v>
      </c>
      <c r="BS75" t="s">
        <v>1600</v>
      </c>
      <c r="BT75" t="str">
        <f>HYPERLINK("https%3A%2F%2Fwww.webofscience.com%2Fwos%2Fwoscc%2Ffull-record%2FWOS:000266903700004","View Full Record in Web of Science")</f>
        <v>View Full Record in Web of Science</v>
      </c>
    </row>
    <row r="76" spans="1:72" x14ac:dyDescent="0.15">
      <c r="A76" t="s">
        <v>72</v>
      </c>
      <c r="B76" t="s">
        <v>1601</v>
      </c>
      <c r="C76" t="s">
        <v>74</v>
      </c>
      <c r="D76" t="s">
        <v>74</v>
      </c>
      <c r="E76" t="s">
        <v>74</v>
      </c>
      <c r="F76" t="s">
        <v>1602</v>
      </c>
      <c r="G76" t="s">
        <v>74</v>
      </c>
      <c r="H76" t="s">
        <v>74</v>
      </c>
      <c r="I76" t="s">
        <v>1603</v>
      </c>
      <c r="J76" t="s">
        <v>1604</v>
      </c>
      <c r="K76" t="s">
        <v>74</v>
      </c>
      <c r="L76" t="s">
        <v>74</v>
      </c>
      <c r="M76" t="s">
        <v>78</v>
      </c>
      <c r="N76" t="s">
        <v>79</v>
      </c>
      <c r="O76" t="s">
        <v>74</v>
      </c>
      <c r="P76" t="s">
        <v>74</v>
      </c>
      <c r="Q76" t="s">
        <v>74</v>
      </c>
      <c r="R76" t="s">
        <v>74</v>
      </c>
      <c r="S76" t="s">
        <v>74</v>
      </c>
      <c r="T76" t="s">
        <v>1605</v>
      </c>
      <c r="U76" t="s">
        <v>1606</v>
      </c>
      <c r="V76" t="s">
        <v>1607</v>
      </c>
      <c r="W76" t="s">
        <v>1608</v>
      </c>
      <c r="X76" t="s">
        <v>1609</v>
      </c>
      <c r="Y76" t="s">
        <v>1610</v>
      </c>
      <c r="Z76" t="s">
        <v>1611</v>
      </c>
      <c r="AA76" t="s">
        <v>74</v>
      </c>
      <c r="AB76" t="s">
        <v>74</v>
      </c>
      <c r="AC76" t="s">
        <v>74</v>
      </c>
      <c r="AD76" t="s">
        <v>74</v>
      </c>
      <c r="AE76" t="s">
        <v>74</v>
      </c>
      <c r="AF76" t="s">
        <v>74</v>
      </c>
      <c r="AG76">
        <v>59</v>
      </c>
      <c r="AH76">
        <v>2</v>
      </c>
      <c r="AI76">
        <v>3</v>
      </c>
      <c r="AJ76">
        <v>0</v>
      </c>
      <c r="AK76">
        <v>14</v>
      </c>
      <c r="AL76" t="s">
        <v>91</v>
      </c>
      <c r="AM76" t="s">
        <v>92</v>
      </c>
      <c r="AN76" t="s">
        <v>137</v>
      </c>
      <c r="AO76" t="s">
        <v>1612</v>
      </c>
      <c r="AP76" t="s">
        <v>74</v>
      </c>
      <c r="AQ76" t="s">
        <v>74</v>
      </c>
      <c r="AR76" t="s">
        <v>1613</v>
      </c>
      <c r="AS76" t="s">
        <v>1614</v>
      </c>
      <c r="AT76" t="s">
        <v>1077</v>
      </c>
      <c r="AU76">
        <v>2009</v>
      </c>
      <c r="AV76">
        <v>57</v>
      </c>
      <c r="AW76">
        <v>5</v>
      </c>
      <c r="AX76" t="s">
        <v>74</v>
      </c>
      <c r="AY76" t="s">
        <v>74</v>
      </c>
      <c r="AZ76" t="s">
        <v>74</v>
      </c>
      <c r="BA76" t="s">
        <v>74</v>
      </c>
      <c r="BB76">
        <v>1065</v>
      </c>
      <c r="BC76">
        <v>1078</v>
      </c>
      <c r="BD76" t="s">
        <v>74</v>
      </c>
      <c r="BE76" t="s">
        <v>1615</v>
      </c>
      <c r="BF76" t="str">
        <f>HYPERLINK("http://dx.doi.org/10.1007/s00254-008-1392-z","http://dx.doi.org/10.1007/s00254-008-1392-z")</f>
        <v>http://dx.doi.org/10.1007/s00254-008-1392-z</v>
      </c>
      <c r="BG76" t="s">
        <v>74</v>
      </c>
      <c r="BH76" t="s">
        <v>74</v>
      </c>
      <c r="BI76">
        <v>14</v>
      </c>
      <c r="BJ76" t="s">
        <v>1616</v>
      </c>
      <c r="BK76" t="s">
        <v>100</v>
      </c>
      <c r="BL76" t="s">
        <v>1617</v>
      </c>
      <c r="BM76" t="s">
        <v>1618</v>
      </c>
      <c r="BN76" t="s">
        <v>74</v>
      </c>
      <c r="BO76" t="s">
        <v>74</v>
      </c>
      <c r="BP76" t="s">
        <v>74</v>
      </c>
      <c r="BQ76" t="s">
        <v>74</v>
      </c>
      <c r="BR76" t="s">
        <v>103</v>
      </c>
      <c r="BS76" t="s">
        <v>1619</v>
      </c>
      <c r="BT76" t="str">
        <f>HYPERLINK("https%3A%2F%2Fwww.webofscience.com%2Fwos%2Fwoscc%2Ffull-record%2FWOS:000265440600011","View Full Record in Web of Science")</f>
        <v>View Full Record in Web of Science</v>
      </c>
    </row>
    <row r="77" spans="1:72" x14ac:dyDescent="0.15">
      <c r="A77" t="s">
        <v>72</v>
      </c>
      <c r="B77" t="s">
        <v>1620</v>
      </c>
      <c r="C77" t="s">
        <v>74</v>
      </c>
      <c r="D77" t="s">
        <v>74</v>
      </c>
      <c r="E77" t="s">
        <v>74</v>
      </c>
      <c r="F77" t="s">
        <v>1621</v>
      </c>
      <c r="G77" t="s">
        <v>74</v>
      </c>
      <c r="H77" t="s">
        <v>74</v>
      </c>
      <c r="I77" t="s">
        <v>1622</v>
      </c>
      <c r="J77" t="s">
        <v>1623</v>
      </c>
      <c r="K77" t="s">
        <v>74</v>
      </c>
      <c r="L77" t="s">
        <v>74</v>
      </c>
      <c r="M77" t="s">
        <v>78</v>
      </c>
      <c r="N77" t="s">
        <v>172</v>
      </c>
      <c r="O77" t="s">
        <v>74</v>
      </c>
      <c r="P77" t="s">
        <v>74</v>
      </c>
      <c r="Q77" t="s">
        <v>74</v>
      </c>
      <c r="R77" t="s">
        <v>74</v>
      </c>
      <c r="S77" t="s">
        <v>74</v>
      </c>
      <c r="T77" t="s">
        <v>1624</v>
      </c>
      <c r="U77" t="s">
        <v>1625</v>
      </c>
      <c r="V77" t="s">
        <v>1626</v>
      </c>
      <c r="W77" t="s">
        <v>1627</v>
      </c>
      <c r="X77" t="s">
        <v>1628</v>
      </c>
      <c r="Y77" t="s">
        <v>1629</v>
      </c>
      <c r="Z77" t="s">
        <v>1630</v>
      </c>
      <c r="AA77" t="s">
        <v>74</v>
      </c>
      <c r="AB77" t="s">
        <v>1631</v>
      </c>
      <c r="AC77" t="s">
        <v>74</v>
      </c>
      <c r="AD77" t="s">
        <v>74</v>
      </c>
      <c r="AE77" t="s">
        <v>74</v>
      </c>
      <c r="AF77" t="s">
        <v>74</v>
      </c>
      <c r="AG77">
        <v>81</v>
      </c>
      <c r="AH77">
        <v>122</v>
      </c>
      <c r="AI77">
        <v>137</v>
      </c>
      <c r="AJ77">
        <v>1</v>
      </c>
      <c r="AK77">
        <v>73</v>
      </c>
      <c r="AL77" t="s">
        <v>303</v>
      </c>
      <c r="AM77" t="s">
        <v>304</v>
      </c>
      <c r="AN77" t="s">
        <v>305</v>
      </c>
      <c r="AO77" t="s">
        <v>1632</v>
      </c>
      <c r="AP77" t="s">
        <v>1633</v>
      </c>
      <c r="AQ77" t="s">
        <v>74</v>
      </c>
      <c r="AR77" t="s">
        <v>1634</v>
      </c>
      <c r="AS77" t="s">
        <v>1635</v>
      </c>
      <c r="AT77" t="s">
        <v>1077</v>
      </c>
      <c r="AU77">
        <v>2009</v>
      </c>
      <c r="AV77">
        <v>44</v>
      </c>
      <c r="AW77">
        <v>5</v>
      </c>
      <c r="AX77" t="s">
        <v>74</v>
      </c>
      <c r="AY77" t="s">
        <v>74</v>
      </c>
      <c r="AZ77" t="s">
        <v>74</v>
      </c>
      <c r="BA77" t="s">
        <v>74</v>
      </c>
      <c r="BB77">
        <v>307</v>
      </c>
      <c r="BC77">
        <v>315</v>
      </c>
      <c r="BD77" t="s">
        <v>74</v>
      </c>
      <c r="BE77" t="s">
        <v>1636</v>
      </c>
      <c r="BF77" t="str">
        <f>HYPERLINK("http://dx.doi.org/10.1016/j.exger.2009.02.012","http://dx.doi.org/10.1016/j.exger.2009.02.012")</f>
        <v>http://dx.doi.org/10.1016/j.exger.2009.02.012</v>
      </c>
      <c r="BG77" t="s">
        <v>74</v>
      </c>
      <c r="BH77" t="s">
        <v>74</v>
      </c>
      <c r="BI77">
        <v>9</v>
      </c>
      <c r="BJ77" t="s">
        <v>1637</v>
      </c>
      <c r="BK77" t="s">
        <v>100</v>
      </c>
      <c r="BL77" t="s">
        <v>1637</v>
      </c>
      <c r="BM77" t="s">
        <v>1638</v>
      </c>
      <c r="BN77">
        <v>19268513</v>
      </c>
      <c r="BO77" t="s">
        <v>1639</v>
      </c>
      <c r="BP77" t="s">
        <v>74</v>
      </c>
      <c r="BQ77" t="s">
        <v>74</v>
      </c>
      <c r="BR77" t="s">
        <v>103</v>
      </c>
      <c r="BS77" t="s">
        <v>1640</v>
      </c>
      <c r="BT77" t="str">
        <f>HYPERLINK("https%3A%2F%2Fwww.webofscience.com%2Fwos%2Fwoscc%2Ffull-record%2FWOS:000266191300001","View Full Record in Web of Science")</f>
        <v>View Full Record in Web of Science</v>
      </c>
    </row>
    <row r="78" spans="1:72" x14ac:dyDescent="0.15">
      <c r="A78" t="s">
        <v>72</v>
      </c>
      <c r="B78" t="s">
        <v>1641</v>
      </c>
      <c r="C78" t="s">
        <v>74</v>
      </c>
      <c r="D78" t="s">
        <v>74</v>
      </c>
      <c r="E78" t="s">
        <v>74</v>
      </c>
      <c r="F78" t="s">
        <v>1642</v>
      </c>
      <c r="G78" t="s">
        <v>74</v>
      </c>
      <c r="H78" t="s">
        <v>74</v>
      </c>
      <c r="I78" t="s">
        <v>1643</v>
      </c>
      <c r="J78" t="s">
        <v>1644</v>
      </c>
      <c r="K78" t="s">
        <v>74</v>
      </c>
      <c r="L78" t="s">
        <v>74</v>
      </c>
      <c r="M78" t="s">
        <v>78</v>
      </c>
      <c r="N78" t="s">
        <v>934</v>
      </c>
      <c r="O78" t="s">
        <v>74</v>
      </c>
      <c r="P78" t="s">
        <v>74</v>
      </c>
      <c r="Q78" t="s">
        <v>74</v>
      </c>
      <c r="R78" t="s">
        <v>74</v>
      </c>
      <c r="S78" t="s">
        <v>74</v>
      </c>
      <c r="T78" t="s">
        <v>74</v>
      </c>
      <c r="U78" t="s">
        <v>74</v>
      </c>
      <c r="V78" t="s">
        <v>74</v>
      </c>
      <c r="W78" t="s">
        <v>1645</v>
      </c>
      <c r="X78" t="s">
        <v>1646</v>
      </c>
      <c r="Y78" t="s">
        <v>1647</v>
      </c>
      <c r="Z78" t="s">
        <v>74</v>
      </c>
      <c r="AA78" t="s">
        <v>74</v>
      </c>
      <c r="AB78" t="s">
        <v>1648</v>
      </c>
      <c r="AC78" t="s">
        <v>74</v>
      </c>
      <c r="AD78" t="s">
        <v>74</v>
      </c>
      <c r="AE78" t="s">
        <v>74</v>
      </c>
      <c r="AF78" t="s">
        <v>74</v>
      </c>
      <c r="AG78">
        <v>0</v>
      </c>
      <c r="AH78">
        <v>2</v>
      </c>
      <c r="AI78">
        <v>2</v>
      </c>
      <c r="AJ78">
        <v>0</v>
      </c>
      <c r="AK78">
        <v>4</v>
      </c>
      <c r="AL78" t="s">
        <v>1649</v>
      </c>
      <c r="AM78" t="s">
        <v>606</v>
      </c>
      <c r="AN78" t="s">
        <v>1650</v>
      </c>
      <c r="AO78" t="s">
        <v>1651</v>
      </c>
      <c r="AP78" t="s">
        <v>74</v>
      </c>
      <c r="AQ78" t="s">
        <v>74</v>
      </c>
      <c r="AR78" t="s">
        <v>1652</v>
      </c>
      <c r="AS78" t="s">
        <v>1653</v>
      </c>
      <c r="AT78" t="s">
        <v>1077</v>
      </c>
      <c r="AU78">
        <v>2009</v>
      </c>
      <c r="AV78">
        <v>7</v>
      </c>
      <c r="AW78">
        <v>4</v>
      </c>
      <c r="AX78" t="s">
        <v>74</v>
      </c>
      <c r="AY78" t="s">
        <v>74</v>
      </c>
      <c r="AZ78" t="s">
        <v>74</v>
      </c>
      <c r="BA78" t="s">
        <v>74</v>
      </c>
      <c r="BB78">
        <v>75</v>
      </c>
      <c r="BC78">
        <v>75</v>
      </c>
      <c r="BD78" t="s">
        <v>74</v>
      </c>
      <c r="BE78" t="s">
        <v>74</v>
      </c>
      <c r="BF78" t="s">
        <v>74</v>
      </c>
      <c r="BG78" t="s">
        <v>74</v>
      </c>
      <c r="BH78" t="s">
        <v>74</v>
      </c>
      <c r="BI78">
        <v>1</v>
      </c>
      <c r="BJ78" t="s">
        <v>1654</v>
      </c>
      <c r="BK78" t="s">
        <v>100</v>
      </c>
      <c r="BL78" t="s">
        <v>424</v>
      </c>
      <c r="BM78" t="s">
        <v>1655</v>
      </c>
      <c r="BN78" t="s">
        <v>74</v>
      </c>
      <c r="BO78" t="s">
        <v>74</v>
      </c>
      <c r="BP78" t="s">
        <v>74</v>
      </c>
      <c r="BQ78" t="s">
        <v>74</v>
      </c>
      <c r="BR78" t="s">
        <v>103</v>
      </c>
      <c r="BS78" t="s">
        <v>1656</v>
      </c>
      <c r="BT78" t="str">
        <f>HYPERLINK("https%3A%2F%2Fwww.webofscience.com%2Fwos%2Fwoscc%2Ffull-record%2FWOS:000265971200001","View Full Record in Web of Science")</f>
        <v>View Full Record in Web of Science</v>
      </c>
    </row>
    <row r="79" spans="1:72" x14ac:dyDescent="0.15">
      <c r="A79" t="s">
        <v>72</v>
      </c>
      <c r="B79" t="s">
        <v>1657</v>
      </c>
      <c r="C79" t="s">
        <v>74</v>
      </c>
      <c r="D79" t="s">
        <v>74</v>
      </c>
      <c r="E79" t="s">
        <v>74</v>
      </c>
      <c r="F79" t="s">
        <v>1658</v>
      </c>
      <c r="G79" t="s">
        <v>74</v>
      </c>
      <c r="H79" t="s">
        <v>74</v>
      </c>
      <c r="I79" t="s">
        <v>1659</v>
      </c>
      <c r="J79" t="s">
        <v>1660</v>
      </c>
      <c r="K79" t="s">
        <v>74</v>
      </c>
      <c r="L79" t="s">
        <v>74</v>
      </c>
      <c r="M79" t="s">
        <v>78</v>
      </c>
      <c r="N79" t="s">
        <v>79</v>
      </c>
      <c r="O79" t="s">
        <v>74</v>
      </c>
      <c r="P79" t="s">
        <v>74</v>
      </c>
      <c r="Q79" t="s">
        <v>74</v>
      </c>
      <c r="R79" t="s">
        <v>74</v>
      </c>
      <c r="S79" t="s">
        <v>74</v>
      </c>
      <c r="T79" t="s">
        <v>1661</v>
      </c>
      <c r="U79" t="s">
        <v>1662</v>
      </c>
      <c r="V79" t="s">
        <v>1663</v>
      </c>
      <c r="W79" t="s">
        <v>1664</v>
      </c>
      <c r="X79" t="s">
        <v>824</v>
      </c>
      <c r="Y79" t="s">
        <v>1665</v>
      </c>
      <c r="Z79" t="s">
        <v>1666</v>
      </c>
      <c r="AA79" t="s">
        <v>1667</v>
      </c>
      <c r="AB79" t="s">
        <v>74</v>
      </c>
      <c r="AC79" t="s">
        <v>1668</v>
      </c>
      <c r="AD79" t="s">
        <v>1669</v>
      </c>
      <c r="AE79" t="s">
        <v>1670</v>
      </c>
      <c r="AF79" t="s">
        <v>74</v>
      </c>
      <c r="AG79">
        <v>42</v>
      </c>
      <c r="AH79">
        <v>74</v>
      </c>
      <c r="AI79">
        <v>91</v>
      </c>
      <c r="AJ79">
        <v>1</v>
      </c>
      <c r="AK79">
        <v>33</v>
      </c>
      <c r="AL79" t="s">
        <v>1671</v>
      </c>
      <c r="AM79" t="s">
        <v>304</v>
      </c>
      <c r="AN79" t="s">
        <v>1672</v>
      </c>
      <c r="AO79" t="s">
        <v>1673</v>
      </c>
      <c r="AP79" t="s">
        <v>1674</v>
      </c>
      <c r="AQ79" t="s">
        <v>74</v>
      </c>
      <c r="AR79" t="s">
        <v>1675</v>
      </c>
      <c r="AS79" t="s">
        <v>1676</v>
      </c>
      <c r="AT79" t="s">
        <v>1077</v>
      </c>
      <c r="AU79">
        <v>2009</v>
      </c>
      <c r="AV79">
        <v>2</v>
      </c>
      <c r="AW79" t="s">
        <v>74</v>
      </c>
      <c r="AX79">
        <v>2</v>
      </c>
      <c r="AY79" t="s">
        <v>74</v>
      </c>
      <c r="AZ79" t="s">
        <v>74</v>
      </c>
      <c r="BA79" t="s">
        <v>74</v>
      </c>
      <c r="BB79">
        <v>66</v>
      </c>
      <c r="BC79">
        <v>74</v>
      </c>
      <c r="BD79" t="s">
        <v>74</v>
      </c>
      <c r="BE79" t="s">
        <v>1677</v>
      </c>
      <c r="BF79" t="str">
        <f>HYPERLINK("http://dx.doi.org/10.1016/j.funeco.2008.10.008","http://dx.doi.org/10.1016/j.funeco.2008.10.008")</f>
        <v>http://dx.doi.org/10.1016/j.funeco.2008.10.008</v>
      </c>
      <c r="BG79" t="s">
        <v>74</v>
      </c>
      <c r="BH79" t="s">
        <v>74</v>
      </c>
      <c r="BI79">
        <v>9</v>
      </c>
      <c r="BJ79" t="s">
        <v>1678</v>
      </c>
      <c r="BK79" t="s">
        <v>100</v>
      </c>
      <c r="BL79" t="s">
        <v>1679</v>
      </c>
      <c r="BM79" t="s">
        <v>1680</v>
      </c>
      <c r="BN79" t="s">
        <v>74</v>
      </c>
      <c r="BO79" t="s">
        <v>74</v>
      </c>
      <c r="BP79" t="s">
        <v>74</v>
      </c>
      <c r="BQ79" t="s">
        <v>74</v>
      </c>
      <c r="BR79" t="s">
        <v>103</v>
      </c>
      <c r="BS79" t="s">
        <v>1681</v>
      </c>
      <c r="BT79" t="str">
        <f>HYPERLINK("https%3A%2F%2Fwww.webofscience.com%2Fwos%2Fwoscc%2Ffull-record%2FWOS:000265946800003","View Full Record in Web of Science")</f>
        <v>View Full Record in Web of Science</v>
      </c>
    </row>
    <row r="80" spans="1:72" x14ac:dyDescent="0.15">
      <c r="A80" t="s">
        <v>72</v>
      </c>
      <c r="B80" t="s">
        <v>1682</v>
      </c>
      <c r="C80" t="s">
        <v>74</v>
      </c>
      <c r="D80" t="s">
        <v>74</v>
      </c>
      <c r="E80" t="s">
        <v>74</v>
      </c>
      <c r="F80" t="s">
        <v>1683</v>
      </c>
      <c r="G80" t="s">
        <v>74</v>
      </c>
      <c r="H80" t="s">
        <v>74</v>
      </c>
      <c r="I80" t="s">
        <v>1684</v>
      </c>
      <c r="J80" t="s">
        <v>1685</v>
      </c>
      <c r="K80" t="s">
        <v>74</v>
      </c>
      <c r="L80" t="s">
        <v>74</v>
      </c>
      <c r="M80" t="s">
        <v>78</v>
      </c>
      <c r="N80" t="s">
        <v>172</v>
      </c>
      <c r="O80" t="s">
        <v>74</v>
      </c>
      <c r="P80" t="s">
        <v>74</v>
      </c>
      <c r="Q80" t="s">
        <v>74</v>
      </c>
      <c r="R80" t="s">
        <v>74</v>
      </c>
      <c r="S80" t="s">
        <v>74</v>
      </c>
      <c r="T80" t="s">
        <v>1686</v>
      </c>
      <c r="U80" t="s">
        <v>1687</v>
      </c>
      <c r="V80" t="s">
        <v>1688</v>
      </c>
      <c r="W80" t="s">
        <v>1689</v>
      </c>
      <c r="X80" t="s">
        <v>1690</v>
      </c>
      <c r="Y80" t="s">
        <v>1691</v>
      </c>
      <c r="Z80" t="s">
        <v>74</v>
      </c>
      <c r="AA80" t="s">
        <v>1692</v>
      </c>
      <c r="AB80" t="s">
        <v>1693</v>
      </c>
      <c r="AC80" t="s">
        <v>1694</v>
      </c>
      <c r="AD80" t="s">
        <v>1694</v>
      </c>
      <c r="AE80" t="s">
        <v>1695</v>
      </c>
      <c r="AF80" t="s">
        <v>74</v>
      </c>
      <c r="AG80">
        <v>121</v>
      </c>
      <c r="AH80">
        <v>35</v>
      </c>
      <c r="AI80">
        <v>40</v>
      </c>
      <c r="AJ80">
        <v>0</v>
      </c>
      <c r="AK80">
        <v>20</v>
      </c>
      <c r="AL80" t="s">
        <v>1696</v>
      </c>
      <c r="AM80" t="s">
        <v>1096</v>
      </c>
      <c r="AN80" t="s">
        <v>1697</v>
      </c>
      <c r="AO80" t="s">
        <v>1698</v>
      </c>
      <c r="AP80" t="s">
        <v>1699</v>
      </c>
      <c r="AQ80" t="s">
        <v>74</v>
      </c>
      <c r="AR80" t="s">
        <v>1700</v>
      </c>
      <c r="AS80" t="s">
        <v>1701</v>
      </c>
      <c r="AT80" t="s">
        <v>1077</v>
      </c>
      <c r="AU80">
        <v>2009</v>
      </c>
      <c r="AV80">
        <v>121</v>
      </c>
      <c r="AW80" t="s">
        <v>1702</v>
      </c>
      <c r="AX80" t="s">
        <v>74</v>
      </c>
      <c r="AY80" t="s">
        <v>74</v>
      </c>
      <c r="AZ80" t="s">
        <v>74</v>
      </c>
      <c r="BA80" t="s">
        <v>74</v>
      </c>
      <c r="BB80">
        <v>801</v>
      </c>
      <c r="BC80">
        <v>819</v>
      </c>
      <c r="BD80" t="s">
        <v>74</v>
      </c>
      <c r="BE80" t="s">
        <v>1703</v>
      </c>
      <c r="BF80" t="str">
        <f>HYPERLINK("http://dx.doi.org/10.1130/B26342.1","http://dx.doi.org/10.1130/B26342.1")</f>
        <v>http://dx.doi.org/10.1130/B26342.1</v>
      </c>
      <c r="BG80" t="s">
        <v>74</v>
      </c>
      <c r="BH80" t="s">
        <v>74</v>
      </c>
      <c r="BI80">
        <v>19</v>
      </c>
      <c r="BJ80" t="s">
        <v>496</v>
      </c>
      <c r="BK80" t="s">
        <v>100</v>
      </c>
      <c r="BL80" t="s">
        <v>497</v>
      </c>
      <c r="BM80" t="s">
        <v>1704</v>
      </c>
      <c r="BN80" t="s">
        <v>74</v>
      </c>
      <c r="BO80" t="s">
        <v>74</v>
      </c>
      <c r="BP80" t="s">
        <v>74</v>
      </c>
      <c r="BQ80" t="s">
        <v>74</v>
      </c>
      <c r="BR80" t="s">
        <v>103</v>
      </c>
      <c r="BS80" t="s">
        <v>1705</v>
      </c>
      <c r="BT80" t="str">
        <f>HYPERLINK("https%3A%2F%2Fwww.webofscience.com%2Fwos%2Fwoscc%2Ffull-record%2FWOS:000265592200009","View Full Record in Web of Science")</f>
        <v>View Full Record in Web of Science</v>
      </c>
    </row>
    <row r="81" spans="1:72" x14ac:dyDescent="0.15">
      <c r="A81" t="s">
        <v>72</v>
      </c>
      <c r="B81" t="s">
        <v>1706</v>
      </c>
      <c r="C81" t="s">
        <v>74</v>
      </c>
      <c r="D81" t="s">
        <v>74</v>
      </c>
      <c r="E81" t="s">
        <v>74</v>
      </c>
      <c r="F81" t="s">
        <v>1707</v>
      </c>
      <c r="G81" t="s">
        <v>74</v>
      </c>
      <c r="H81" t="s">
        <v>74</v>
      </c>
      <c r="I81" t="s">
        <v>1708</v>
      </c>
      <c r="J81" t="s">
        <v>1709</v>
      </c>
      <c r="K81" t="s">
        <v>74</v>
      </c>
      <c r="L81" t="s">
        <v>74</v>
      </c>
      <c r="M81" t="s">
        <v>78</v>
      </c>
      <c r="N81" t="s">
        <v>79</v>
      </c>
      <c r="O81" t="s">
        <v>74</v>
      </c>
      <c r="P81" t="s">
        <v>74</v>
      </c>
      <c r="Q81" t="s">
        <v>74</v>
      </c>
      <c r="R81" t="s">
        <v>74</v>
      </c>
      <c r="S81" t="s">
        <v>74</v>
      </c>
      <c r="T81" t="s">
        <v>74</v>
      </c>
      <c r="U81" t="s">
        <v>1710</v>
      </c>
      <c r="V81" t="s">
        <v>1711</v>
      </c>
      <c r="W81" t="s">
        <v>1712</v>
      </c>
      <c r="X81" t="s">
        <v>1713</v>
      </c>
      <c r="Y81" t="s">
        <v>1714</v>
      </c>
      <c r="Z81" t="s">
        <v>74</v>
      </c>
      <c r="AA81" t="s">
        <v>1715</v>
      </c>
      <c r="AB81" t="s">
        <v>1716</v>
      </c>
      <c r="AC81" t="s">
        <v>1717</v>
      </c>
      <c r="AD81" t="s">
        <v>1718</v>
      </c>
      <c r="AE81" t="s">
        <v>1719</v>
      </c>
      <c r="AF81" t="s">
        <v>74</v>
      </c>
      <c r="AG81">
        <v>31</v>
      </c>
      <c r="AH81">
        <v>92</v>
      </c>
      <c r="AI81">
        <v>95</v>
      </c>
      <c r="AJ81">
        <v>0</v>
      </c>
      <c r="AK81">
        <v>9</v>
      </c>
      <c r="AL81" t="s">
        <v>1696</v>
      </c>
      <c r="AM81" t="s">
        <v>1096</v>
      </c>
      <c r="AN81" t="s">
        <v>1697</v>
      </c>
      <c r="AO81" t="s">
        <v>1720</v>
      </c>
      <c r="AP81" t="s">
        <v>1721</v>
      </c>
      <c r="AQ81" t="s">
        <v>74</v>
      </c>
      <c r="AR81" t="s">
        <v>1709</v>
      </c>
      <c r="AS81" t="s">
        <v>497</v>
      </c>
      <c r="AT81" t="s">
        <v>1077</v>
      </c>
      <c r="AU81">
        <v>2009</v>
      </c>
      <c r="AV81">
        <v>37</v>
      </c>
      <c r="AW81">
        <v>5</v>
      </c>
      <c r="AX81" t="s">
        <v>74</v>
      </c>
      <c r="AY81" t="s">
        <v>74</v>
      </c>
      <c r="AZ81" t="s">
        <v>74</v>
      </c>
      <c r="BA81" t="s">
        <v>74</v>
      </c>
      <c r="BB81">
        <v>411</v>
      </c>
      <c r="BC81">
        <v>414</v>
      </c>
      <c r="BD81" t="s">
        <v>74</v>
      </c>
      <c r="BE81" t="s">
        <v>1722</v>
      </c>
      <c r="BF81" t="str">
        <f>HYPERLINK("http://dx.doi.org/10.1130/G25505A.1","http://dx.doi.org/10.1130/G25505A.1")</f>
        <v>http://dx.doi.org/10.1130/G25505A.1</v>
      </c>
      <c r="BG81" t="s">
        <v>74</v>
      </c>
      <c r="BH81" t="s">
        <v>74</v>
      </c>
      <c r="BI81">
        <v>4</v>
      </c>
      <c r="BJ81" t="s">
        <v>497</v>
      </c>
      <c r="BK81" t="s">
        <v>100</v>
      </c>
      <c r="BL81" t="s">
        <v>497</v>
      </c>
      <c r="BM81" t="s">
        <v>1723</v>
      </c>
      <c r="BN81" t="s">
        <v>74</v>
      </c>
      <c r="BO81" t="s">
        <v>217</v>
      </c>
      <c r="BP81" t="s">
        <v>74</v>
      </c>
      <c r="BQ81" t="s">
        <v>74</v>
      </c>
      <c r="BR81" t="s">
        <v>103</v>
      </c>
      <c r="BS81" t="s">
        <v>1724</v>
      </c>
      <c r="BT81" t="str">
        <f>HYPERLINK("https%3A%2F%2Fwww.webofscience.com%2Fwos%2Fwoscc%2Ffull-record%2FWOS:000265751100007","View Full Record in Web of Science")</f>
        <v>View Full Record in Web of Science</v>
      </c>
    </row>
    <row r="82" spans="1:72" x14ac:dyDescent="0.15">
      <c r="A82" t="s">
        <v>72</v>
      </c>
      <c r="B82" t="s">
        <v>1725</v>
      </c>
      <c r="C82" t="s">
        <v>74</v>
      </c>
      <c r="D82" t="s">
        <v>74</v>
      </c>
      <c r="E82" t="s">
        <v>74</v>
      </c>
      <c r="F82" t="s">
        <v>1726</v>
      </c>
      <c r="G82" t="s">
        <v>74</v>
      </c>
      <c r="H82" t="s">
        <v>74</v>
      </c>
      <c r="I82" t="s">
        <v>1727</v>
      </c>
      <c r="J82" t="s">
        <v>1728</v>
      </c>
      <c r="K82" t="s">
        <v>74</v>
      </c>
      <c r="L82" t="s">
        <v>74</v>
      </c>
      <c r="M82" t="s">
        <v>78</v>
      </c>
      <c r="N82" t="s">
        <v>79</v>
      </c>
      <c r="O82" t="s">
        <v>74</v>
      </c>
      <c r="P82" t="s">
        <v>74</v>
      </c>
      <c r="Q82" t="s">
        <v>74</v>
      </c>
      <c r="R82" t="s">
        <v>74</v>
      </c>
      <c r="S82" t="s">
        <v>74</v>
      </c>
      <c r="T82" t="s">
        <v>1729</v>
      </c>
      <c r="U82" t="s">
        <v>1730</v>
      </c>
      <c r="V82" t="s">
        <v>1731</v>
      </c>
      <c r="W82" t="s">
        <v>1732</v>
      </c>
      <c r="X82" t="s">
        <v>1733</v>
      </c>
      <c r="Y82" t="s">
        <v>1734</v>
      </c>
      <c r="Z82" t="s">
        <v>1735</v>
      </c>
      <c r="AA82" t="s">
        <v>74</v>
      </c>
      <c r="AB82" t="s">
        <v>74</v>
      </c>
      <c r="AC82" t="s">
        <v>1736</v>
      </c>
      <c r="AD82" t="s">
        <v>1737</v>
      </c>
      <c r="AE82" t="s">
        <v>1738</v>
      </c>
      <c r="AF82" t="s">
        <v>74</v>
      </c>
      <c r="AG82">
        <v>80</v>
      </c>
      <c r="AH82">
        <v>44</v>
      </c>
      <c r="AI82">
        <v>47</v>
      </c>
      <c r="AJ82">
        <v>0</v>
      </c>
      <c r="AK82">
        <v>13</v>
      </c>
      <c r="AL82" t="s">
        <v>1739</v>
      </c>
      <c r="AM82" t="s">
        <v>304</v>
      </c>
      <c r="AN82" t="s">
        <v>1740</v>
      </c>
      <c r="AO82" t="s">
        <v>1741</v>
      </c>
      <c r="AP82" t="s">
        <v>1742</v>
      </c>
      <c r="AQ82" t="s">
        <v>74</v>
      </c>
      <c r="AR82" t="s">
        <v>1743</v>
      </c>
      <c r="AS82" t="s">
        <v>1744</v>
      </c>
      <c r="AT82" t="s">
        <v>1077</v>
      </c>
      <c r="AU82">
        <v>2009</v>
      </c>
      <c r="AV82">
        <v>177</v>
      </c>
      <c r="AW82">
        <v>2</v>
      </c>
      <c r="AX82" t="s">
        <v>74</v>
      </c>
      <c r="AY82" t="s">
        <v>74</v>
      </c>
      <c r="AZ82" t="s">
        <v>74</v>
      </c>
      <c r="BA82" t="s">
        <v>74</v>
      </c>
      <c r="BB82">
        <v>430</v>
      </c>
      <c r="BC82">
        <v>450</v>
      </c>
      <c r="BD82" t="s">
        <v>74</v>
      </c>
      <c r="BE82" t="s">
        <v>1745</v>
      </c>
      <c r="BF82" t="str">
        <f>HYPERLINK("http://dx.doi.org/10.1111/j.1365-246X.2008.04066.x","http://dx.doi.org/10.1111/j.1365-246X.2008.04066.x")</f>
        <v>http://dx.doi.org/10.1111/j.1365-246X.2008.04066.x</v>
      </c>
      <c r="BG82" t="s">
        <v>74</v>
      </c>
      <c r="BH82" t="s">
        <v>74</v>
      </c>
      <c r="BI82">
        <v>21</v>
      </c>
      <c r="BJ82" t="s">
        <v>534</v>
      </c>
      <c r="BK82" t="s">
        <v>100</v>
      </c>
      <c r="BL82" t="s">
        <v>534</v>
      </c>
      <c r="BM82" t="s">
        <v>1746</v>
      </c>
      <c r="BN82" t="s">
        <v>74</v>
      </c>
      <c r="BO82" t="s">
        <v>1137</v>
      </c>
      <c r="BP82" t="s">
        <v>74</v>
      </c>
      <c r="BQ82" t="s">
        <v>74</v>
      </c>
      <c r="BR82" t="s">
        <v>103</v>
      </c>
      <c r="BS82" t="s">
        <v>1747</v>
      </c>
      <c r="BT82" t="str">
        <f>HYPERLINK("https%3A%2F%2Fwww.webofscience.com%2Fwos%2Fwoscc%2Ffull-record%2FWOS:000265012200009","View Full Record in Web of Science")</f>
        <v>View Full Record in Web of Science</v>
      </c>
    </row>
    <row r="83" spans="1:72" x14ac:dyDescent="0.15">
      <c r="A83" t="s">
        <v>72</v>
      </c>
      <c r="B83" t="s">
        <v>1748</v>
      </c>
      <c r="C83" t="s">
        <v>74</v>
      </c>
      <c r="D83" t="s">
        <v>74</v>
      </c>
      <c r="E83" t="s">
        <v>74</v>
      </c>
      <c r="F83" t="s">
        <v>1749</v>
      </c>
      <c r="G83" t="s">
        <v>74</v>
      </c>
      <c r="H83" t="s">
        <v>74</v>
      </c>
      <c r="I83" t="s">
        <v>1750</v>
      </c>
      <c r="J83" t="s">
        <v>1751</v>
      </c>
      <c r="K83" t="s">
        <v>74</v>
      </c>
      <c r="L83" t="s">
        <v>74</v>
      </c>
      <c r="M83" t="s">
        <v>78</v>
      </c>
      <c r="N83" t="s">
        <v>79</v>
      </c>
      <c r="O83" t="s">
        <v>74</v>
      </c>
      <c r="P83" t="s">
        <v>74</v>
      </c>
      <c r="Q83" t="s">
        <v>74</v>
      </c>
      <c r="R83" t="s">
        <v>74</v>
      </c>
      <c r="S83" t="s">
        <v>74</v>
      </c>
      <c r="T83" t="s">
        <v>74</v>
      </c>
      <c r="U83" t="s">
        <v>1752</v>
      </c>
      <c r="V83" t="s">
        <v>1753</v>
      </c>
      <c r="W83" t="s">
        <v>1754</v>
      </c>
      <c r="X83" t="s">
        <v>1755</v>
      </c>
      <c r="Y83" t="s">
        <v>1756</v>
      </c>
      <c r="Z83" t="s">
        <v>1757</v>
      </c>
      <c r="AA83" t="s">
        <v>74</v>
      </c>
      <c r="AB83" t="s">
        <v>74</v>
      </c>
      <c r="AC83" t="s">
        <v>1758</v>
      </c>
      <c r="AD83" t="s">
        <v>1759</v>
      </c>
      <c r="AE83" t="s">
        <v>1760</v>
      </c>
      <c r="AF83" t="s">
        <v>74</v>
      </c>
      <c r="AG83">
        <v>20</v>
      </c>
      <c r="AH83">
        <v>3</v>
      </c>
      <c r="AI83">
        <v>3</v>
      </c>
      <c r="AJ83">
        <v>0</v>
      </c>
      <c r="AK83">
        <v>4</v>
      </c>
      <c r="AL83" t="s">
        <v>1761</v>
      </c>
      <c r="AM83" t="s">
        <v>1762</v>
      </c>
      <c r="AN83" t="s">
        <v>1763</v>
      </c>
      <c r="AO83" t="s">
        <v>1764</v>
      </c>
      <c r="AP83" t="s">
        <v>1765</v>
      </c>
      <c r="AQ83" t="s">
        <v>74</v>
      </c>
      <c r="AR83" t="s">
        <v>1766</v>
      </c>
      <c r="AS83" t="s">
        <v>1767</v>
      </c>
      <c r="AT83" t="s">
        <v>1077</v>
      </c>
      <c r="AU83">
        <v>2009</v>
      </c>
      <c r="AV83">
        <v>43</v>
      </c>
      <c r="AW83">
        <v>3</v>
      </c>
      <c r="AX83" t="s">
        <v>74</v>
      </c>
      <c r="AY83" t="s">
        <v>74</v>
      </c>
      <c r="AZ83" t="s">
        <v>74</v>
      </c>
      <c r="BA83" t="s">
        <v>74</v>
      </c>
      <c r="BB83">
        <v>185</v>
      </c>
      <c r="BC83">
        <v>193</v>
      </c>
      <c r="BD83" t="s">
        <v>74</v>
      </c>
      <c r="BE83" t="s">
        <v>1768</v>
      </c>
      <c r="BF83" t="str">
        <f>HYPERLINK("http://dx.doi.org/10.1134/S0016852109030017","http://dx.doi.org/10.1134/S0016852109030017")</f>
        <v>http://dx.doi.org/10.1134/S0016852109030017</v>
      </c>
      <c r="BG83" t="s">
        <v>74</v>
      </c>
      <c r="BH83" t="s">
        <v>74</v>
      </c>
      <c r="BI83">
        <v>9</v>
      </c>
      <c r="BJ83" t="s">
        <v>534</v>
      </c>
      <c r="BK83" t="s">
        <v>100</v>
      </c>
      <c r="BL83" t="s">
        <v>534</v>
      </c>
      <c r="BM83" t="s">
        <v>1769</v>
      </c>
      <c r="BN83" t="s">
        <v>74</v>
      </c>
      <c r="BO83" t="s">
        <v>74</v>
      </c>
      <c r="BP83" t="s">
        <v>74</v>
      </c>
      <c r="BQ83" t="s">
        <v>74</v>
      </c>
      <c r="BR83" t="s">
        <v>103</v>
      </c>
      <c r="BS83" t="s">
        <v>1770</v>
      </c>
      <c r="BT83" t="str">
        <f>HYPERLINK("https%3A%2F%2Fwww.webofscience.com%2Fwos%2Fwoscc%2Ffull-record%2FWOS:000267219400001","View Full Record in Web of Science")</f>
        <v>View Full Record in Web of Science</v>
      </c>
    </row>
    <row r="84" spans="1:72" x14ac:dyDescent="0.15">
      <c r="A84" t="s">
        <v>72</v>
      </c>
      <c r="B84" t="s">
        <v>1771</v>
      </c>
      <c r="C84" t="s">
        <v>74</v>
      </c>
      <c r="D84" t="s">
        <v>74</v>
      </c>
      <c r="E84" t="s">
        <v>74</v>
      </c>
      <c r="F84" t="s">
        <v>1772</v>
      </c>
      <c r="G84" t="s">
        <v>74</v>
      </c>
      <c r="H84" t="s">
        <v>74</v>
      </c>
      <c r="I84" t="s">
        <v>1773</v>
      </c>
      <c r="J84" t="s">
        <v>1751</v>
      </c>
      <c r="K84" t="s">
        <v>74</v>
      </c>
      <c r="L84" t="s">
        <v>74</v>
      </c>
      <c r="M84" t="s">
        <v>78</v>
      </c>
      <c r="N84" t="s">
        <v>79</v>
      </c>
      <c r="O84" t="s">
        <v>74</v>
      </c>
      <c r="P84" t="s">
        <v>74</v>
      </c>
      <c r="Q84" t="s">
        <v>74</v>
      </c>
      <c r="R84" t="s">
        <v>74</v>
      </c>
      <c r="S84" t="s">
        <v>74</v>
      </c>
      <c r="T84" t="s">
        <v>74</v>
      </c>
      <c r="U84" t="s">
        <v>74</v>
      </c>
      <c r="V84" t="s">
        <v>1774</v>
      </c>
      <c r="W84" t="s">
        <v>1775</v>
      </c>
      <c r="X84" t="s">
        <v>1776</v>
      </c>
      <c r="Y84" t="s">
        <v>1777</v>
      </c>
      <c r="Z84" t="s">
        <v>1778</v>
      </c>
      <c r="AA84" t="s">
        <v>1779</v>
      </c>
      <c r="AB84" t="s">
        <v>1780</v>
      </c>
      <c r="AC84" t="s">
        <v>1781</v>
      </c>
      <c r="AD84" t="s">
        <v>1782</v>
      </c>
      <c r="AE84" t="s">
        <v>1783</v>
      </c>
      <c r="AF84" t="s">
        <v>74</v>
      </c>
      <c r="AG84">
        <v>18</v>
      </c>
      <c r="AH84">
        <v>8</v>
      </c>
      <c r="AI84">
        <v>11</v>
      </c>
      <c r="AJ84">
        <v>0</v>
      </c>
      <c r="AK84">
        <v>7</v>
      </c>
      <c r="AL84" t="s">
        <v>1761</v>
      </c>
      <c r="AM84" t="s">
        <v>1762</v>
      </c>
      <c r="AN84" t="s">
        <v>1763</v>
      </c>
      <c r="AO84" t="s">
        <v>1764</v>
      </c>
      <c r="AP84" t="s">
        <v>1765</v>
      </c>
      <c r="AQ84" t="s">
        <v>74</v>
      </c>
      <c r="AR84" t="s">
        <v>1766</v>
      </c>
      <c r="AS84" t="s">
        <v>1767</v>
      </c>
      <c r="AT84" t="s">
        <v>1077</v>
      </c>
      <c r="AU84">
        <v>2009</v>
      </c>
      <c r="AV84">
        <v>43</v>
      </c>
      <c r="AW84">
        <v>3</v>
      </c>
      <c r="AX84" t="s">
        <v>74</v>
      </c>
      <c r="AY84" t="s">
        <v>74</v>
      </c>
      <c r="AZ84" t="s">
        <v>74</v>
      </c>
      <c r="BA84" t="s">
        <v>74</v>
      </c>
      <c r="BB84">
        <v>221</v>
      </c>
      <c r="BC84">
        <v>225</v>
      </c>
      <c r="BD84" t="s">
        <v>74</v>
      </c>
      <c r="BE84" t="s">
        <v>1784</v>
      </c>
      <c r="BF84" t="str">
        <f>HYPERLINK("http://dx.doi.org/10.1134/S0016852109030042","http://dx.doi.org/10.1134/S0016852109030042")</f>
        <v>http://dx.doi.org/10.1134/S0016852109030042</v>
      </c>
      <c r="BG84" t="s">
        <v>74</v>
      </c>
      <c r="BH84" t="s">
        <v>74</v>
      </c>
      <c r="BI84">
        <v>5</v>
      </c>
      <c r="BJ84" t="s">
        <v>534</v>
      </c>
      <c r="BK84" t="s">
        <v>100</v>
      </c>
      <c r="BL84" t="s">
        <v>534</v>
      </c>
      <c r="BM84" t="s">
        <v>1769</v>
      </c>
      <c r="BN84" t="s">
        <v>74</v>
      </c>
      <c r="BO84" t="s">
        <v>74</v>
      </c>
      <c r="BP84" t="s">
        <v>74</v>
      </c>
      <c r="BQ84" t="s">
        <v>74</v>
      </c>
      <c r="BR84" t="s">
        <v>103</v>
      </c>
      <c r="BS84" t="s">
        <v>1785</v>
      </c>
      <c r="BT84" t="str">
        <f>HYPERLINK("https%3A%2F%2Fwww.webofscience.com%2Fwos%2Fwoscc%2Ffull-record%2FWOS:000267219400004","View Full Record in Web of Science")</f>
        <v>View Full Record in Web of Science</v>
      </c>
    </row>
    <row r="85" spans="1:72" x14ac:dyDescent="0.15">
      <c r="A85" t="s">
        <v>72</v>
      </c>
      <c r="B85" t="s">
        <v>1786</v>
      </c>
      <c r="C85" t="s">
        <v>74</v>
      </c>
      <c r="D85" t="s">
        <v>74</v>
      </c>
      <c r="E85" t="s">
        <v>74</v>
      </c>
      <c r="F85" t="s">
        <v>1787</v>
      </c>
      <c r="G85" t="s">
        <v>74</v>
      </c>
      <c r="H85" t="s">
        <v>74</v>
      </c>
      <c r="I85" t="s">
        <v>1788</v>
      </c>
      <c r="J85" t="s">
        <v>1789</v>
      </c>
      <c r="K85" t="s">
        <v>74</v>
      </c>
      <c r="L85" t="s">
        <v>74</v>
      </c>
      <c r="M85" t="s">
        <v>78</v>
      </c>
      <c r="N85" t="s">
        <v>79</v>
      </c>
      <c r="O85" t="s">
        <v>74</v>
      </c>
      <c r="P85" t="s">
        <v>74</v>
      </c>
      <c r="Q85" t="s">
        <v>74</v>
      </c>
      <c r="R85" t="s">
        <v>74</v>
      </c>
      <c r="S85" t="s">
        <v>74</v>
      </c>
      <c r="T85" t="s">
        <v>1790</v>
      </c>
      <c r="U85" t="s">
        <v>1791</v>
      </c>
      <c r="V85" t="s">
        <v>1792</v>
      </c>
      <c r="W85" t="s">
        <v>1793</v>
      </c>
      <c r="X85" t="s">
        <v>1794</v>
      </c>
      <c r="Y85" t="s">
        <v>1795</v>
      </c>
      <c r="Z85" t="s">
        <v>1796</v>
      </c>
      <c r="AA85" t="s">
        <v>74</v>
      </c>
      <c r="AB85" t="s">
        <v>1797</v>
      </c>
      <c r="AC85" t="s">
        <v>1798</v>
      </c>
      <c r="AD85" t="s">
        <v>1799</v>
      </c>
      <c r="AE85" t="s">
        <v>1800</v>
      </c>
      <c r="AF85" t="s">
        <v>74</v>
      </c>
      <c r="AG85">
        <v>68</v>
      </c>
      <c r="AH85">
        <v>55</v>
      </c>
      <c r="AI85">
        <v>69</v>
      </c>
      <c r="AJ85">
        <v>0</v>
      </c>
      <c r="AK85">
        <v>17</v>
      </c>
      <c r="AL85" t="s">
        <v>1801</v>
      </c>
      <c r="AM85" t="s">
        <v>1802</v>
      </c>
      <c r="AN85" t="s">
        <v>1803</v>
      </c>
      <c r="AO85" t="s">
        <v>1804</v>
      </c>
      <c r="AP85" t="s">
        <v>1805</v>
      </c>
      <c r="AQ85" t="s">
        <v>74</v>
      </c>
      <c r="AR85" t="s">
        <v>1789</v>
      </c>
      <c r="AS85" t="s">
        <v>1806</v>
      </c>
      <c r="AT85" t="s">
        <v>1077</v>
      </c>
      <c r="AU85">
        <v>2009</v>
      </c>
      <c r="AV85">
        <v>201</v>
      </c>
      <c r="AW85">
        <v>1</v>
      </c>
      <c r="AX85" t="s">
        <v>74</v>
      </c>
      <c r="AY85" t="s">
        <v>74</v>
      </c>
      <c r="AZ85" t="s">
        <v>74</v>
      </c>
      <c r="BA85" t="s">
        <v>74</v>
      </c>
      <c r="BB85">
        <v>113</v>
      </c>
      <c r="BC85">
        <v>126</v>
      </c>
      <c r="BD85" t="s">
        <v>74</v>
      </c>
      <c r="BE85" t="s">
        <v>1807</v>
      </c>
      <c r="BF85" t="str">
        <f>HYPERLINK("http://dx.doi.org/10.1016/j.icarus.2008.12.043","http://dx.doi.org/10.1016/j.icarus.2008.12.043")</f>
        <v>http://dx.doi.org/10.1016/j.icarus.2008.12.043</v>
      </c>
      <c r="BG85" t="s">
        <v>74</v>
      </c>
      <c r="BH85" t="s">
        <v>74</v>
      </c>
      <c r="BI85">
        <v>14</v>
      </c>
      <c r="BJ85" t="s">
        <v>285</v>
      </c>
      <c r="BK85" t="s">
        <v>100</v>
      </c>
      <c r="BL85" t="s">
        <v>285</v>
      </c>
      <c r="BM85" t="s">
        <v>1808</v>
      </c>
      <c r="BN85" t="s">
        <v>74</v>
      </c>
      <c r="BO85" t="s">
        <v>74</v>
      </c>
      <c r="BP85" t="s">
        <v>74</v>
      </c>
      <c r="BQ85" t="s">
        <v>74</v>
      </c>
      <c r="BR85" t="s">
        <v>103</v>
      </c>
      <c r="BS85" t="s">
        <v>1809</v>
      </c>
      <c r="BT85" t="str">
        <f>HYPERLINK("https%3A%2F%2Fwww.webofscience.com%2Fwos%2Fwoscc%2Ffull-record%2FWOS:000265957900008","View Full Record in Web of Science")</f>
        <v>View Full Record in Web of Science</v>
      </c>
    </row>
    <row r="86" spans="1:72" x14ac:dyDescent="0.15">
      <c r="A86" t="s">
        <v>72</v>
      </c>
      <c r="B86" t="s">
        <v>1810</v>
      </c>
      <c r="C86" t="s">
        <v>74</v>
      </c>
      <c r="D86" t="s">
        <v>74</v>
      </c>
      <c r="E86" t="s">
        <v>74</v>
      </c>
      <c r="F86" t="s">
        <v>1811</v>
      </c>
      <c r="G86" t="s">
        <v>74</v>
      </c>
      <c r="H86" t="s">
        <v>74</v>
      </c>
      <c r="I86" t="s">
        <v>1812</v>
      </c>
      <c r="J86" t="s">
        <v>1813</v>
      </c>
      <c r="K86" t="s">
        <v>74</v>
      </c>
      <c r="L86" t="s">
        <v>74</v>
      </c>
      <c r="M86" t="s">
        <v>78</v>
      </c>
      <c r="N86" t="s">
        <v>172</v>
      </c>
      <c r="O86" t="s">
        <v>74</v>
      </c>
      <c r="P86" t="s">
        <v>74</v>
      </c>
      <c r="Q86" t="s">
        <v>74</v>
      </c>
      <c r="R86" t="s">
        <v>74</v>
      </c>
      <c r="S86" t="s">
        <v>74</v>
      </c>
      <c r="T86" t="s">
        <v>1814</v>
      </c>
      <c r="U86" t="s">
        <v>1815</v>
      </c>
      <c r="V86" t="s">
        <v>1816</v>
      </c>
      <c r="W86" t="s">
        <v>1817</v>
      </c>
      <c r="X86" t="s">
        <v>1818</v>
      </c>
      <c r="Y86" t="s">
        <v>1819</v>
      </c>
      <c r="Z86" t="s">
        <v>1820</v>
      </c>
      <c r="AA86" t="s">
        <v>1821</v>
      </c>
      <c r="AB86" t="s">
        <v>1822</v>
      </c>
      <c r="AC86" t="s">
        <v>1823</v>
      </c>
      <c r="AD86" t="s">
        <v>1824</v>
      </c>
      <c r="AE86" t="s">
        <v>1825</v>
      </c>
      <c r="AF86" t="s">
        <v>74</v>
      </c>
      <c r="AG86">
        <v>64</v>
      </c>
      <c r="AH86">
        <v>176</v>
      </c>
      <c r="AI86">
        <v>192</v>
      </c>
      <c r="AJ86">
        <v>1</v>
      </c>
      <c r="AK86">
        <v>41</v>
      </c>
      <c r="AL86" t="s">
        <v>489</v>
      </c>
      <c r="AM86" t="s">
        <v>490</v>
      </c>
      <c r="AN86" t="s">
        <v>491</v>
      </c>
      <c r="AO86" t="s">
        <v>1826</v>
      </c>
      <c r="AP86" t="s">
        <v>1827</v>
      </c>
      <c r="AQ86" t="s">
        <v>74</v>
      </c>
      <c r="AR86" t="s">
        <v>1828</v>
      </c>
      <c r="AS86" t="s">
        <v>1829</v>
      </c>
      <c r="AT86" t="s">
        <v>1077</v>
      </c>
      <c r="AU86">
        <v>2009</v>
      </c>
      <c r="AV86">
        <v>29</v>
      </c>
      <c r="AW86">
        <v>6</v>
      </c>
      <c r="AX86" t="s">
        <v>74</v>
      </c>
      <c r="AY86" t="s">
        <v>74</v>
      </c>
      <c r="AZ86" t="s">
        <v>74</v>
      </c>
      <c r="BA86" t="s">
        <v>74</v>
      </c>
      <c r="BB86">
        <v>777</v>
      </c>
      <c r="BC86">
        <v>789</v>
      </c>
      <c r="BD86" t="s">
        <v>74</v>
      </c>
      <c r="BE86" t="s">
        <v>1830</v>
      </c>
      <c r="BF86" t="str">
        <f>HYPERLINK("http://dx.doi.org/10.1002/joc.1771","http://dx.doi.org/10.1002/joc.1771")</f>
        <v>http://dx.doi.org/10.1002/joc.1771</v>
      </c>
      <c r="BG86" t="s">
        <v>74</v>
      </c>
      <c r="BH86" t="s">
        <v>74</v>
      </c>
      <c r="BI86">
        <v>13</v>
      </c>
      <c r="BJ86" t="s">
        <v>398</v>
      </c>
      <c r="BK86" t="s">
        <v>100</v>
      </c>
      <c r="BL86" t="s">
        <v>398</v>
      </c>
      <c r="BM86" t="s">
        <v>1831</v>
      </c>
      <c r="BN86" t="s">
        <v>74</v>
      </c>
      <c r="BO86" t="s">
        <v>74</v>
      </c>
      <c r="BP86" t="s">
        <v>74</v>
      </c>
      <c r="BQ86" t="s">
        <v>74</v>
      </c>
      <c r="BR86" t="s">
        <v>103</v>
      </c>
      <c r="BS86" t="s">
        <v>1832</v>
      </c>
      <c r="BT86" t="str">
        <f>HYPERLINK("https%3A%2F%2Fwww.webofscience.com%2Fwos%2Fwoscc%2Ffull-record%2FWOS:000265807500001","View Full Record in Web of Science")</f>
        <v>View Full Record in Web of Science</v>
      </c>
    </row>
    <row r="87" spans="1:72" x14ac:dyDescent="0.15">
      <c r="A87" t="s">
        <v>72</v>
      </c>
      <c r="B87" t="s">
        <v>1833</v>
      </c>
      <c r="C87" t="s">
        <v>74</v>
      </c>
      <c r="D87" t="s">
        <v>74</v>
      </c>
      <c r="E87" t="s">
        <v>74</v>
      </c>
      <c r="F87" t="s">
        <v>1834</v>
      </c>
      <c r="G87" t="s">
        <v>74</v>
      </c>
      <c r="H87" t="s">
        <v>74</v>
      </c>
      <c r="I87" t="s">
        <v>1835</v>
      </c>
      <c r="J87" t="s">
        <v>1836</v>
      </c>
      <c r="K87" t="s">
        <v>74</v>
      </c>
      <c r="L87" t="s">
        <v>74</v>
      </c>
      <c r="M87" t="s">
        <v>78</v>
      </c>
      <c r="N87" t="s">
        <v>79</v>
      </c>
      <c r="O87" t="s">
        <v>74</v>
      </c>
      <c r="P87" t="s">
        <v>74</v>
      </c>
      <c r="Q87" t="s">
        <v>74</v>
      </c>
      <c r="R87" t="s">
        <v>74</v>
      </c>
      <c r="S87" t="s">
        <v>74</v>
      </c>
      <c r="T87" t="s">
        <v>74</v>
      </c>
      <c r="U87" t="s">
        <v>1837</v>
      </c>
      <c r="V87" t="s">
        <v>1838</v>
      </c>
      <c r="W87" t="s">
        <v>1839</v>
      </c>
      <c r="X87" t="s">
        <v>1840</v>
      </c>
      <c r="Y87" t="s">
        <v>1841</v>
      </c>
      <c r="Z87" t="s">
        <v>1842</v>
      </c>
      <c r="AA87" t="s">
        <v>1843</v>
      </c>
      <c r="AB87" t="s">
        <v>74</v>
      </c>
      <c r="AC87" t="s">
        <v>1844</v>
      </c>
      <c r="AD87" t="s">
        <v>1845</v>
      </c>
      <c r="AE87" t="s">
        <v>1846</v>
      </c>
      <c r="AF87" t="s">
        <v>74</v>
      </c>
      <c r="AG87">
        <v>71</v>
      </c>
      <c r="AH87">
        <v>93</v>
      </c>
      <c r="AI87">
        <v>108</v>
      </c>
      <c r="AJ87">
        <v>0</v>
      </c>
      <c r="AK87">
        <v>54</v>
      </c>
      <c r="AL87" t="s">
        <v>1847</v>
      </c>
      <c r="AM87" t="s">
        <v>1848</v>
      </c>
      <c r="AN87" t="s">
        <v>1849</v>
      </c>
      <c r="AO87" t="s">
        <v>1850</v>
      </c>
      <c r="AP87" t="s">
        <v>74</v>
      </c>
      <c r="AQ87" t="s">
        <v>74</v>
      </c>
      <c r="AR87" t="s">
        <v>1851</v>
      </c>
      <c r="AS87" t="s">
        <v>1852</v>
      </c>
      <c r="AT87" t="s">
        <v>1077</v>
      </c>
      <c r="AU87">
        <v>2009</v>
      </c>
      <c r="AV87">
        <v>40</v>
      </c>
      <c r="AW87">
        <v>3</v>
      </c>
      <c r="AX87" t="s">
        <v>74</v>
      </c>
      <c r="AY87" t="s">
        <v>74</v>
      </c>
      <c r="AZ87" t="s">
        <v>74</v>
      </c>
      <c r="BA87" t="s">
        <v>74</v>
      </c>
      <c r="BB87">
        <v>279</v>
      </c>
      <c r="BC87">
        <v>288</v>
      </c>
      <c r="BD87" t="s">
        <v>74</v>
      </c>
      <c r="BE87" t="s">
        <v>1853</v>
      </c>
      <c r="BF87" t="str">
        <f>HYPERLINK("http://dx.doi.org/10.1111/j.1600-048X.2008.04538.x","http://dx.doi.org/10.1111/j.1600-048X.2008.04538.x")</f>
        <v>http://dx.doi.org/10.1111/j.1600-048X.2008.04538.x</v>
      </c>
      <c r="BG87" t="s">
        <v>74</v>
      </c>
      <c r="BH87" t="s">
        <v>74</v>
      </c>
      <c r="BI87">
        <v>10</v>
      </c>
      <c r="BJ87" t="s">
        <v>1854</v>
      </c>
      <c r="BK87" t="s">
        <v>100</v>
      </c>
      <c r="BL87" t="s">
        <v>908</v>
      </c>
      <c r="BM87" t="s">
        <v>1855</v>
      </c>
      <c r="BN87" t="s">
        <v>74</v>
      </c>
      <c r="BO87" t="s">
        <v>1106</v>
      </c>
      <c r="BP87" t="s">
        <v>74</v>
      </c>
      <c r="BQ87" t="s">
        <v>74</v>
      </c>
      <c r="BR87" t="s">
        <v>103</v>
      </c>
      <c r="BS87" t="s">
        <v>1856</v>
      </c>
      <c r="BT87" t="str">
        <f>HYPERLINK("https%3A%2F%2Fwww.webofscience.com%2Fwos%2Fwoscc%2Ffull-record%2FWOS:000266027200008","View Full Record in Web of Science")</f>
        <v>View Full Record in Web of Science</v>
      </c>
    </row>
    <row r="88" spans="1:72" x14ac:dyDescent="0.15">
      <c r="A88" t="s">
        <v>72</v>
      </c>
      <c r="B88" t="s">
        <v>1857</v>
      </c>
      <c r="C88" t="s">
        <v>74</v>
      </c>
      <c r="D88" t="s">
        <v>74</v>
      </c>
      <c r="E88" t="s">
        <v>74</v>
      </c>
      <c r="F88" t="s">
        <v>1858</v>
      </c>
      <c r="G88" t="s">
        <v>74</v>
      </c>
      <c r="H88" t="s">
        <v>74</v>
      </c>
      <c r="I88" t="s">
        <v>1859</v>
      </c>
      <c r="J88" t="s">
        <v>1860</v>
      </c>
      <c r="K88" t="s">
        <v>74</v>
      </c>
      <c r="L88" t="s">
        <v>74</v>
      </c>
      <c r="M88" t="s">
        <v>78</v>
      </c>
      <c r="N88" t="s">
        <v>79</v>
      </c>
      <c r="O88" t="s">
        <v>74</v>
      </c>
      <c r="P88" t="s">
        <v>74</v>
      </c>
      <c r="Q88" t="s">
        <v>74</v>
      </c>
      <c r="R88" t="s">
        <v>74</v>
      </c>
      <c r="S88" t="s">
        <v>74</v>
      </c>
      <c r="T88" t="s">
        <v>1861</v>
      </c>
      <c r="U88" t="s">
        <v>1862</v>
      </c>
      <c r="V88" t="s">
        <v>1863</v>
      </c>
      <c r="W88" t="s">
        <v>1864</v>
      </c>
      <c r="X88" t="s">
        <v>1865</v>
      </c>
      <c r="Y88" t="s">
        <v>1866</v>
      </c>
      <c r="Z88" t="s">
        <v>1867</v>
      </c>
      <c r="AA88" t="s">
        <v>1868</v>
      </c>
      <c r="AB88" t="s">
        <v>1869</v>
      </c>
      <c r="AC88" t="s">
        <v>1870</v>
      </c>
      <c r="AD88" t="s">
        <v>1871</v>
      </c>
      <c r="AE88" t="s">
        <v>1872</v>
      </c>
      <c r="AF88" t="s">
        <v>74</v>
      </c>
      <c r="AG88">
        <v>32</v>
      </c>
      <c r="AH88">
        <v>16</v>
      </c>
      <c r="AI88">
        <v>17</v>
      </c>
      <c r="AJ88">
        <v>5</v>
      </c>
      <c r="AK88">
        <v>32</v>
      </c>
      <c r="AL88" t="s">
        <v>489</v>
      </c>
      <c r="AM88" t="s">
        <v>490</v>
      </c>
      <c r="AN88" t="s">
        <v>491</v>
      </c>
      <c r="AO88" t="s">
        <v>1873</v>
      </c>
      <c r="AP88" t="s">
        <v>1874</v>
      </c>
      <c r="AQ88" t="s">
        <v>74</v>
      </c>
      <c r="AR88" t="s">
        <v>1875</v>
      </c>
      <c r="AS88" t="s">
        <v>1876</v>
      </c>
      <c r="AT88" t="s">
        <v>1077</v>
      </c>
      <c r="AU88">
        <v>2009</v>
      </c>
      <c r="AV88">
        <v>36</v>
      </c>
      <c r="AW88">
        <v>5</v>
      </c>
      <c r="AX88" t="s">
        <v>74</v>
      </c>
      <c r="AY88" t="s">
        <v>74</v>
      </c>
      <c r="AZ88" t="s">
        <v>74</v>
      </c>
      <c r="BA88" t="s">
        <v>74</v>
      </c>
      <c r="BB88">
        <v>879</v>
      </c>
      <c r="BC88">
        <v>886</v>
      </c>
      <c r="BD88" t="s">
        <v>74</v>
      </c>
      <c r="BE88" t="s">
        <v>1877</v>
      </c>
      <c r="BF88" t="str">
        <f>HYPERLINK("http://dx.doi.org/10.1111/j.1365-2699.2008.02058.x","http://dx.doi.org/10.1111/j.1365-2699.2008.02058.x")</f>
        <v>http://dx.doi.org/10.1111/j.1365-2699.2008.02058.x</v>
      </c>
      <c r="BG88" t="s">
        <v>74</v>
      </c>
      <c r="BH88" t="s">
        <v>74</v>
      </c>
      <c r="BI88">
        <v>8</v>
      </c>
      <c r="BJ88" t="s">
        <v>1878</v>
      </c>
      <c r="BK88" t="s">
        <v>100</v>
      </c>
      <c r="BL88" t="s">
        <v>1104</v>
      </c>
      <c r="BM88" t="s">
        <v>1879</v>
      </c>
      <c r="BN88" t="s">
        <v>74</v>
      </c>
      <c r="BO88" t="s">
        <v>74</v>
      </c>
      <c r="BP88" t="s">
        <v>74</v>
      </c>
      <c r="BQ88" t="s">
        <v>74</v>
      </c>
      <c r="BR88" t="s">
        <v>103</v>
      </c>
      <c r="BS88" t="s">
        <v>1880</v>
      </c>
      <c r="BT88" t="str">
        <f>HYPERLINK("https%3A%2F%2Fwww.webofscience.com%2Fwos%2Fwoscc%2Ffull-record%2FWOS:000265076300008","View Full Record in Web of Science")</f>
        <v>View Full Record in Web of Science</v>
      </c>
    </row>
    <row r="89" spans="1:72" x14ac:dyDescent="0.15">
      <c r="A89" t="s">
        <v>72</v>
      </c>
      <c r="B89" t="s">
        <v>1881</v>
      </c>
      <c r="C89" t="s">
        <v>74</v>
      </c>
      <c r="D89" t="s">
        <v>74</v>
      </c>
      <c r="E89" t="s">
        <v>74</v>
      </c>
      <c r="F89" t="s">
        <v>1882</v>
      </c>
      <c r="G89" t="s">
        <v>74</v>
      </c>
      <c r="H89" t="s">
        <v>74</v>
      </c>
      <c r="I89" t="s">
        <v>1883</v>
      </c>
      <c r="J89" t="s">
        <v>1884</v>
      </c>
      <c r="K89" t="s">
        <v>74</v>
      </c>
      <c r="L89" t="s">
        <v>74</v>
      </c>
      <c r="M89" t="s">
        <v>78</v>
      </c>
      <c r="N89" t="s">
        <v>79</v>
      </c>
      <c r="O89" t="s">
        <v>74</v>
      </c>
      <c r="P89" t="s">
        <v>74</v>
      </c>
      <c r="Q89" t="s">
        <v>74</v>
      </c>
      <c r="R89" t="s">
        <v>74</v>
      </c>
      <c r="S89" t="s">
        <v>74</v>
      </c>
      <c r="T89" t="s">
        <v>74</v>
      </c>
      <c r="U89" t="s">
        <v>1885</v>
      </c>
      <c r="V89" t="s">
        <v>1886</v>
      </c>
      <c r="W89" t="s">
        <v>1887</v>
      </c>
      <c r="X89" t="s">
        <v>1888</v>
      </c>
      <c r="Y89" t="s">
        <v>1889</v>
      </c>
      <c r="Z89" t="s">
        <v>1890</v>
      </c>
      <c r="AA89" t="s">
        <v>1891</v>
      </c>
      <c r="AB89" t="s">
        <v>1892</v>
      </c>
      <c r="AC89" t="s">
        <v>1893</v>
      </c>
      <c r="AD89" t="s">
        <v>1894</v>
      </c>
      <c r="AE89" t="s">
        <v>1895</v>
      </c>
      <c r="AF89" t="s">
        <v>74</v>
      </c>
      <c r="AG89">
        <v>34</v>
      </c>
      <c r="AH89">
        <v>8</v>
      </c>
      <c r="AI89">
        <v>10</v>
      </c>
      <c r="AJ89">
        <v>0</v>
      </c>
      <c r="AK89">
        <v>5</v>
      </c>
      <c r="AL89" t="s">
        <v>1398</v>
      </c>
      <c r="AM89" t="s">
        <v>1399</v>
      </c>
      <c r="AN89" t="s">
        <v>1400</v>
      </c>
      <c r="AO89" t="s">
        <v>1896</v>
      </c>
      <c r="AP89" t="s">
        <v>1897</v>
      </c>
      <c r="AQ89" t="s">
        <v>74</v>
      </c>
      <c r="AR89" t="s">
        <v>1898</v>
      </c>
      <c r="AS89" t="s">
        <v>1899</v>
      </c>
      <c r="AT89" t="s">
        <v>1077</v>
      </c>
      <c r="AU89">
        <v>2009</v>
      </c>
      <c r="AV89">
        <v>22</v>
      </c>
      <c r="AW89">
        <v>9</v>
      </c>
      <c r="AX89" t="s">
        <v>74</v>
      </c>
      <c r="AY89" t="s">
        <v>74</v>
      </c>
      <c r="AZ89" t="s">
        <v>74</v>
      </c>
      <c r="BA89" t="s">
        <v>74</v>
      </c>
      <c r="BB89">
        <v>2483</v>
      </c>
      <c r="BC89">
        <v>2493</v>
      </c>
      <c r="BD89" t="s">
        <v>74</v>
      </c>
      <c r="BE89" t="s">
        <v>1900</v>
      </c>
      <c r="BF89" t="str">
        <f>HYPERLINK("http://dx.doi.org/10.1175/2008JCLI2476.1","http://dx.doi.org/10.1175/2008JCLI2476.1")</f>
        <v>http://dx.doi.org/10.1175/2008JCLI2476.1</v>
      </c>
      <c r="BG89" t="s">
        <v>74</v>
      </c>
      <c r="BH89" t="s">
        <v>74</v>
      </c>
      <c r="BI89">
        <v>11</v>
      </c>
      <c r="BJ89" t="s">
        <v>398</v>
      </c>
      <c r="BK89" t="s">
        <v>100</v>
      </c>
      <c r="BL89" t="s">
        <v>398</v>
      </c>
      <c r="BM89" t="s">
        <v>1901</v>
      </c>
      <c r="BN89" t="s">
        <v>74</v>
      </c>
      <c r="BO89" t="s">
        <v>499</v>
      </c>
      <c r="BP89" t="s">
        <v>74</v>
      </c>
      <c r="BQ89" t="s">
        <v>74</v>
      </c>
      <c r="BR89" t="s">
        <v>103</v>
      </c>
      <c r="BS89" t="s">
        <v>1902</v>
      </c>
      <c r="BT89" t="str">
        <f>HYPERLINK("https%3A%2F%2Fwww.webofscience.com%2Fwos%2Fwoscc%2Ffull-record%2FWOS:000266285600013","View Full Record in Web of Science")</f>
        <v>View Full Record in Web of Science</v>
      </c>
    </row>
    <row r="90" spans="1:72" x14ac:dyDescent="0.15">
      <c r="A90" t="s">
        <v>72</v>
      </c>
      <c r="B90" t="s">
        <v>1903</v>
      </c>
      <c r="C90" t="s">
        <v>74</v>
      </c>
      <c r="D90" t="s">
        <v>74</v>
      </c>
      <c r="E90" t="s">
        <v>74</v>
      </c>
      <c r="F90" t="s">
        <v>1904</v>
      </c>
      <c r="G90" t="s">
        <v>74</v>
      </c>
      <c r="H90" t="s">
        <v>74</v>
      </c>
      <c r="I90" t="s">
        <v>1905</v>
      </c>
      <c r="J90" t="s">
        <v>1906</v>
      </c>
      <c r="K90" t="s">
        <v>74</v>
      </c>
      <c r="L90" t="s">
        <v>74</v>
      </c>
      <c r="M90" t="s">
        <v>78</v>
      </c>
      <c r="N90" t="s">
        <v>79</v>
      </c>
      <c r="O90" t="s">
        <v>74</v>
      </c>
      <c r="P90" t="s">
        <v>74</v>
      </c>
      <c r="Q90" t="s">
        <v>74</v>
      </c>
      <c r="R90" t="s">
        <v>74</v>
      </c>
      <c r="S90" t="s">
        <v>74</v>
      </c>
      <c r="T90" t="s">
        <v>1907</v>
      </c>
      <c r="U90" t="s">
        <v>1908</v>
      </c>
      <c r="V90" t="s">
        <v>1909</v>
      </c>
      <c r="W90" t="s">
        <v>1910</v>
      </c>
      <c r="X90" t="s">
        <v>1911</v>
      </c>
      <c r="Y90" t="s">
        <v>1912</v>
      </c>
      <c r="Z90" t="s">
        <v>1913</v>
      </c>
      <c r="AA90" t="s">
        <v>1914</v>
      </c>
      <c r="AB90" t="s">
        <v>1915</v>
      </c>
      <c r="AC90" t="s">
        <v>1916</v>
      </c>
      <c r="AD90" t="s">
        <v>1917</v>
      </c>
      <c r="AE90" t="s">
        <v>1918</v>
      </c>
      <c r="AF90" t="s">
        <v>74</v>
      </c>
      <c r="AG90">
        <v>23</v>
      </c>
      <c r="AH90">
        <v>4</v>
      </c>
      <c r="AI90">
        <v>4</v>
      </c>
      <c r="AJ90">
        <v>0</v>
      </c>
      <c r="AK90">
        <v>3</v>
      </c>
      <c r="AL90" t="s">
        <v>1919</v>
      </c>
      <c r="AM90" t="s">
        <v>1920</v>
      </c>
      <c r="AN90" t="s">
        <v>1921</v>
      </c>
      <c r="AO90" t="s">
        <v>1922</v>
      </c>
      <c r="AP90" t="s">
        <v>1923</v>
      </c>
      <c r="AQ90" t="s">
        <v>74</v>
      </c>
      <c r="AR90" t="s">
        <v>1924</v>
      </c>
      <c r="AS90" t="s">
        <v>1925</v>
      </c>
      <c r="AT90" t="s">
        <v>1077</v>
      </c>
      <c r="AU90">
        <v>2009</v>
      </c>
      <c r="AV90">
        <v>25</v>
      </c>
      <c r="AW90">
        <v>3</v>
      </c>
      <c r="AX90" t="s">
        <v>74</v>
      </c>
      <c r="AY90" t="s">
        <v>74</v>
      </c>
      <c r="AZ90" t="s">
        <v>74</v>
      </c>
      <c r="BA90" t="s">
        <v>74</v>
      </c>
      <c r="BB90">
        <v>581</v>
      </c>
      <c r="BC90">
        <v>588</v>
      </c>
      <c r="BD90" t="s">
        <v>74</v>
      </c>
      <c r="BE90" t="s">
        <v>1926</v>
      </c>
      <c r="BF90" t="str">
        <f>HYPERLINK("http://dx.doi.org/10.2112/07-0972.1","http://dx.doi.org/10.2112/07-0972.1")</f>
        <v>http://dx.doi.org/10.2112/07-0972.1</v>
      </c>
      <c r="BG90" t="s">
        <v>74</v>
      </c>
      <c r="BH90" t="s">
        <v>74</v>
      </c>
      <c r="BI90">
        <v>8</v>
      </c>
      <c r="BJ90" t="s">
        <v>1927</v>
      </c>
      <c r="BK90" t="s">
        <v>100</v>
      </c>
      <c r="BL90" t="s">
        <v>1928</v>
      </c>
      <c r="BM90" t="s">
        <v>1929</v>
      </c>
      <c r="BN90" t="s">
        <v>74</v>
      </c>
      <c r="BO90" t="s">
        <v>74</v>
      </c>
      <c r="BP90" t="s">
        <v>74</v>
      </c>
      <c r="BQ90" t="s">
        <v>74</v>
      </c>
      <c r="BR90" t="s">
        <v>103</v>
      </c>
      <c r="BS90" t="s">
        <v>1930</v>
      </c>
      <c r="BT90" t="str">
        <f>HYPERLINK("https%3A%2F%2Fwww.webofscience.com%2Fwos%2Fwoscc%2Ffull-record%2FWOS:000266182300005","View Full Record in Web of Science")</f>
        <v>View Full Record in Web of Science</v>
      </c>
    </row>
    <row r="91" spans="1:72" x14ac:dyDescent="0.15">
      <c r="A91" t="s">
        <v>72</v>
      </c>
      <c r="B91" t="s">
        <v>1931</v>
      </c>
      <c r="C91" t="s">
        <v>74</v>
      </c>
      <c r="D91" t="s">
        <v>74</v>
      </c>
      <c r="E91" t="s">
        <v>74</v>
      </c>
      <c r="F91" t="s">
        <v>1932</v>
      </c>
      <c r="G91" t="s">
        <v>74</v>
      </c>
      <c r="H91" t="s">
        <v>74</v>
      </c>
      <c r="I91" t="s">
        <v>1933</v>
      </c>
      <c r="J91" t="s">
        <v>1934</v>
      </c>
      <c r="K91" t="s">
        <v>74</v>
      </c>
      <c r="L91" t="s">
        <v>74</v>
      </c>
      <c r="M91" t="s">
        <v>78</v>
      </c>
      <c r="N91" t="s">
        <v>79</v>
      </c>
      <c r="O91" t="s">
        <v>74</v>
      </c>
      <c r="P91" t="s">
        <v>74</v>
      </c>
      <c r="Q91" t="s">
        <v>74</v>
      </c>
      <c r="R91" t="s">
        <v>74</v>
      </c>
      <c r="S91" t="s">
        <v>74</v>
      </c>
      <c r="T91" t="s">
        <v>1935</v>
      </c>
      <c r="U91" t="s">
        <v>1936</v>
      </c>
      <c r="V91" t="s">
        <v>1937</v>
      </c>
      <c r="W91" t="s">
        <v>1938</v>
      </c>
      <c r="X91" t="s">
        <v>1939</v>
      </c>
      <c r="Y91" t="s">
        <v>1940</v>
      </c>
      <c r="Z91" t="s">
        <v>1941</v>
      </c>
      <c r="AA91" t="s">
        <v>1942</v>
      </c>
      <c r="AB91" t="s">
        <v>1943</v>
      </c>
      <c r="AC91" t="s">
        <v>1944</v>
      </c>
      <c r="AD91" t="s">
        <v>1945</v>
      </c>
      <c r="AE91" t="s">
        <v>1946</v>
      </c>
      <c r="AF91" t="s">
        <v>74</v>
      </c>
      <c r="AG91">
        <v>55</v>
      </c>
      <c r="AH91">
        <v>97</v>
      </c>
      <c r="AI91">
        <v>106</v>
      </c>
      <c r="AJ91">
        <v>0</v>
      </c>
      <c r="AK91">
        <v>24</v>
      </c>
      <c r="AL91" t="s">
        <v>1947</v>
      </c>
      <c r="AM91" t="s">
        <v>1948</v>
      </c>
      <c r="AN91" t="s">
        <v>1949</v>
      </c>
      <c r="AO91" t="s">
        <v>1950</v>
      </c>
      <c r="AP91" t="s">
        <v>1951</v>
      </c>
      <c r="AQ91" t="s">
        <v>74</v>
      </c>
      <c r="AR91" t="s">
        <v>1952</v>
      </c>
      <c r="AS91" t="s">
        <v>1953</v>
      </c>
      <c r="AT91" t="s">
        <v>1077</v>
      </c>
      <c r="AU91">
        <v>2009</v>
      </c>
      <c r="AV91">
        <v>179</v>
      </c>
      <c r="AW91">
        <v>4</v>
      </c>
      <c r="AX91" t="s">
        <v>74</v>
      </c>
      <c r="AY91" t="s">
        <v>74</v>
      </c>
      <c r="AZ91" t="s">
        <v>74</v>
      </c>
      <c r="BA91" t="s">
        <v>74</v>
      </c>
      <c r="BB91">
        <v>481</v>
      </c>
      <c r="BC91">
        <v>491</v>
      </c>
      <c r="BD91" t="s">
        <v>74</v>
      </c>
      <c r="BE91" t="s">
        <v>1954</v>
      </c>
      <c r="BF91" t="str">
        <f>HYPERLINK("http://dx.doi.org/10.1007/s00360-008-0334-0","http://dx.doi.org/10.1007/s00360-008-0334-0")</f>
        <v>http://dx.doi.org/10.1007/s00360-008-0334-0</v>
      </c>
      <c r="BG91" t="s">
        <v>74</v>
      </c>
      <c r="BH91" t="s">
        <v>74</v>
      </c>
      <c r="BI91">
        <v>11</v>
      </c>
      <c r="BJ91" t="s">
        <v>1955</v>
      </c>
      <c r="BK91" t="s">
        <v>100</v>
      </c>
      <c r="BL91" t="s">
        <v>1955</v>
      </c>
      <c r="BM91" t="s">
        <v>1956</v>
      </c>
      <c r="BN91">
        <v>19125254</v>
      </c>
      <c r="BO91" t="s">
        <v>74</v>
      </c>
      <c r="BP91" t="s">
        <v>74</v>
      </c>
      <c r="BQ91" t="s">
        <v>74</v>
      </c>
      <c r="BR91" t="s">
        <v>103</v>
      </c>
      <c r="BS91" t="s">
        <v>1957</v>
      </c>
      <c r="BT91" t="str">
        <f>HYPERLINK("https%3A%2F%2Fwww.webofscience.com%2Fwos%2Fwoscc%2Ffull-record%2FWOS:000265383800010","View Full Record in Web of Science")</f>
        <v>View Full Record in Web of Science</v>
      </c>
    </row>
    <row r="92" spans="1:72" x14ac:dyDescent="0.15">
      <c r="A92" t="s">
        <v>72</v>
      </c>
      <c r="B92" t="s">
        <v>1958</v>
      </c>
      <c r="C92" t="s">
        <v>74</v>
      </c>
      <c r="D92" t="s">
        <v>74</v>
      </c>
      <c r="E92" t="s">
        <v>74</v>
      </c>
      <c r="F92" t="s">
        <v>1959</v>
      </c>
      <c r="G92" t="s">
        <v>74</v>
      </c>
      <c r="H92" t="s">
        <v>74</v>
      </c>
      <c r="I92" t="s">
        <v>1960</v>
      </c>
      <c r="J92" t="s">
        <v>1961</v>
      </c>
      <c r="K92" t="s">
        <v>74</v>
      </c>
      <c r="L92" t="s">
        <v>74</v>
      </c>
      <c r="M92" t="s">
        <v>78</v>
      </c>
      <c r="N92" t="s">
        <v>79</v>
      </c>
      <c r="O92" t="s">
        <v>74</v>
      </c>
      <c r="P92" t="s">
        <v>74</v>
      </c>
      <c r="Q92" t="s">
        <v>74</v>
      </c>
      <c r="R92" t="s">
        <v>74</v>
      </c>
      <c r="S92" t="s">
        <v>74</v>
      </c>
      <c r="T92" t="s">
        <v>1962</v>
      </c>
      <c r="U92" t="s">
        <v>1963</v>
      </c>
      <c r="V92" t="s">
        <v>1964</v>
      </c>
      <c r="W92" t="s">
        <v>1965</v>
      </c>
      <c r="X92" t="s">
        <v>1966</v>
      </c>
      <c r="Y92" t="s">
        <v>1967</v>
      </c>
      <c r="Z92" t="s">
        <v>1968</v>
      </c>
      <c r="AA92" t="s">
        <v>1969</v>
      </c>
      <c r="AB92" t="s">
        <v>1970</v>
      </c>
      <c r="AC92" t="s">
        <v>1971</v>
      </c>
      <c r="AD92" t="s">
        <v>1972</v>
      </c>
      <c r="AE92" t="s">
        <v>1973</v>
      </c>
      <c r="AF92" t="s">
        <v>74</v>
      </c>
      <c r="AG92">
        <v>36</v>
      </c>
      <c r="AH92">
        <v>19</v>
      </c>
      <c r="AI92">
        <v>20</v>
      </c>
      <c r="AJ92">
        <v>2</v>
      </c>
      <c r="AK92">
        <v>18</v>
      </c>
      <c r="AL92" t="s">
        <v>1974</v>
      </c>
      <c r="AM92" t="s">
        <v>1975</v>
      </c>
      <c r="AN92" t="s">
        <v>1976</v>
      </c>
      <c r="AO92" t="s">
        <v>1977</v>
      </c>
      <c r="AP92" t="s">
        <v>74</v>
      </c>
      <c r="AQ92" t="s">
        <v>74</v>
      </c>
      <c r="AR92" t="s">
        <v>1978</v>
      </c>
      <c r="AS92" t="s">
        <v>1979</v>
      </c>
      <c r="AT92" t="s">
        <v>1077</v>
      </c>
      <c r="AU92">
        <v>2009</v>
      </c>
      <c r="AV92">
        <v>27</v>
      </c>
      <c r="AW92">
        <v>2</v>
      </c>
      <c r="AX92" t="s">
        <v>74</v>
      </c>
      <c r="AY92" t="s">
        <v>74</v>
      </c>
      <c r="AZ92" t="s">
        <v>74</v>
      </c>
      <c r="BA92" t="s">
        <v>74</v>
      </c>
      <c r="BB92">
        <v>267</v>
      </c>
      <c r="BC92">
        <v>274</v>
      </c>
      <c r="BD92" t="s">
        <v>74</v>
      </c>
      <c r="BE92" t="s">
        <v>1980</v>
      </c>
      <c r="BF92" t="str">
        <f>HYPERLINK("http://dx.doi.org/10.1007/s10164-008-0115-y","http://dx.doi.org/10.1007/s10164-008-0115-y")</f>
        <v>http://dx.doi.org/10.1007/s10164-008-0115-y</v>
      </c>
      <c r="BG92" t="s">
        <v>74</v>
      </c>
      <c r="BH92" t="s">
        <v>74</v>
      </c>
      <c r="BI92">
        <v>8</v>
      </c>
      <c r="BJ92" t="s">
        <v>1981</v>
      </c>
      <c r="BK92" t="s">
        <v>100</v>
      </c>
      <c r="BL92" t="s">
        <v>1981</v>
      </c>
      <c r="BM92" t="s">
        <v>1982</v>
      </c>
      <c r="BN92" t="s">
        <v>74</v>
      </c>
      <c r="BO92" t="s">
        <v>262</v>
      </c>
      <c r="BP92" t="s">
        <v>74</v>
      </c>
      <c r="BQ92" t="s">
        <v>74</v>
      </c>
      <c r="BR92" t="s">
        <v>103</v>
      </c>
      <c r="BS92" t="s">
        <v>1983</v>
      </c>
      <c r="BT92" t="str">
        <f>HYPERLINK("https%3A%2F%2Fwww.webofscience.com%2Fwos%2Fwoscc%2Ffull-record%2FWOS:000263060500008","View Full Record in Web of Science")</f>
        <v>View Full Record in Web of Science</v>
      </c>
    </row>
    <row r="93" spans="1:72" x14ac:dyDescent="0.15">
      <c r="A93" t="s">
        <v>72</v>
      </c>
      <c r="B93" t="s">
        <v>1984</v>
      </c>
      <c r="C93" t="s">
        <v>74</v>
      </c>
      <c r="D93" t="s">
        <v>74</v>
      </c>
      <c r="E93" t="s">
        <v>74</v>
      </c>
      <c r="F93" t="s">
        <v>1985</v>
      </c>
      <c r="G93" t="s">
        <v>74</v>
      </c>
      <c r="H93" t="s">
        <v>74</v>
      </c>
      <c r="I93" t="s">
        <v>1986</v>
      </c>
      <c r="J93" t="s">
        <v>1987</v>
      </c>
      <c r="K93" t="s">
        <v>74</v>
      </c>
      <c r="L93" t="s">
        <v>74</v>
      </c>
      <c r="M93" t="s">
        <v>78</v>
      </c>
      <c r="N93" t="s">
        <v>79</v>
      </c>
      <c r="O93" t="s">
        <v>74</v>
      </c>
      <c r="P93" t="s">
        <v>74</v>
      </c>
      <c r="Q93" t="s">
        <v>74</v>
      </c>
      <c r="R93" t="s">
        <v>74</v>
      </c>
      <c r="S93" t="s">
        <v>74</v>
      </c>
      <c r="T93" t="s">
        <v>1988</v>
      </c>
      <c r="U93" t="s">
        <v>1989</v>
      </c>
      <c r="V93" t="s">
        <v>1990</v>
      </c>
      <c r="W93" t="s">
        <v>1991</v>
      </c>
      <c r="X93" t="s">
        <v>1992</v>
      </c>
      <c r="Y93" t="s">
        <v>1993</v>
      </c>
      <c r="Z93" t="s">
        <v>1994</v>
      </c>
      <c r="AA93" t="s">
        <v>74</v>
      </c>
      <c r="AB93" t="s">
        <v>74</v>
      </c>
      <c r="AC93" t="s">
        <v>74</v>
      </c>
      <c r="AD93" t="s">
        <v>74</v>
      </c>
      <c r="AE93" t="s">
        <v>74</v>
      </c>
      <c r="AF93" t="s">
        <v>74</v>
      </c>
      <c r="AG93">
        <v>16</v>
      </c>
      <c r="AH93">
        <v>30</v>
      </c>
      <c r="AI93">
        <v>34</v>
      </c>
      <c r="AJ93">
        <v>1</v>
      </c>
      <c r="AK93">
        <v>34</v>
      </c>
      <c r="AL93" t="s">
        <v>489</v>
      </c>
      <c r="AM93" t="s">
        <v>490</v>
      </c>
      <c r="AN93" t="s">
        <v>491</v>
      </c>
      <c r="AO93" t="s">
        <v>1995</v>
      </c>
      <c r="AP93" t="s">
        <v>1996</v>
      </c>
      <c r="AQ93" t="s">
        <v>74</v>
      </c>
      <c r="AR93" t="s">
        <v>1997</v>
      </c>
      <c r="AS93" t="s">
        <v>1998</v>
      </c>
      <c r="AT93" t="s">
        <v>1077</v>
      </c>
      <c r="AU93">
        <v>2009</v>
      </c>
      <c r="AV93">
        <v>74</v>
      </c>
      <c r="AW93">
        <v>4</v>
      </c>
      <c r="AX93" t="s">
        <v>74</v>
      </c>
      <c r="AY93" t="s">
        <v>74</v>
      </c>
      <c r="AZ93" t="s">
        <v>74</v>
      </c>
      <c r="BA93" t="s">
        <v>74</v>
      </c>
      <c r="BB93" t="s">
        <v>1999</v>
      </c>
      <c r="BC93" t="s">
        <v>2000</v>
      </c>
      <c r="BD93" t="s">
        <v>74</v>
      </c>
      <c r="BE93" t="s">
        <v>2001</v>
      </c>
      <c r="BF93" t="str">
        <f>HYPERLINK("http://dx.doi.org/10.1111/j.1750-3841.2009.01138.x","http://dx.doi.org/10.1111/j.1750-3841.2009.01138.x")</f>
        <v>http://dx.doi.org/10.1111/j.1750-3841.2009.01138.x</v>
      </c>
      <c r="BG93" t="s">
        <v>74</v>
      </c>
      <c r="BH93" t="s">
        <v>74</v>
      </c>
      <c r="BI93">
        <v>5</v>
      </c>
      <c r="BJ93" t="s">
        <v>2002</v>
      </c>
      <c r="BK93" t="s">
        <v>100</v>
      </c>
      <c r="BL93" t="s">
        <v>2002</v>
      </c>
      <c r="BM93" t="s">
        <v>2003</v>
      </c>
      <c r="BN93">
        <v>19490329</v>
      </c>
      <c r="BO93" t="s">
        <v>74</v>
      </c>
      <c r="BP93" t="s">
        <v>74</v>
      </c>
      <c r="BQ93" t="s">
        <v>74</v>
      </c>
      <c r="BR93" t="s">
        <v>103</v>
      </c>
      <c r="BS93" t="s">
        <v>2004</v>
      </c>
      <c r="BT93" t="str">
        <f>HYPERLINK("https%3A%2F%2Fwww.webofscience.com%2Fwos%2Fwoscc%2Ffull-record%2FWOS:000265937800031","View Full Record in Web of Science")</f>
        <v>View Full Record in Web of Science</v>
      </c>
    </row>
    <row r="94" spans="1:72" x14ac:dyDescent="0.15">
      <c r="A94" t="s">
        <v>72</v>
      </c>
      <c r="B94" t="s">
        <v>2005</v>
      </c>
      <c r="C94" t="s">
        <v>74</v>
      </c>
      <c r="D94" t="s">
        <v>74</v>
      </c>
      <c r="E94" t="s">
        <v>74</v>
      </c>
      <c r="F94" t="s">
        <v>2006</v>
      </c>
      <c r="G94" t="s">
        <v>74</v>
      </c>
      <c r="H94" t="s">
        <v>74</v>
      </c>
      <c r="I94" t="s">
        <v>2007</v>
      </c>
      <c r="J94" t="s">
        <v>2008</v>
      </c>
      <c r="K94" t="s">
        <v>74</v>
      </c>
      <c r="L94" t="s">
        <v>74</v>
      </c>
      <c r="M94" t="s">
        <v>78</v>
      </c>
      <c r="N94" t="s">
        <v>79</v>
      </c>
      <c r="O94" t="s">
        <v>74</v>
      </c>
      <c r="P94" t="s">
        <v>74</v>
      </c>
      <c r="Q94" t="s">
        <v>74</v>
      </c>
      <c r="R94" t="s">
        <v>74</v>
      </c>
      <c r="S94" t="s">
        <v>74</v>
      </c>
      <c r="T94" t="s">
        <v>2009</v>
      </c>
      <c r="U94" t="s">
        <v>2010</v>
      </c>
      <c r="V94" t="s">
        <v>2011</v>
      </c>
      <c r="W94" t="s">
        <v>2012</v>
      </c>
      <c r="X94" t="s">
        <v>2013</v>
      </c>
      <c r="Y94" t="s">
        <v>2014</v>
      </c>
      <c r="Z94" t="s">
        <v>2015</v>
      </c>
      <c r="AA94" t="s">
        <v>2016</v>
      </c>
      <c r="AB94" t="s">
        <v>2017</v>
      </c>
      <c r="AC94" t="s">
        <v>2018</v>
      </c>
      <c r="AD94" t="s">
        <v>2019</v>
      </c>
      <c r="AE94" t="s">
        <v>2020</v>
      </c>
      <c r="AF94" t="s">
        <v>74</v>
      </c>
      <c r="AG94">
        <v>41</v>
      </c>
      <c r="AH94">
        <v>53</v>
      </c>
      <c r="AI94">
        <v>55</v>
      </c>
      <c r="AJ94">
        <v>1</v>
      </c>
      <c r="AK94">
        <v>26</v>
      </c>
      <c r="AL94" t="s">
        <v>553</v>
      </c>
      <c r="AM94" t="s">
        <v>252</v>
      </c>
      <c r="AN94" t="s">
        <v>554</v>
      </c>
      <c r="AO94" t="s">
        <v>2021</v>
      </c>
      <c r="AP94" t="s">
        <v>74</v>
      </c>
      <c r="AQ94" t="s">
        <v>74</v>
      </c>
      <c r="AR94" t="s">
        <v>2022</v>
      </c>
      <c r="AS94" t="s">
        <v>2023</v>
      </c>
      <c r="AT94" t="s">
        <v>1077</v>
      </c>
      <c r="AU94">
        <v>2009</v>
      </c>
      <c r="AV94">
        <v>101</v>
      </c>
      <c r="AW94">
        <v>2</v>
      </c>
      <c r="AX94" t="s">
        <v>74</v>
      </c>
      <c r="AY94" t="s">
        <v>74</v>
      </c>
      <c r="AZ94" t="s">
        <v>74</v>
      </c>
      <c r="BA94" t="s">
        <v>74</v>
      </c>
      <c r="BB94">
        <v>175</v>
      </c>
      <c r="BC94">
        <v>184</v>
      </c>
      <c r="BD94" t="s">
        <v>74</v>
      </c>
      <c r="BE94" t="s">
        <v>2024</v>
      </c>
      <c r="BF94" t="str">
        <f>HYPERLINK("http://dx.doi.org/10.1016/j.gexplo.2008.06.008","http://dx.doi.org/10.1016/j.gexplo.2008.06.008")</f>
        <v>http://dx.doi.org/10.1016/j.gexplo.2008.06.008</v>
      </c>
      <c r="BG94" t="s">
        <v>74</v>
      </c>
      <c r="BH94" t="s">
        <v>74</v>
      </c>
      <c r="BI94">
        <v>10</v>
      </c>
      <c r="BJ94" t="s">
        <v>534</v>
      </c>
      <c r="BK94" t="s">
        <v>100</v>
      </c>
      <c r="BL94" t="s">
        <v>534</v>
      </c>
      <c r="BM94" t="s">
        <v>2025</v>
      </c>
      <c r="BN94" t="s">
        <v>74</v>
      </c>
      <c r="BO94" t="s">
        <v>74</v>
      </c>
      <c r="BP94" t="s">
        <v>74</v>
      </c>
      <c r="BQ94" t="s">
        <v>74</v>
      </c>
      <c r="BR94" t="s">
        <v>103</v>
      </c>
      <c r="BS94" t="s">
        <v>2026</v>
      </c>
      <c r="BT94" t="str">
        <f>HYPERLINK("https%3A%2F%2Fwww.webofscience.com%2Fwos%2Fwoscc%2Ffull-record%2FWOS:000266128600005","View Full Record in Web of Science")</f>
        <v>View Full Record in Web of Science</v>
      </c>
    </row>
    <row r="95" spans="1:72" x14ac:dyDescent="0.15">
      <c r="A95" t="s">
        <v>72</v>
      </c>
      <c r="B95" t="s">
        <v>2027</v>
      </c>
      <c r="C95" t="s">
        <v>74</v>
      </c>
      <c r="D95" t="s">
        <v>74</v>
      </c>
      <c r="E95" t="s">
        <v>74</v>
      </c>
      <c r="F95" t="s">
        <v>2028</v>
      </c>
      <c r="G95" t="s">
        <v>74</v>
      </c>
      <c r="H95" t="s">
        <v>74</v>
      </c>
      <c r="I95" t="s">
        <v>2029</v>
      </c>
      <c r="J95" t="s">
        <v>820</v>
      </c>
      <c r="K95" t="s">
        <v>74</v>
      </c>
      <c r="L95" t="s">
        <v>74</v>
      </c>
      <c r="M95" t="s">
        <v>78</v>
      </c>
      <c r="N95" t="s">
        <v>79</v>
      </c>
      <c r="O95" t="s">
        <v>74</v>
      </c>
      <c r="P95" t="s">
        <v>74</v>
      </c>
      <c r="Q95" t="s">
        <v>74</v>
      </c>
      <c r="R95" t="s">
        <v>74</v>
      </c>
      <c r="S95" t="s">
        <v>74</v>
      </c>
      <c r="T95" t="s">
        <v>74</v>
      </c>
      <c r="U95" t="s">
        <v>2030</v>
      </c>
      <c r="V95" t="s">
        <v>2031</v>
      </c>
      <c r="W95" t="s">
        <v>2032</v>
      </c>
      <c r="X95" t="s">
        <v>2033</v>
      </c>
      <c r="Y95" t="s">
        <v>2034</v>
      </c>
      <c r="Z95" t="s">
        <v>2035</v>
      </c>
      <c r="AA95" t="s">
        <v>74</v>
      </c>
      <c r="AB95" t="s">
        <v>74</v>
      </c>
      <c r="AC95" t="s">
        <v>2036</v>
      </c>
      <c r="AD95" t="s">
        <v>2037</v>
      </c>
      <c r="AE95" t="s">
        <v>2038</v>
      </c>
      <c r="AF95" t="s">
        <v>74</v>
      </c>
      <c r="AG95">
        <v>37</v>
      </c>
      <c r="AH95">
        <v>38</v>
      </c>
      <c r="AI95">
        <v>42</v>
      </c>
      <c r="AJ95">
        <v>1</v>
      </c>
      <c r="AK95">
        <v>13</v>
      </c>
      <c r="AL95" t="s">
        <v>605</v>
      </c>
      <c r="AM95" t="s">
        <v>606</v>
      </c>
      <c r="AN95" t="s">
        <v>607</v>
      </c>
      <c r="AO95" t="s">
        <v>831</v>
      </c>
      <c r="AP95" t="s">
        <v>832</v>
      </c>
      <c r="AQ95" t="s">
        <v>74</v>
      </c>
      <c r="AR95" t="s">
        <v>833</v>
      </c>
      <c r="AS95" t="s">
        <v>834</v>
      </c>
      <c r="AT95" t="s">
        <v>2039</v>
      </c>
      <c r="AU95">
        <v>2009</v>
      </c>
      <c r="AV95">
        <v>114</v>
      </c>
      <c r="AW95" t="s">
        <v>74</v>
      </c>
      <c r="AX95" t="s">
        <v>74</v>
      </c>
      <c r="AY95" t="s">
        <v>74</v>
      </c>
      <c r="AZ95" t="s">
        <v>74</v>
      </c>
      <c r="BA95" t="s">
        <v>74</v>
      </c>
      <c r="BB95" t="s">
        <v>74</v>
      </c>
      <c r="BC95" t="s">
        <v>74</v>
      </c>
      <c r="BD95" t="s">
        <v>2040</v>
      </c>
      <c r="BE95" t="s">
        <v>2041</v>
      </c>
      <c r="BF95" t="str">
        <f>HYPERLINK("http://dx.doi.org/10.1029/2008JD010927","http://dx.doi.org/10.1029/2008JD010927")</f>
        <v>http://dx.doi.org/10.1029/2008JD010927</v>
      </c>
      <c r="BG95" t="s">
        <v>74</v>
      </c>
      <c r="BH95" t="s">
        <v>74</v>
      </c>
      <c r="BI95">
        <v>19</v>
      </c>
      <c r="BJ95" t="s">
        <v>398</v>
      </c>
      <c r="BK95" t="s">
        <v>100</v>
      </c>
      <c r="BL95" t="s">
        <v>398</v>
      </c>
      <c r="BM95" t="s">
        <v>2042</v>
      </c>
      <c r="BN95" t="s">
        <v>74</v>
      </c>
      <c r="BO95" t="s">
        <v>1012</v>
      </c>
      <c r="BP95" t="s">
        <v>74</v>
      </c>
      <c r="BQ95" t="s">
        <v>74</v>
      </c>
      <c r="BR95" t="s">
        <v>103</v>
      </c>
      <c r="BS95" t="s">
        <v>2043</v>
      </c>
      <c r="BT95" t="str">
        <f>HYPERLINK("https%3A%2F%2Fwww.webofscience.com%2Fwos%2Fwoscc%2Ffull-record%2FWOS:000265666800001","View Full Record in Web of Science")</f>
        <v>View Full Record in Web of Science</v>
      </c>
    </row>
    <row r="96" spans="1:72" x14ac:dyDescent="0.15">
      <c r="A96" t="s">
        <v>72</v>
      </c>
      <c r="B96" t="s">
        <v>2044</v>
      </c>
      <c r="C96" t="s">
        <v>74</v>
      </c>
      <c r="D96" t="s">
        <v>74</v>
      </c>
      <c r="E96" t="s">
        <v>74</v>
      </c>
      <c r="F96" t="s">
        <v>2045</v>
      </c>
      <c r="G96" t="s">
        <v>74</v>
      </c>
      <c r="H96" t="s">
        <v>74</v>
      </c>
      <c r="I96" t="s">
        <v>2046</v>
      </c>
      <c r="J96" t="s">
        <v>2047</v>
      </c>
      <c r="K96" t="s">
        <v>74</v>
      </c>
      <c r="L96" t="s">
        <v>74</v>
      </c>
      <c r="M96" t="s">
        <v>78</v>
      </c>
      <c r="N96" t="s">
        <v>79</v>
      </c>
      <c r="O96" t="s">
        <v>74</v>
      </c>
      <c r="P96" t="s">
        <v>74</v>
      </c>
      <c r="Q96" t="s">
        <v>74</v>
      </c>
      <c r="R96" t="s">
        <v>74</v>
      </c>
      <c r="S96" t="s">
        <v>74</v>
      </c>
      <c r="T96" t="s">
        <v>74</v>
      </c>
      <c r="U96" t="s">
        <v>74</v>
      </c>
      <c r="V96" t="s">
        <v>2048</v>
      </c>
      <c r="W96" t="s">
        <v>74</v>
      </c>
      <c r="X96" t="s">
        <v>74</v>
      </c>
      <c r="Y96" t="s">
        <v>2049</v>
      </c>
      <c r="Z96" t="s">
        <v>2050</v>
      </c>
      <c r="AA96" t="s">
        <v>74</v>
      </c>
      <c r="AB96" t="s">
        <v>74</v>
      </c>
      <c r="AC96" t="s">
        <v>74</v>
      </c>
      <c r="AD96" t="s">
        <v>74</v>
      </c>
      <c r="AE96" t="s">
        <v>74</v>
      </c>
      <c r="AF96" t="s">
        <v>74</v>
      </c>
      <c r="AG96">
        <v>19</v>
      </c>
      <c r="AH96">
        <v>1</v>
      </c>
      <c r="AI96">
        <v>1</v>
      </c>
      <c r="AJ96">
        <v>1</v>
      </c>
      <c r="AK96">
        <v>1</v>
      </c>
      <c r="AL96" t="s">
        <v>2051</v>
      </c>
      <c r="AM96" t="s">
        <v>2052</v>
      </c>
      <c r="AN96" t="s">
        <v>2053</v>
      </c>
      <c r="AO96" t="s">
        <v>2054</v>
      </c>
      <c r="AP96" t="s">
        <v>2055</v>
      </c>
      <c r="AQ96" t="s">
        <v>74</v>
      </c>
      <c r="AR96" t="s">
        <v>2056</v>
      </c>
      <c r="AS96" t="s">
        <v>2057</v>
      </c>
      <c r="AT96" t="s">
        <v>1077</v>
      </c>
      <c r="AU96">
        <v>2009</v>
      </c>
      <c r="AV96">
        <v>17</v>
      </c>
      <c r="AW96">
        <v>2</v>
      </c>
      <c r="AX96" t="s">
        <v>74</v>
      </c>
      <c r="AY96" t="s">
        <v>74</v>
      </c>
      <c r="AZ96" t="s">
        <v>74</v>
      </c>
      <c r="BA96" t="s">
        <v>74</v>
      </c>
      <c r="BB96">
        <v>111</v>
      </c>
      <c r="BC96">
        <v>115</v>
      </c>
      <c r="BD96" t="s">
        <v>74</v>
      </c>
      <c r="BE96" t="s">
        <v>2058</v>
      </c>
      <c r="BF96" t="str">
        <f>HYPERLINK("http://dx.doi.org/10.1258/jmb.2009.009009","http://dx.doi.org/10.1258/jmb.2009.009009")</f>
        <v>http://dx.doi.org/10.1258/jmb.2009.009009</v>
      </c>
      <c r="BG96" t="s">
        <v>74</v>
      </c>
      <c r="BH96" t="s">
        <v>74</v>
      </c>
      <c r="BI96">
        <v>5</v>
      </c>
      <c r="BJ96" t="s">
        <v>2059</v>
      </c>
      <c r="BK96" t="s">
        <v>2060</v>
      </c>
      <c r="BL96" t="s">
        <v>2061</v>
      </c>
      <c r="BM96" t="s">
        <v>2062</v>
      </c>
      <c r="BN96">
        <v>19401516</v>
      </c>
      <c r="BO96" t="s">
        <v>74</v>
      </c>
      <c r="BP96" t="s">
        <v>74</v>
      </c>
      <c r="BQ96" t="s">
        <v>74</v>
      </c>
      <c r="BR96" t="s">
        <v>103</v>
      </c>
      <c r="BS96" t="s">
        <v>2063</v>
      </c>
      <c r="BT96" t="str">
        <f>HYPERLINK("https%3A%2F%2Fwww.webofscience.com%2Fwos%2Fwoscc%2Ffull-record%2FWOS:000267536200011","View Full Record in Web of Science")</f>
        <v>View Full Record in Web of Science</v>
      </c>
    </row>
    <row r="97" spans="1:72" x14ac:dyDescent="0.15">
      <c r="A97" t="s">
        <v>72</v>
      </c>
      <c r="B97" t="s">
        <v>2064</v>
      </c>
      <c r="C97" t="s">
        <v>74</v>
      </c>
      <c r="D97" t="s">
        <v>74</v>
      </c>
      <c r="E97" t="s">
        <v>74</v>
      </c>
      <c r="F97" t="s">
        <v>2065</v>
      </c>
      <c r="G97" t="s">
        <v>74</v>
      </c>
      <c r="H97" t="s">
        <v>74</v>
      </c>
      <c r="I97" t="s">
        <v>2066</v>
      </c>
      <c r="J97" t="s">
        <v>2067</v>
      </c>
      <c r="K97" t="s">
        <v>74</v>
      </c>
      <c r="L97" t="s">
        <v>74</v>
      </c>
      <c r="M97" t="s">
        <v>78</v>
      </c>
      <c r="N97" t="s">
        <v>79</v>
      </c>
      <c r="O97" t="s">
        <v>74</v>
      </c>
      <c r="P97" t="s">
        <v>74</v>
      </c>
      <c r="Q97" t="s">
        <v>74</v>
      </c>
      <c r="R97" t="s">
        <v>74</v>
      </c>
      <c r="S97" t="s">
        <v>74</v>
      </c>
      <c r="T97" t="s">
        <v>74</v>
      </c>
      <c r="U97" t="s">
        <v>2068</v>
      </c>
      <c r="V97" t="s">
        <v>2069</v>
      </c>
      <c r="W97" t="s">
        <v>2070</v>
      </c>
      <c r="X97" t="s">
        <v>2071</v>
      </c>
      <c r="Y97" t="s">
        <v>2072</v>
      </c>
      <c r="Z97" t="s">
        <v>2073</v>
      </c>
      <c r="AA97" t="s">
        <v>2074</v>
      </c>
      <c r="AB97" t="s">
        <v>2075</v>
      </c>
      <c r="AC97" t="s">
        <v>2076</v>
      </c>
      <c r="AD97" t="s">
        <v>2077</v>
      </c>
      <c r="AE97" t="s">
        <v>2078</v>
      </c>
      <c r="AF97" t="s">
        <v>74</v>
      </c>
      <c r="AG97">
        <v>60</v>
      </c>
      <c r="AH97">
        <v>6</v>
      </c>
      <c r="AI97">
        <v>6</v>
      </c>
      <c r="AJ97">
        <v>2</v>
      </c>
      <c r="AK97">
        <v>17</v>
      </c>
      <c r="AL97" t="s">
        <v>1739</v>
      </c>
      <c r="AM97" t="s">
        <v>304</v>
      </c>
      <c r="AN97" t="s">
        <v>1740</v>
      </c>
      <c r="AO97" t="s">
        <v>2079</v>
      </c>
      <c r="AP97" t="s">
        <v>2080</v>
      </c>
      <c r="AQ97" t="s">
        <v>74</v>
      </c>
      <c r="AR97" t="s">
        <v>2081</v>
      </c>
      <c r="AS97" t="s">
        <v>2082</v>
      </c>
      <c r="AT97" t="s">
        <v>1077</v>
      </c>
      <c r="AU97">
        <v>2009</v>
      </c>
      <c r="AV97">
        <v>75</v>
      </c>
      <c r="AW97" t="s">
        <v>74</v>
      </c>
      <c r="AX97">
        <v>2</v>
      </c>
      <c r="AY97" t="s">
        <v>74</v>
      </c>
      <c r="AZ97" t="s">
        <v>74</v>
      </c>
      <c r="BA97" t="s">
        <v>74</v>
      </c>
      <c r="BB97">
        <v>127</v>
      </c>
      <c r="BC97">
        <v>131</v>
      </c>
      <c r="BD97" t="s">
        <v>74</v>
      </c>
      <c r="BE97" t="s">
        <v>2083</v>
      </c>
      <c r="BF97" t="str">
        <f>HYPERLINK("http://dx.doi.org/10.1093/mollus/eyp004","http://dx.doi.org/10.1093/mollus/eyp004")</f>
        <v>http://dx.doi.org/10.1093/mollus/eyp004</v>
      </c>
      <c r="BG97" t="s">
        <v>74</v>
      </c>
      <c r="BH97" t="s">
        <v>74</v>
      </c>
      <c r="BI97">
        <v>5</v>
      </c>
      <c r="BJ97" t="s">
        <v>2084</v>
      </c>
      <c r="BK97" t="s">
        <v>100</v>
      </c>
      <c r="BL97" t="s">
        <v>2084</v>
      </c>
      <c r="BM97" t="s">
        <v>2085</v>
      </c>
      <c r="BN97" t="s">
        <v>74</v>
      </c>
      <c r="BO97" t="s">
        <v>1353</v>
      </c>
      <c r="BP97" t="s">
        <v>74</v>
      </c>
      <c r="BQ97" t="s">
        <v>74</v>
      </c>
      <c r="BR97" t="s">
        <v>103</v>
      </c>
      <c r="BS97" t="s">
        <v>2086</v>
      </c>
      <c r="BT97" t="str">
        <f>HYPERLINK("https%3A%2F%2Fwww.webofscience.com%2Fwos%2Fwoscc%2Ffull-record%2FWOS:000265274300005","View Full Record in Web of Science")</f>
        <v>View Full Record in Web of Science</v>
      </c>
    </row>
    <row r="98" spans="1:72" x14ac:dyDescent="0.15">
      <c r="A98" t="s">
        <v>72</v>
      </c>
      <c r="B98" t="s">
        <v>2087</v>
      </c>
      <c r="C98" t="s">
        <v>74</v>
      </c>
      <c r="D98" t="s">
        <v>74</v>
      </c>
      <c r="E98" t="s">
        <v>74</v>
      </c>
      <c r="F98" t="s">
        <v>2088</v>
      </c>
      <c r="G98" t="s">
        <v>74</v>
      </c>
      <c r="H98" t="s">
        <v>74</v>
      </c>
      <c r="I98" t="s">
        <v>2089</v>
      </c>
      <c r="J98" t="s">
        <v>2090</v>
      </c>
      <c r="K98" t="s">
        <v>74</v>
      </c>
      <c r="L98" t="s">
        <v>74</v>
      </c>
      <c r="M98" t="s">
        <v>78</v>
      </c>
      <c r="N98" t="s">
        <v>79</v>
      </c>
      <c r="O98" t="s">
        <v>74</v>
      </c>
      <c r="P98" t="s">
        <v>74</v>
      </c>
      <c r="Q98" t="s">
        <v>74</v>
      </c>
      <c r="R98" t="s">
        <v>74</v>
      </c>
      <c r="S98" t="s">
        <v>74</v>
      </c>
      <c r="T98" t="s">
        <v>74</v>
      </c>
      <c r="U98" t="s">
        <v>2091</v>
      </c>
      <c r="V98" t="s">
        <v>2092</v>
      </c>
      <c r="W98" t="s">
        <v>2093</v>
      </c>
      <c r="X98" t="s">
        <v>2094</v>
      </c>
      <c r="Y98" t="s">
        <v>2095</v>
      </c>
      <c r="Z98" t="s">
        <v>2096</v>
      </c>
      <c r="AA98" t="s">
        <v>74</v>
      </c>
      <c r="AB98" t="s">
        <v>2097</v>
      </c>
      <c r="AC98" t="s">
        <v>2098</v>
      </c>
      <c r="AD98" t="s">
        <v>2099</v>
      </c>
      <c r="AE98" t="s">
        <v>2100</v>
      </c>
      <c r="AF98" t="s">
        <v>74</v>
      </c>
      <c r="AG98">
        <v>45</v>
      </c>
      <c r="AH98">
        <v>40</v>
      </c>
      <c r="AI98">
        <v>47</v>
      </c>
      <c r="AJ98">
        <v>0</v>
      </c>
      <c r="AK98">
        <v>17</v>
      </c>
      <c r="AL98" t="s">
        <v>489</v>
      </c>
      <c r="AM98" t="s">
        <v>490</v>
      </c>
      <c r="AN98" t="s">
        <v>491</v>
      </c>
      <c r="AO98" t="s">
        <v>2101</v>
      </c>
      <c r="AP98" t="s">
        <v>2102</v>
      </c>
      <c r="AQ98" t="s">
        <v>74</v>
      </c>
      <c r="AR98" t="s">
        <v>2103</v>
      </c>
      <c r="AS98" t="s">
        <v>2104</v>
      </c>
      <c r="AT98" t="s">
        <v>1077</v>
      </c>
      <c r="AU98">
        <v>2009</v>
      </c>
      <c r="AV98">
        <v>54</v>
      </c>
      <c r="AW98">
        <v>3</v>
      </c>
      <c r="AX98" t="s">
        <v>74</v>
      </c>
      <c r="AY98" t="s">
        <v>74</v>
      </c>
      <c r="AZ98" t="s">
        <v>74</v>
      </c>
      <c r="BA98" t="s">
        <v>74</v>
      </c>
      <c r="BB98">
        <v>799</v>
      </c>
      <c r="BC98">
        <v>811</v>
      </c>
      <c r="BD98" t="s">
        <v>74</v>
      </c>
      <c r="BE98" t="s">
        <v>2105</v>
      </c>
      <c r="BF98" t="str">
        <f>HYPERLINK("http://dx.doi.org/10.4319/lo.2009.54.3.0799","http://dx.doi.org/10.4319/lo.2009.54.3.0799")</f>
        <v>http://dx.doi.org/10.4319/lo.2009.54.3.0799</v>
      </c>
      <c r="BG98" t="s">
        <v>74</v>
      </c>
      <c r="BH98" t="s">
        <v>74</v>
      </c>
      <c r="BI98">
        <v>13</v>
      </c>
      <c r="BJ98" t="s">
        <v>2106</v>
      </c>
      <c r="BK98" t="s">
        <v>100</v>
      </c>
      <c r="BL98" t="s">
        <v>2107</v>
      </c>
      <c r="BM98" t="s">
        <v>2108</v>
      </c>
      <c r="BN98" t="s">
        <v>74</v>
      </c>
      <c r="BO98" t="s">
        <v>74</v>
      </c>
      <c r="BP98" t="s">
        <v>74</v>
      </c>
      <c r="BQ98" t="s">
        <v>74</v>
      </c>
      <c r="BR98" t="s">
        <v>103</v>
      </c>
      <c r="BS98" t="s">
        <v>2109</v>
      </c>
      <c r="BT98" t="str">
        <f>HYPERLINK("https%3A%2F%2Fwww.webofscience.com%2Fwos%2Fwoscc%2Ffull-record%2FWOS:000268325000013","View Full Record in Web of Science")</f>
        <v>View Full Record in Web of Science</v>
      </c>
    </row>
    <row r="99" spans="1:72" x14ac:dyDescent="0.15">
      <c r="A99" t="s">
        <v>72</v>
      </c>
      <c r="B99" t="s">
        <v>2110</v>
      </c>
      <c r="C99" t="s">
        <v>74</v>
      </c>
      <c r="D99" t="s">
        <v>74</v>
      </c>
      <c r="E99" t="s">
        <v>74</v>
      </c>
      <c r="F99" t="s">
        <v>2111</v>
      </c>
      <c r="G99" t="s">
        <v>74</v>
      </c>
      <c r="H99" t="s">
        <v>74</v>
      </c>
      <c r="I99" t="s">
        <v>2112</v>
      </c>
      <c r="J99" t="s">
        <v>2090</v>
      </c>
      <c r="K99" t="s">
        <v>74</v>
      </c>
      <c r="L99" t="s">
        <v>74</v>
      </c>
      <c r="M99" t="s">
        <v>78</v>
      </c>
      <c r="N99" t="s">
        <v>172</v>
      </c>
      <c r="O99" t="s">
        <v>74</v>
      </c>
      <c r="P99" t="s">
        <v>74</v>
      </c>
      <c r="Q99" t="s">
        <v>74</v>
      </c>
      <c r="R99" t="s">
        <v>74</v>
      </c>
      <c r="S99" t="s">
        <v>74</v>
      </c>
      <c r="T99" t="s">
        <v>74</v>
      </c>
      <c r="U99" t="s">
        <v>2113</v>
      </c>
      <c r="V99" t="s">
        <v>2114</v>
      </c>
      <c r="W99" t="s">
        <v>2115</v>
      </c>
      <c r="X99" t="s">
        <v>2116</v>
      </c>
      <c r="Y99" t="s">
        <v>2117</v>
      </c>
      <c r="Z99" t="s">
        <v>2118</v>
      </c>
      <c r="AA99" t="s">
        <v>2119</v>
      </c>
      <c r="AB99" t="s">
        <v>2120</v>
      </c>
      <c r="AC99" t="s">
        <v>2121</v>
      </c>
      <c r="AD99" t="s">
        <v>2122</v>
      </c>
      <c r="AE99" t="s">
        <v>2123</v>
      </c>
      <c r="AF99" t="s">
        <v>74</v>
      </c>
      <c r="AG99">
        <v>54</v>
      </c>
      <c r="AH99">
        <v>51</v>
      </c>
      <c r="AI99">
        <v>52</v>
      </c>
      <c r="AJ99">
        <v>1</v>
      </c>
      <c r="AK99">
        <v>24</v>
      </c>
      <c r="AL99" t="s">
        <v>2124</v>
      </c>
      <c r="AM99" t="s">
        <v>490</v>
      </c>
      <c r="AN99" t="s">
        <v>491</v>
      </c>
      <c r="AO99" t="s">
        <v>2101</v>
      </c>
      <c r="AP99" t="s">
        <v>2102</v>
      </c>
      <c r="AQ99" t="s">
        <v>74</v>
      </c>
      <c r="AR99" t="s">
        <v>2103</v>
      </c>
      <c r="AS99" t="s">
        <v>2104</v>
      </c>
      <c r="AT99" t="s">
        <v>1077</v>
      </c>
      <c r="AU99">
        <v>2009</v>
      </c>
      <c r="AV99">
        <v>54</v>
      </c>
      <c r="AW99">
        <v>3</v>
      </c>
      <c r="AX99" t="s">
        <v>74</v>
      </c>
      <c r="AY99" t="s">
        <v>74</v>
      </c>
      <c r="AZ99" t="s">
        <v>74</v>
      </c>
      <c r="BA99" t="s">
        <v>74</v>
      </c>
      <c r="BB99">
        <v>1015</v>
      </c>
      <c r="BC99">
        <v>1022</v>
      </c>
      <c r="BD99" t="s">
        <v>74</v>
      </c>
      <c r="BE99" t="s">
        <v>2125</v>
      </c>
      <c r="BF99" t="str">
        <f>HYPERLINK("http://dx.doi.org/10.4319/lo.2009.54.3.1015","http://dx.doi.org/10.4319/lo.2009.54.3.1015")</f>
        <v>http://dx.doi.org/10.4319/lo.2009.54.3.1015</v>
      </c>
      <c r="BG99" t="s">
        <v>74</v>
      </c>
      <c r="BH99" t="s">
        <v>74</v>
      </c>
      <c r="BI99">
        <v>8</v>
      </c>
      <c r="BJ99" t="s">
        <v>2106</v>
      </c>
      <c r="BK99" t="s">
        <v>100</v>
      </c>
      <c r="BL99" t="s">
        <v>2107</v>
      </c>
      <c r="BM99" t="s">
        <v>2108</v>
      </c>
      <c r="BN99" t="s">
        <v>74</v>
      </c>
      <c r="BO99" t="s">
        <v>499</v>
      </c>
      <c r="BP99" t="s">
        <v>74</v>
      </c>
      <c r="BQ99" t="s">
        <v>74</v>
      </c>
      <c r="BR99" t="s">
        <v>103</v>
      </c>
      <c r="BS99" t="s">
        <v>2126</v>
      </c>
      <c r="BT99" t="str">
        <f>HYPERLINK("https%3A%2F%2Fwww.webofscience.com%2Fwos%2Fwoscc%2Ffull-record%2FWOS:000268325000032","View Full Record in Web of Science")</f>
        <v>View Full Record in Web of Science</v>
      </c>
    </row>
    <row r="100" spans="1:72" x14ac:dyDescent="0.15">
      <c r="A100" t="s">
        <v>72</v>
      </c>
      <c r="B100" t="s">
        <v>2127</v>
      </c>
      <c r="C100" t="s">
        <v>74</v>
      </c>
      <c r="D100" t="s">
        <v>74</v>
      </c>
      <c r="E100" t="s">
        <v>74</v>
      </c>
      <c r="F100" t="s">
        <v>2128</v>
      </c>
      <c r="G100" t="s">
        <v>74</v>
      </c>
      <c r="H100" t="s">
        <v>74</v>
      </c>
      <c r="I100" t="s">
        <v>2129</v>
      </c>
      <c r="J100" t="s">
        <v>2130</v>
      </c>
      <c r="K100" t="s">
        <v>74</v>
      </c>
      <c r="L100" t="s">
        <v>74</v>
      </c>
      <c r="M100" t="s">
        <v>78</v>
      </c>
      <c r="N100" t="s">
        <v>79</v>
      </c>
      <c r="O100" t="s">
        <v>74</v>
      </c>
      <c r="P100" t="s">
        <v>74</v>
      </c>
      <c r="Q100" t="s">
        <v>74</v>
      </c>
      <c r="R100" t="s">
        <v>74</v>
      </c>
      <c r="S100" t="s">
        <v>74</v>
      </c>
      <c r="T100" t="s">
        <v>74</v>
      </c>
      <c r="U100" t="s">
        <v>2131</v>
      </c>
      <c r="V100" t="s">
        <v>2132</v>
      </c>
      <c r="W100" t="s">
        <v>2133</v>
      </c>
      <c r="X100" t="s">
        <v>2134</v>
      </c>
      <c r="Y100" t="s">
        <v>2135</v>
      </c>
      <c r="Z100" t="s">
        <v>2136</v>
      </c>
      <c r="AA100" t="s">
        <v>2137</v>
      </c>
      <c r="AB100" t="s">
        <v>2138</v>
      </c>
      <c r="AC100" t="s">
        <v>2139</v>
      </c>
      <c r="AD100" t="s">
        <v>2140</v>
      </c>
      <c r="AE100" t="s">
        <v>2141</v>
      </c>
      <c r="AF100" t="s">
        <v>74</v>
      </c>
      <c r="AG100">
        <v>20</v>
      </c>
      <c r="AH100">
        <v>5</v>
      </c>
      <c r="AI100">
        <v>5</v>
      </c>
      <c r="AJ100">
        <v>0</v>
      </c>
      <c r="AK100">
        <v>7</v>
      </c>
      <c r="AL100" t="s">
        <v>2142</v>
      </c>
      <c r="AM100" t="s">
        <v>2143</v>
      </c>
      <c r="AN100" t="s">
        <v>2144</v>
      </c>
      <c r="AO100" t="s">
        <v>2145</v>
      </c>
      <c r="AP100" t="s">
        <v>74</v>
      </c>
      <c r="AQ100" t="s">
        <v>74</v>
      </c>
      <c r="AR100" t="s">
        <v>2146</v>
      </c>
      <c r="AS100" t="s">
        <v>2147</v>
      </c>
      <c r="AT100" t="s">
        <v>1077</v>
      </c>
      <c r="AU100">
        <v>2009</v>
      </c>
      <c r="AV100">
        <v>7</v>
      </c>
      <c r="AW100" t="s">
        <v>74</v>
      </c>
      <c r="AX100" t="s">
        <v>74</v>
      </c>
      <c r="AY100" t="s">
        <v>74</v>
      </c>
      <c r="AZ100" t="s">
        <v>74</v>
      </c>
      <c r="BA100" t="s">
        <v>74</v>
      </c>
      <c r="BB100">
        <v>363</v>
      </c>
      <c r="BC100">
        <v>370</v>
      </c>
      <c r="BD100" t="s">
        <v>74</v>
      </c>
      <c r="BE100" t="s">
        <v>2148</v>
      </c>
      <c r="BF100" t="str">
        <f>HYPERLINK("http://dx.doi.org/10.4319/lom.2009.7.363","http://dx.doi.org/10.4319/lom.2009.7.363")</f>
        <v>http://dx.doi.org/10.4319/lom.2009.7.363</v>
      </c>
      <c r="BG100" t="s">
        <v>74</v>
      </c>
      <c r="BH100" t="s">
        <v>74</v>
      </c>
      <c r="BI100">
        <v>8</v>
      </c>
      <c r="BJ100" t="s">
        <v>2106</v>
      </c>
      <c r="BK100" t="s">
        <v>100</v>
      </c>
      <c r="BL100" t="s">
        <v>2107</v>
      </c>
      <c r="BM100" t="s">
        <v>2149</v>
      </c>
      <c r="BN100" t="s">
        <v>74</v>
      </c>
      <c r="BO100" t="s">
        <v>499</v>
      </c>
      <c r="BP100" t="s">
        <v>74</v>
      </c>
      <c r="BQ100" t="s">
        <v>74</v>
      </c>
      <c r="BR100" t="s">
        <v>103</v>
      </c>
      <c r="BS100" t="s">
        <v>2150</v>
      </c>
      <c r="BT100" t="str">
        <f>HYPERLINK("https%3A%2F%2Fwww.webofscience.com%2Fwos%2Fwoscc%2Ffull-record%2FWOS:000267011000005","View Full Record in Web of Science")</f>
        <v>View Full Record in Web of Science</v>
      </c>
    </row>
    <row r="101" spans="1:72" x14ac:dyDescent="0.15">
      <c r="A101" t="s">
        <v>72</v>
      </c>
      <c r="B101" t="s">
        <v>2151</v>
      </c>
      <c r="C101" t="s">
        <v>74</v>
      </c>
      <c r="D101" t="s">
        <v>74</v>
      </c>
      <c r="E101" t="s">
        <v>74</v>
      </c>
      <c r="F101" t="s">
        <v>2152</v>
      </c>
      <c r="G101" t="s">
        <v>74</v>
      </c>
      <c r="H101" t="s">
        <v>74</v>
      </c>
      <c r="I101" t="s">
        <v>2153</v>
      </c>
      <c r="J101" t="s">
        <v>2154</v>
      </c>
      <c r="K101" t="s">
        <v>74</v>
      </c>
      <c r="L101" t="s">
        <v>74</v>
      </c>
      <c r="M101" t="s">
        <v>78</v>
      </c>
      <c r="N101" t="s">
        <v>79</v>
      </c>
      <c r="O101" t="s">
        <v>74</v>
      </c>
      <c r="P101" t="s">
        <v>74</v>
      </c>
      <c r="Q101" t="s">
        <v>74</v>
      </c>
      <c r="R101" t="s">
        <v>74</v>
      </c>
      <c r="S101" t="s">
        <v>74</v>
      </c>
      <c r="T101" t="s">
        <v>74</v>
      </c>
      <c r="U101" t="s">
        <v>2155</v>
      </c>
      <c r="V101" t="s">
        <v>2156</v>
      </c>
      <c r="W101" t="s">
        <v>2157</v>
      </c>
      <c r="X101" t="s">
        <v>2158</v>
      </c>
      <c r="Y101" t="s">
        <v>2159</v>
      </c>
      <c r="Z101" t="s">
        <v>2160</v>
      </c>
      <c r="AA101" t="s">
        <v>2161</v>
      </c>
      <c r="AB101" t="s">
        <v>2162</v>
      </c>
      <c r="AC101" t="s">
        <v>2163</v>
      </c>
      <c r="AD101" t="s">
        <v>2163</v>
      </c>
      <c r="AE101" t="s">
        <v>2164</v>
      </c>
      <c r="AF101" t="s">
        <v>74</v>
      </c>
      <c r="AG101">
        <v>48</v>
      </c>
      <c r="AH101">
        <v>145</v>
      </c>
      <c r="AI101">
        <v>165</v>
      </c>
      <c r="AJ101">
        <v>0</v>
      </c>
      <c r="AK101">
        <v>107</v>
      </c>
      <c r="AL101" t="s">
        <v>1947</v>
      </c>
      <c r="AM101" t="s">
        <v>1948</v>
      </c>
      <c r="AN101" t="s">
        <v>1949</v>
      </c>
      <c r="AO101" t="s">
        <v>2165</v>
      </c>
      <c r="AP101" t="s">
        <v>2166</v>
      </c>
      <c r="AQ101" t="s">
        <v>74</v>
      </c>
      <c r="AR101" t="s">
        <v>2167</v>
      </c>
      <c r="AS101" t="s">
        <v>2168</v>
      </c>
      <c r="AT101" t="s">
        <v>1077</v>
      </c>
      <c r="AU101">
        <v>2009</v>
      </c>
      <c r="AV101">
        <v>156</v>
      </c>
      <c r="AW101">
        <v>6</v>
      </c>
      <c r="AX101" t="s">
        <v>74</v>
      </c>
      <c r="AY101" t="s">
        <v>74</v>
      </c>
      <c r="AZ101" t="s">
        <v>74</v>
      </c>
      <c r="BA101" t="s">
        <v>74</v>
      </c>
      <c r="BB101">
        <v>1125</v>
      </c>
      <c r="BC101">
        <v>1137</v>
      </c>
      <c r="BD101" t="s">
        <v>74</v>
      </c>
      <c r="BE101" t="s">
        <v>2169</v>
      </c>
      <c r="BF101" t="str">
        <f>HYPERLINK("http://dx.doi.org/10.1007/s00227-009-1155-8","http://dx.doi.org/10.1007/s00227-009-1155-8")</f>
        <v>http://dx.doi.org/10.1007/s00227-009-1155-8</v>
      </c>
      <c r="BG101" t="s">
        <v>74</v>
      </c>
      <c r="BH101" t="s">
        <v>74</v>
      </c>
      <c r="BI101">
        <v>13</v>
      </c>
      <c r="BJ101" t="s">
        <v>448</v>
      </c>
      <c r="BK101" t="s">
        <v>100</v>
      </c>
      <c r="BL101" t="s">
        <v>448</v>
      </c>
      <c r="BM101" t="s">
        <v>2170</v>
      </c>
      <c r="BN101" t="s">
        <v>74</v>
      </c>
      <c r="BO101" t="s">
        <v>74</v>
      </c>
      <c r="BP101" t="s">
        <v>74</v>
      </c>
      <c r="BQ101" t="s">
        <v>74</v>
      </c>
      <c r="BR101" t="s">
        <v>103</v>
      </c>
      <c r="BS101" t="s">
        <v>2171</v>
      </c>
      <c r="BT101" t="str">
        <f>HYPERLINK("https%3A%2F%2Fwww.webofscience.com%2Fwos%2Fwoscc%2Ffull-record%2FWOS:000264873800003","View Full Record in Web of Science")</f>
        <v>View Full Record in Web of Science</v>
      </c>
    </row>
    <row r="102" spans="1:72" x14ac:dyDescent="0.15">
      <c r="A102" t="s">
        <v>72</v>
      </c>
      <c r="B102" t="s">
        <v>2172</v>
      </c>
      <c r="C102" t="s">
        <v>74</v>
      </c>
      <c r="D102" t="s">
        <v>74</v>
      </c>
      <c r="E102" t="s">
        <v>74</v>
      </c>
      <c r="F102" t="s">
        <v>2173</v>
      </c>
      <c r="G102" t="s">
        <v>74</v>
      </c>
      <c r="H102" t="s">
        <v>74</v>
      </c>
      <c r="I102" t="s">
        <v>2174</v>
      </c>
      <c r="J102" t="s">
        <v>2175</v>
      </c>
      <c r="K102" t="s">
        <v>74</v>
      </c>
      <c r="L102" t="s">
        <v>74</v>
      </c>
      <c r="M102" t="s">
        <v>78</v>
      </c>
      <c r="N102" t="s">
        <v>79</v>
      </c>
      <c r="O102" t="s">
        <v>74</v>
      </c>
      <c r="P102" t="s">
        <v>74</v>
      </c>
      <c r="Q102" t="s">
        <v>74</v>
      </c>
      <c r="R102" t="s">
        <v>74</v>
      </c>
      <c r="S102" t="s">
        <v>74</v>
      </c>
      <c r="T102" t="s">
        <v>74</v>
      </c>
      <c r="U102" t="s">
        <v>2176</v>
      </c>
      <c r="V102" t="s">
        <v>2177</v>
      </c>
      <c r="W102" t="s">
        <v>2178</v>
      </c>
      <c r="X102" t="s">
        <v>2179</v>
      </c>
      <c r="Y102" t="s">
        <v>2180</v>
      </c>
      <c r="Z102" t="s">
        <v>2181</v>
      </c>
      <c r="AA102" t="s">
        <v>74</v>
      </c>
      <c r="AB102" t="s">
        <v>74</v>
      </c>
      <c r="AC102" t="s">
        <v>74</v>
      </c>
      <c r="AD102" t="s">
        <v>74</v>
      </c>
      <c r="AE102" t="s">
        <v>74</v>
      </c>
      <c r="AF102" t="s">
        <v>74</v>
      </c>
      <c r="AG102">
        <v>63</v>
      </c>
      <c r="AH102">
        <v>4</v>
      </c>
      <c r="AI102">
        <v>5</v>
      </c>
      <c r="AJ102">
        <v>0</v>
      </c>
      <c r="AK102">
        <v>3</v>
      </c>
      <c r="AL102" t="s">
        <v>2124</v>
      </c>
      <c r="AM102" t="s">
        <v>1848</v>
      </c>
      <c r="AN102" t="s">
        <v>1849</v>
      </c>
      <c r="AO102" t="s">
        <v>2182</v>
      </c>
      <c r="AP102" t="s">
        <v>74</v>
      </c>
      <c r="AQ102" t="s">
        <v>74</v>
      </c>
      <c r="AR102" t="s">
        <v>2183</v>
      </c>
      <c r="AS102" t="s">
        <v>2184</v>
      </c>
      <c r="AT102" t="s">
        <v>1077</v>
      </c>
      <c r="AU102">
        <v>2009</v>
      </c>
      <c r="AV102">
        <v>44</v>
      </c>
      <c r="AW102">
        <v>5</v>
      </c>
      <c r="AX102" t="s">
        <v>74</v>
      </c>
      <c r="AY102" t="s">
        <v>74</v>
      </c>
      <c r="AZ102" t="s">
        <v>74</v>
      </c>
      <c r="BA102" t="s">
        <v>74</v>
      </c>
      <c r="BB102">
        <v>653</v>
      </c>
      <c r="BC102">
        <v>664</v>
      </c>
      <c r="BD102" t="s">
        <v>74</v>
      </c>
      <c r="BE102" t="s">
        <v>2185</v>
      </c>
      <c r="BF102" t="str">
        <f>HYPERLINK("http://dx.doi.org/10.1111/j.1945-5100.2009.tb00761.x","http://dx.doi.org/10.1111/j.1945-5100.2009.tb00761.x")</f>
        <v>http://dx.doi.org/10.1111/j.1945-5100.2009.tb00761.x</v>
      </c>
      <c r="BG102" t="s">
        <v>74</v>
      </c>
      <c r="BH102" t="s">
        <v>74</v>
      </c>
      <c r="BI102">
        <v>12</v>
      </c>
      <c r="BJ102" t="s">
        <v>534</v>
      </c>
      <c r="BK102" t="s">
        <v>100</v>
      </c>
      <c r="BL102" t="s">
        <v>534</v>
      </c>
      <c r="BM102" t="s">
        <v>2186</v>
      </c>
      <c r="BN102" t="s">
        <v>74</v>
      </c>
      <c r="BO102" t="s">
        <v>74</v>
      </c>
      <c r="BP102" t="s">
        <v>74</v>
      </c>
      <c r="BQ102" t="s">
        <v>74</v>
      </c>
      <c r="BR102" t="s">
        <v>103</v>
      </c>
      <c r="BS102" t="s">
        <v>2187</v>
      </c>
      <c r="BT102" t="str">
        <f>HYPERLINK("https%3A%2F%2Fwww.webofscience.com%2Fwos%2Fwoscc%2Ffull-record%2FWOS:000268532400003","View Full Record in Web of Science")</f>
        <v>View Full Record in Web of Science</v>
      </c>
    </row>
    <row r="103" spans="1:72" x14ac:dyDescent="0.15">
      <c r="A103" t="s">
        <v>72</v>
      </c>
      <c r="B103" t="s">
        <v>2188</v>
      </c>
      <c r="C103" t="s">
        <v>74</v>
      </c>
      <c r="D103" t="s">
        <v>74</v>
      </c>
      <c r="E103" t="s">
        <v>74</v>
      </c>
      <c r="F103" t="s">
        <v>2189</v>
      </c>
      <c r="G103" t="s">
        <v>74</v>
      </c>
      <c r="H103" t="s">
        <v>74</v>
      </c>
      <c r="I103" t="s">
        <v>2190</v>
      </c>
      <c r="J103" t="s">
        <v>2175</v>
      </c>
      <c r="K103" t="s">
        <v>74</v>
      </c>
      <c r="L103" t="s">
        <v>74</v>
      </c>
      <c r="M103" t="s">
        <v>78</v>
      </c>
      <c r="N103" t="s">
        <v>172</v>
      </c>
      <c r="O103" t="s">
        <v>74</v>
      </c>
      <c r="P103" t="s">
        <v>74</v>
      </c>
      <c r="Q103" t="s">
        <v>74</v>
      </c>
      <c r="R103" t="s">
        <v>74</v>
      </c>
      <c r="S103" t="s">
        <v>74</v>
      </c>
      <c r="T103" t="s">
        <v>74</v>
      </c>
      <c r="U103" t="s">
        <v>2191</v>
      </c>
      <c r="V103" t="s">
        <v>2192</v>
      </c>
      <c r="W103" t="s">
        <v>2193</v>
      </c>
      <c r="X103" t="s">
        <v>2194</v>
      </c>
      <c r="Y103" t="s">
        <v>2195</v>
      </c>
      <c r="Z103" t="s">
        <v>2196</v>
      </c>
      <c r="AA103" t="s">
        <v>74</v>
      </c>
      <c r="AB103" t="s">
        <v>74</v>
      </c>
      <c r="AC103" t="s">
        <v>2197</v>
      </c>
      <c r="AD103" t="s">
        <v>2198</v>
      </c>
      <c r="AE103" t="s">
        <v>2199</v>
      </c>
      <c r="AF103" t="s">
        <v>74</v>
      </c>
      <c r="AG103">
        <v>131</v>
      </c>
      <c r="AH103">
        <v>42</v>
      </c>
      <c r="AI103">
        <v>42</v>
      </c>
      <c r="AJ103">
        <v>0</v>
      </c>
      <c r="AK103">
        <v>6</v>
      </c>
      <c r="AL103" t="s">
        <v>2200</v>
      </c>
      <c r="AM103" t="s">
        <v>2201</v>
      </c>
      <c r="AN103" t="s">
        <v>2202</v>
      </c>
      <c r="AO103" t="s">
        <v>2182</v>
      </c>
      <c r="AP103" t="s">
        <v>74</v>
      </c>
      <c r="AQ103" t="s">
        <v>74</v>
      </c>
      <c r="AR103" t="s">
        <v>2183</v>
      </c>
      <c r="AS103" t="s">
        <v>2184</v>
      </c>
      <c r="AT103" t="s">
        <v>1077</v>
      </c>
      <c r="AU103">
        <v>2009</v>
      </c>
      <c r="AV103">
        <v>44</v>
      </c>
      <c r="AW103">
        <v>5</v>
      </c>
      <c r="AX103" t="s">
        <v>74</v>
      </c>
      <c r="AY103" t="s">
        <v>74</v>
      </c>
      <c r="AZ103" t="s">
        <v>74</v>
      </c>
      <c r="BA103" t="s">
        <v>74</v>
      </c>
      <c r="BB103">
        <v>701</v>
      </c>
      <c r="BC103">
        <v>724</v>
      </c>
      <c r="BD103" t="s">
        <v>74</v>
      </c>
      <c r="BE103" t="s">
        <v>2203</v>
      </c>
      <c r="BF103" t="str">
        <f>HYPERLINK("http://dx.doi.org/10.1111/j.1945-5100.2009.tb00764.x","http://dx.doi.org/10.1111/j.1945-5100.2009.tb00764.x")</f>
        <v>http://dx.doi.org/10.1111/j.1945-5100.2009.tb00764.x</v>
      </c>
      <c r="BG103" t="s">
        <v>74</v>
      </c>
      <c r="BH103" t="s">
        <v>74</v>
      </c>
      <c r="BI103">
        <v>24</v>
      </c>
      <c r="BJ103" t="s">
        <v>534</v>
      </c>
      <c r="BK103" t="s">
        <v>100</v>
      </c>
      <c r="BL103" t="s">
        <v>534</v>
      </c>
      <c r="BM103" t="s">
        <v>2186</v>
      </c>
      <c r="BN103" t="s">
        <v>74</v>
      </c>
      <c r="BO103" t="s">
        <v>499</v>
      </c>
      <c r="BP103" t="s">
        <v>74</v>
      </c>
      <c r="BQ103" t="s">
        <v>74</v>
      </c>
      <c r="BR103" t="s">
        <v>103</v>
      </c>
      <c r="BS103" t="s">
        <v>2204</v>
      </c>
      <c r="BT103" t="str">
        <f>HYPERLINK("https%3A%2F%2Fwww.webofscience.com%2Fwos%2Fwoscc%2Ffull-record%2FWOS:000268532400006","View Full Record in Web of Science")</f>
        <v>View Full Record in Web of Science</v>
      </c>
    </row>
    <row r="104" spans="1:72" x14ac:dyDescent="0.15">
      <c r="A104" t="s">
        <v>72</v>
      </c>
      <c r="B104" t="s">
        <v>2205</v>
      </c>
      <c r="C104" t="s">
        <v>74</v>
      </c>
      <c r="D104" t="s">
        <v>74</v>
      </c>
      <c r="E104" t="s">
        <v>74</v>
      </c>
      <c r="F104" t="s">
        <v>2206</v>
      </c>
      <c r="G104" t="s">
        <v>74</v>
      </c>
      <c r="H104" t="s">
        <v>74</v>
      </c>
      <c r="I104" t="s">
        <v>2207</v>
      </c>
      <c r="J104" t="s">
        <v>2175</v>
      </c>
      <c r="K104" t="s">
        <v>74</v>
      </c>
      <c r="L104" t="s">
        <v>74</v>
      </c>
      <c r="M104" t="s">
        <v>78</v>
      </c>
      <c r="N104" t="s">
        <v>172</v>
      </c>
      <c r="O104" t="s">
        <v>74</v>
      </c>
      <c r="P104" t="s">
        <v>74</v>
      </c>
      <c r="Q104" t="s">
        <v>74</v>
      </c>
      <c r="R104" t="s">
        <v>74</v>
      </c>
      <c r="S104" t="s">
        <v>74</v>
      </c>
      <c r="T104" t="s">
        <v>74</v>
      </c>
      <c r="U104" t="s">
        <v>2208</v>
      </c>
      <c r="V104" t="s">
        <v>2209</v>
      </c>
      <c r="W104" t="s">
        <v>2210</v>
      </c>
      <c r="X104" t="s">
        <v>2211</v>
      </c>
      <c r="Y104" t="s">
        <v>2212</v>
      </c>
      <c r="Z104" t="s">
        <v>2213</v>
      </c>
      <c r="AA104" t="s">
        <v>2214</v>
      </c>
      <c r="AB104" t="s">
        <v>2215</v>
      </c>
      <c r="AC104" t="s">
        <v>2216</v>
      </c>
      <c r="AD104" t="s">
        <v>2217</v>
      </c>
      <c r="AE104" t="s">
        <v>2218</v>
      </c>
      <c r="AF104" t="s">
        <v>74</v>
      </c>
      <c r="AG104">
        <v>155</v>
      </c>
      <c r="AH104">
        <v>24</v>
      </c>
      <c r="AI104">
        <v>29</v>
      </c>
      <c r="AJ104">
        <v>0</v>
      </c>
      <c r="AK104">
        <v>14</v>
      </c>
      <c r="AL104" t="s">
        <v>489</v>
      </c>
      <c r="AM104" t="s">
        <v>490</v>
      </c>
      <c r="AN104" t="s">
        <v>491</v>
      </c>
      <c r="AO104" t="s">
        <v>2182</v>
      </c>
      <c r="AP104" t="s">
        <v>2219</v>
      </c>
      <c r="AQ104" t="s">
        <v>74</v>
      </c>
      <c r="AR104" t="s">
        <v>2183</v>
      </c>
      <c r="AS104" t="s">
        <v>2184</v>
      </c>
      <c r="AT104" t="s">
        <v>1077</v>
      </c>
      <c r="AU104">
        <v>2009</v>
      </c>
      <c r="AV104">
        <v>44</v>
      </c>
      <c r="AW104">
        <v>5</v>
      </c>
      <c r="AX104" t="s">
        <v>74</v>
      </c>
      <c r="AY104" t="s">
        <v>74</v>
      </c>
      <c r="AZ104" t="s">
        <v>74</v>
      </c>
      <c r="BA104" t="s">
        <v>74</v>
      </c>
      <c r="BB104">
        <v>725</v>
      </c>
      <c r="BC104">
        <v>745</v>
      </c>
      <c r="BD104" t="s">
        <v>74</v>
      </c>
      <c r="BE104" t="s">
        <v>2220</v>
      </c>
      <c r="BF104" t="str">
        <f>HYPERLINK("http://dx.doi.org/10.1111/j.1945-5100.2009.tb00765.x","http://dx.doi.org/10.1111/j.1945-5100.2009.tb00765.x")</f>
        <v>http://dx.doi.org/10.1111/j.1945-5100.2009.tb00765.x</v>
      </c>
      <c r="BG104" t="s">
        <v>74</v>
      </c>
      <c r="BH104" t="s">
        <v>74</v>
      </c>
      <c r="BI104">
        <v>21</v>
      </c>
      <c r="BJ104" t="s">
        <v>534</v>
      </c>
      <c r="BK104" t="s">
        <v>100</v>
      </c>
      <c r="BL104" t="s">
        <v>534</v>
      </c>
      <c r="BM104" t="s">
        <v>2186</v>
      </c>
      <c r="BN104" t="s">
        <v>74</v>
      </c>
      <c r="BO104" t="s">
        <v>287</v>
      </c>
      <c r="BP104" t="s">
        <v>74</v>
      </c>
      <c r="BQ104" t="s">
        <v>74</v>
      </c>
      <c r="BR104" t="s">
        <v>103</v>
      </c>
      <c r="BS104" t="s">
        <v>2221</v>
      </c>
      <c r="BT104" t="str">
        <f>HYPERLINK("https%3A%2F%2Fwww.webofscience.com%2Fwos%2Fwoscc%2Ffull-record%2FWOS:000268532400007","View Full Record in Web of Science")</f>
        <v>View Full Record in Web of Science</v>
      </c>
    </row>
    <row r="105" spans="1:72" x14ac:dyDescent="0.15">
      <c r="A105" t="s">
        <v>72</v>
      </c>
      <c r="B105" t="s">
        <v>2222</v>
      </c>
      <c r="C105" t="s">
        <v>74</v>
      </c>
      <c r="D105" t="s">
        <v>74</v>
      </c>
      <c r="E105" t="s">
        <v>74</v>
      </c>
      <c r="F105" t="s">
        <v>2223</v>
      </c>
      <c r="G105" t="s">
        <v>74</v>
      </c>
      <c r="H105" t="s">
        <v>74</v>
      </c>
      <c r="I105" t="s">
        <v>2224</v>
      </c>
      <c r="J105" t="s">
        <v>2175</v>
      </c>
      <c r="K105" t="s">
        <v>74</v>
      </c>
      <c r="L105" t="s">
        <v>74</v>
      </c>
      <c r="M105" t="s">
        <v>78</v>
      </c>
      <c r="N105" t="s">
        <v>79</v>
      </c>
      <c r="O105" t="s">
        <v>74</v>
      </c>
      <c r="P105" t="s">
        <v>74</v>
      </c>
      <c r="Q105" t="s">
        <v>74</v>
      </c>
      <c r="R105" t="s">
        <v>74</v>
      </c>
      <c r="S105" t="s">
        <v>74</v>
      </c>
      <c r="T105" t="s">
        <v>74</v>
      </c>
      <c r="U105" t="s">
        <v>2225</v>
      </c>
      <c r="V105" t="s">
        <v>2226</v>
      </c>
      <c r="W105" t="s">
        <v>2227</v>
      </c>
      <c r="X105" t="s">
        <v>2228</v>
      </c>
      <c r="Y105" t="s">
        <v>2229</v>
      </c>
      <c r="Z105" t="s">
        <v>2230</v>
      </c>
      <c r="AA105" t="s">
        <v>2231</v>
      </c>
      <c r="AB105" t="s">
        <v>2232</v>
      </c>
      <c r="AC105" t="s">
        <v>2233</v>
      </c>
      <c r="AD105" t="s">
        <v>2234</v>
      </c>
      <c r="AE105" t="s">
        <v>2235</v>
      </c>
      <c r="AF105" t="s">
        <v>74</v>
      </c>
      <c r="AG105">
        <v>82</v>
      </c>
      <c r="AH105">
        <v>41</v>
      </c>
      <c r="AI105">
        <v>46</v>
      </c>
      <c r="AJ105">
        <v>0</v>
      </c>
      <c r="AK105">
        <v>8</v>
      </c>
      <c r="AL105" t="s">
        <v>489</v>
      </c>
      <c r="AM105" t="s">
        <v>490</v>
      </c>
      <c r="AN105" t="s">
        <v>491</v>
      </c>
      <c r="AO105" t="s">
        <v>2182</v>
      </c>
      <c r="AP105" t="s">
        <v>2219</v>
      </c>
      <c r="AQ105" t="s">
        <v>74</v>
      </c>
      <c r="AR105" t="s">
        <v>2183</v>
      </c>
      <c r="AS105" t="s">
        <v>2184</v>
      </c>
      <c r="AT105" t="s">
        <v>1077</v>
      </c>
      <c r="AU105">
        <v>2009</v>
      </c>
      <c r="AV105">
        <v>44</v>
      </c>
      <c r="AW105">
        <v>5</v>
      </c>
      <c r="AX105" t="s">
        <v>74</v>
      </c>
      <c r="AY105" t="s">
        <v>74</v>
      </c>
      <c r="AZ105" t="s">
        <v>74</v>
      </c>
      <c r="BA105" t="s">
        <v>74</v>
      </c>
      <c r="BB105">
        <v>747</v>
      </c>
      <c r="BC105">
        <v>762</v>
      </c>
      <c r="BD105" t="s">
        <v>74</v>
      </c>
      <c r="BE105" t="s">
        <v>2236</v>
      </c>
      <c r="BF105" t="str">
        <f>HYPERLINK("http://dx.doi.org/10.1111/j.1945-5100.2009.tb00766.x","http://dx.doi.org/10.1111/j.1945-5100.2009.tb00766.x")</f>
        <v>http://dx.doi.org/10.1111/j.1945-5100.2009.tb00766.x</v>
      </c>
      <c r="BG105" t="s">
        <v>74</v>
      </c>
      <c r="BH105" t="s">
        <v>74</v>
      </c>
      <c r="BI105">
        <v>16</v>
      </c>
      <c r="BJ105" t="s">
        <v>534</v>
      </c>
      <c r="BK105" t="s">
        <v>100</v>
      </c>
      <c r="BL105" t="s">
        <v>534</v>
      </c>
      <c r="BM105" t="s">
        <v>2186</v>
      </c>
      <c r="BN105" t="s">
        <v>74</v>
      </c>
      <c r="BO105" t="s">
        <v>74</v>
      </c>
      <c r="BP105" t="s">
        <v>74</v>
      </c>
      <c r="BQ105" t="s">
        <v>74</v>
      </c>
      <c r="BR105" t="s">
        <v>103</v>
      </c>
      <c r="BS105" t="s">
        <v>2237</v>
      </c>
      <c r="BT105" t="str">
        <f>HYPERLINK("https%3A%2F%2Fwww.webofscience.com%2Fwos%2Fwoscc%2Ffull-record%2FWOS:000268532400008","View Full Record in Web of Science")</f>
        <v>View Full Record in Web of Science</v>
      </c>
    </row>
    <row r="106" spans="1:72" x14ac:dyDescent="0.15">
      <c r="A106" t="s">
        <v>72</v>
      </c>
      <c r="B106" t="s">
        <v>2238</v>
      </c>
      <c r="C106" t="s">
        <v>74</v>
      </c>
      <c r="D106" t="s">
        <v>74</v>
      </c>
      <c r="E106" t="s">
        <v>74</v>
      </c>
      <c r="F106" t="s">
        <v>2239</v>
      </c>
      <c r="G106" t="s">
        <v>74</v>
      </c>
      <c r="H106" t="s">
        <v>74</v>
      </c>
      <c r="I106" t="s">
        <v>2240</v>
      </c>
      <c r="J106" t="s">
        <v>2241</v>
      </c>
      <c r="K106" t="s">
        <v>74</v>
      </c>
      <c r="L106" t="s">
        <v>74</v>
      </c>
      <c r="M106" t="s">
        <v>78</v>
      </c>
      <c r="N106" t="s">
        <v>79</v>
      </c>
      <c r="O106" t="s">
        <v>74</v>
      </c>
      <c r="P106" t="s">
        <v>74</v>
      </c>
      <c r="Q106" t="s">
        <v>74</v>
      </c>
      <c r="R106" t="s">
        <v>74</v>
      </c>
      <c r="S106" t="s">
        <v>74</v>
      </c>
      <c r="T106" t="s">
        <v>74</v>
      </c>
      <c r="U106" t="s">
        <v>2242</v>
      </c>
      <c r="V106" t="s">
        <v>2243</v>
      </c>
      <c r="W106" t="s">
        <v>2244</v>
      </c>
      <c r="X106" t="s">
        <v>2245</v>
      </c>
      <c r="Y106" t="s">
        <v>2246</v>
      </c>
      <c r="Z106" t="s">
        <v>2247</v>
      </c>
      <c r="AA106" t="s">
        <v>2248</v>
      </c>
      <c r="AB106" t="s">
        <v>2249</v>
      </c>
      <c r="AC106" t="s">
        <v>2250</v>
      </c>
      <c r="AD106" t="s">
        <v>2251</v>
      </c>
      <c r="AE106" t="s">
        <v>2252</v>
      </c>
      <c r="AF106" t="s">
        <v>74</v>
      </c>
      <c r="AG106">
        <v>53</v>
      </c>
      <c r="AH106">
        <v>51</v>
      </c>
      <c r="AI106">
        <v>63</v>
      </c>
      <c r="AJ106">
        <v>0</v>
      </c>
      <c r="AK106">
        <v>38</v>
      </c>
      <c r="AL106" t="s">
        <v>91</v>
      </c>
      <c r="AM106" t="s">
        <v>92</v>
      </c>
      <c r="AN106" t="s">
        <v>137</v>
      </c>
      <c r="AO106" t="s">
        <v>2253</v>
      </c>
      <c r="AP106" t="s">
        <v>2254</v>
      </c>
      <c r="AQ106" t="s">
        <v>74</v>
      </c>
      <c r="AR106" t="s">
        <v>2255</v>
      </c>
      <c r="AS106" t="s">
        <v>2256</v>
      </c>
      <c r="AT106" t="s">
        <v>1077</v>
      </c>
      <c r="AU106">
        <v>2009</v>
      </c>
      <c r="AV106">
        <v>57</v>
      </c>
      <c r="AW106">
        <v>4</v>
      </c>
      <c r="AX106" t="s">
        <v>74</v>
      </c>
      <c r="AY106" t="s">
        <v>74</v>
      </c>
      <c r="AZ106" t="s">
        <v>74</v>
      </c>
      <c r="BA106" t="s">
        <v>74</v>
      </c>
      <c r="BB106">
        <v>598</v>
      </c>
      <c r="BC106">
        <v>610</v>
      </c>
      <c r="BD106" t="s">
        <v>74</v>
      </c>
      <c r="BE106" t="s">
        <v>2257</v>
      </c>
      <c r="BF106" t="str">
        <f>HYPERLINK("http://dx.doi.org/10.1007/s00248-008-9420-9","http://dx.doi.org/10.1007/s00248-008-9420-9")</f>
        <v>http://dx.doi.org/10.1007/s00248-008-9420-9</v>
      </c>
      <c r="BG106" t="s">
        <v>74</v>
      </c>
      <c r="BH106" t="s">
        <v>74</v>
      </c>
      <c r="BI106">
        <v>13</v>
      </c>
      <c r="BJ106" t="s">
        <v>2258</v>
      </c>
      <c r="BK106" t="s">
        <v>100</v>
      </c>
      <c r="BL106" t="s">
        <v>2259</v>
      </c>
      <c r="BM106" t="s">
        <v>2260</v>
      </c>
      <c r="BN106">
        <v>18685886</v>
      </c>
      <c r="BO106" t="s">
        <v>217</v>
      </c>
      <c r="BP106" t="s">
        <v>74</v>
      </c>
      <c r="BQ106" t="s">
        <v>74</v>
      </c>
      <c r="BR106" t="s">
        <v>103</v>
      </c>
      <c r="BS106" t="s">
        <v>2261</v>
      </c>
      <c r="BT106" t="str">
        <f>HYPERLINK("https%3A%2F%2Fwww.webofscience.com%2Fwos%2Fwoscc%2Ffull-record%2FWOS:000265044900002","View Full Record in Web of Science")</f>
        <v>View Full Record in Web of Science</v>
      </c>
    </row>
    <row r="107" spans="1:72" x14ac:dyDescent="0.15">
      <c r="A107" t="s">
        <v>72</v>
      </c>
      <c r="B107" t="s">
        <v>2262</v>
      </c>
      <c r="C107" t="s">
        <v>74</v>
      </c>
      <c r="D107" t="s">
        <v>74</v>
      </c>
      <c r="E107" t="s">
        <v>74</v>
      </c>
      <c r="F107" t="s">
        <v>2263</v>
      </c>
      <c r="G107" t="s">
        <v>74</v>
      </c>
      <c r="H107" t="s">
        <v>74</v>
      </c>
      <c r="I107" t="s">
        <v>2264</v>
      </c>
      <c r="J107" t="s">
        <v>2241</v>
      </c>
      <c r="K107" t="s">
        <v>74</v>
      </c>
      <c r="L107" t="s">
        <v>74</v>
      </c>
      <c r="M107" t="s">
        <v>78</v>
      </c>
      <c r="N107" t="s">
        <v>79</v>
      </c>
      <c r="O107" t="s">
        <v>74</v>
      </c>
      <c r="P107" t="s">
        <v>74</v>
      </c>
      <c r="Q107" t="s">
        <v>74</v>
      </c>
      <c r="R107" t="s">
        <v>74</v>
      </c>
      <c r="S107" t="s">
        <v>74</v>
      </c>
      <c r="T107" t="s">
        <v>74</v>
      </c>
      <c r="U107" t="s">
        <v>2265</v>
      </c>
      <c r="V107" t="s">
        <v>2266</v>
      </c>
      <c r="W107" t="s">
        <v>2267</v>
      </c>
      <c r="X107" t="s">
        <v>2268</v>
      </c>
      <c r="Y107" t="s">
        <v>2269</v>
      </c>
      <c r="Z107" t="s">
        <v>2270</v>
      </c>
      <c r="AA107" t="s">
        <v>2271</v>
      </c>
      <c r="AB107" t="s">
        <v>2272</v>
      </c>
      <c r="AC107" t="s">
        <v>2273</v>
      </c>
      <c r="AD107" t="s">
        <v>2274</v>
      </c>
      <c r="AE107" t="s">
        <v>2275</v>
      </c>
      <c r="AF107" t="s">
        <v>74</v>
      </c>
      <c r="AG107">
        <v>37</v>
      </c>
      <c r="AH107">
        <v>36</v>
      </c>
      <c r="AI107">
        <v>38</v>
      </c>
      <c r="AJ107">
        <v>0</v>
      </c>
      <c r="AK107">
        <v>6</v>
      </c>
      <c r="AL107" t="s">
        <v>91</v>
      </c>
      <c r="AM107" t="s">
        <v>92</v>
      </c>
      <c r="AN107" t="s">
        <v>93</v>
      </c>
      <c r="AO107" t="s">
        <v>2253</v>
      </c>
      <c r="AP107" t="s">
        <v>2254</v>
      </c>
      <c r="AQ107" t="s">
        <v>74</v>
      </c>
      <c r="AR107" t="s">
        <v>2255</v>
      </c>
      <c r="AS107" t="s">
        <v>2256</v>
      </c>
      <c r="AT107" t="s">
        <v>1077</v>
      </c>
      <c r="AU107">
        <v>2009</v>
      </c>
      <c r="AV107">
        <v>57</v>
      </c>
      <c r="AW107">
        <v>4</v>
      </c>
      <c r="AX107" t="s">
        <v>74</v>
      </c>
      <c r="AY107" t="s">
        <v>74</v>
      </c>
      <c r="AZ107" t="s">
        <v>74</v>
      </c>
      <c r="BA107" t="s">
        <v>74</v>
      </c>
      <c r="BB107">
        <v>640</v>
      </c>
      <c r="BC107">
        <v>648</v>
      </c>
      <c r="BD107" t="s">
        <v>74</v>
      </c>
      <c r="BE107" t="s">
        <v>2276</v>
      </c>
      <c r="BF107" t="str">
        <f>HYPERLINK("http://dx.doi.org/10.1007/s00248-008-9462-z","http://dx.doi.org/10.1007/s00248-008-9462-z")</f>
        <v>http://dx.doi.org/10.1007/s00248-008-9462-z</v>
      </c>
      <c r="BG107" t="s">
        <v>74</v>
      </c>
      <c r="BH107" t="s">
        <v>74</v>
      </c>
      <c r="BI107">
        <v>9</v>
      </c>
      <c r="BJ107" t="s">
        <v>2258</v>
      </c>
      <c r="BK107" t="s">
        <v>100</v>
      </c>
      <c r="BL107" t="s">
        <v>2259</v>
      </c>
      <c r="BM107" t="s">
        <v>2260</v>
      </c>
      <c r="BN107">
        <v>18972149</v>
      </c>
      <c r="BO107" t="s">
        <v>74</v>
      </c>
      <c r="BP107" t="s">
        <v>74</v>
      </c>
      <c r="BQ107" t="s">
        <v>74</v>
      </c>
      <c r="BR107" t="s">
        <v>103</v>
      </c>
      <c r="BS107" t="s">
        <v>2277</v>
      </c>
      <c r="BT107" t="str">
        <f>HYPERLINK("https%3A%2F%2Fwww.webofscience.com%2Fwos%2Fwoscc%2Ffull-record%2FWOS:000265044900006","View Full Record in Web of Science")</f>
        <v>View Full Record in Web of Science</v>
      </c>
    </row>
    <row r="108" spans="1:72" x14ac:dyDescent="0.15">
      <c r="A108" t="s">
        <v>72</v>
      </c>
      <c r="B108" t="s">
        <v>2278</v>
      </c>
      <c r="C108" t="s">
        <v>74</v>
      </c>
      <c r="D108" t="s">
        <v>74</v>
      </c>
      <c r="E108" t="s">
        <v>74</v>
      </c>
      <c r="F108" t="s">
        <v>2279</v>
      </c>
      <c r="G108" t="s">
        <v>74</v>
      </c>
      <c r="H108" t="s">
        <v>74</v>
      </c>
      <c r="I108" t="s">
        <v>2280</v>
      </c>
      <c r="J108" t="s">
        <v>2281</v>
      </c>
      <c r="K108" t="s">
        <v>74</v>
      </c>
      <c r="L108" t="s">
        <v>74</v>
      </c>
      <c r="M108" t="s">
        <v>78</v>
      </c>
      <c r="N108" t="s">
        <v>79</v>
      </c>
      <c r="O108" t="s">
        <v>74</v>
      </c>
      <c r="P108" t="s">
        <v>74</v>
      </c>
      <c r="Q108" t="s">
        <v>74</v>
      </c>
      <c r="R108" t="s">
        <v>74</v>
      </c>
      <c r="S108" t="s">
        <v>74</v>
      </c>
      <c r="T108" t="s">
        <v>2282</v>
      </c>
      <c r="U108" t="s">
        <v>2283</v>
      </c>
      <c r="V108" t="s">
        <v>2284</v>
      </c>
      <c r="W108" t="s">
        <v>2285</v>
      </c>
      <c r="X108" t="s">
        <v>2286</v>
      </c>
      <c r="Y108" t="s">
        <v>2287</v>
      </c>
      <c r="Z108" t="s">
        <v>2288</v>
      </c>
      <c r="AA108" t="s">
        <v>2289</v>
      </c>
      <c r="AB108" t="s">
        <v>2290</v>
      </c>
      <c r="AC108" t="s">
        <v>2291</v>
      </c>
      <c r="AD108" t="s">
        <v>2291</v>
      </c>
      <c r="AE108" t="s">
        <v>2292</v>
      </c>
      <c r="AF108" t="s">
        <v>74</v>
      </c>
      <c r="AG108">
        <v>42</v>
      </c>
      <c r="AH108">
        <v>24</v>
      </c>
      <c r="AI108">
        <v>26</v>
      </c>
      <c r="AJ108">
        <v>1</v>
      </c>
      <c r="AK108">
        <v>17</v>
      </c>
      <c r="AL108" t="s">
        <v>251</v>
      </c>
      <c r="AM108" t="s">
        <v>252</v>
      </c>
      <c r="AN108" t="s">
        <v>253</v>
      </c>
      <c r="AO108" t="s">
        <v>2293</v>
      </c>
      <c r="AP108" t="s">
        <v>2294</v>
      </c>
      <c r="AQ108" t="s">
        <v>74</v>
      </c>
      <c r="AR108" t="s">
        <v>2295</v>
      </c>
      <c r="AS108" t="s">
        <v>2296</v>
      </c>
      <c r="AT108" t="s">
        <v>1077</v>
      </c>
      <c r="AU108">
        <v>2009</v>
      </c>
      <c r="AV108">
        <v>92</v>
      </c>
      <c r="AW108">
        <v>1</v>
      </c>
      <c r="AX108" t="s">
        <v>74</v>
      </c>
      <c r="AY108" t="s">
        <v>74</v>
      </c>
      <c r="AZ108" t="s">
        <v>2297</v>
      </c>
      <c r="BA108" t="s">
        <v>74</v>
      </c>
      <c r="BB108">
        <v>7</v>
      </c>
      <c r="BC108">
        <v>14</v>
      </c>
      <c r="BD108" t="s">
        <v>74</v>
      </c>
      <c r="BE108" t="s">
        <v>2298</v>
      </c>
      <c r="BF108" t="str">
        <f>HYPERLINK("http://dx.doi.org/10.1016/j.microc.2008.08.007","http://dx.doi.org/10.1016/j.microc.2008.08.007")</f>
        <v>http://dx.doi.org/10.1016/j.microc.2008.08.007</v>
      </c>
      <c r="BG108" t="s">
        <v>74</v>
      </c>
      <c r="BH108" t="s">
        <v>74</v>
      </c>
      <c r="BI108">
        <v>8</v>
      </c>
      <c r="BJ108" t="s">
        <v>814</v>
      </c>
      <c r="BK108" t="s">
        <v>100</v>
      </c>
      <c r="BL108" t="s">
        <v>561</v>
      </c>
      <c r="BM108" t="s">
        <v>2299</v>
      </c>
      <c r="BN108" t="s">
        <v>74</v>
      </c>
      <c r="BO108" t="s">
        <v>74</v>
      </c>
      <c r="BP108" t="s">
        <v>74</v>
      </c>
      <c r="BQ108" t="s">
        <v>74</v>
      </c>
      <c r="BR108" t="s">
        <v>103</v>
      </c>
      <c r="BS108" t="s">
        <v>2300</v>
      </c>
      <c r="BT108" t="str">
        <f>HYPERLINK("https%3A%2F%2Fwww.webofscience.com%2Fwos%2Fwoscc%2Ffull-record%2FWOS:000266520800002","View Full Record in Web of Science")</f>
        <v>View Full Record in Web of Science</v>
      </c>
    </row>
    <row r="109" spans="1:72" x14ac:dyDescent="0.15">
      <c r="A109" t="s">
        <v>72</v>
      </c>
      <c r="B109" t="s">
        <v>2301</v>
      </c>
      <c r="C109" t="s">
        <v>74</v>
      </c>
      <c r="D109" t="s">
        <v>74</v>
      </c>
      <c r="E109" t="s">
        <v>74</v>
      </c>
      <c r="F109" t="s">
        <v>2302</v>
      </c>
      <c r="G109" t="s">
        <v>74</v>
      </c>
      <c r="H109" t="s">
        <v>74</v>
      </c>
      <c r="I109" t="s">
        <v>2303</v>
      </c>
      <c r="J109" t="s">
        <v>2281</v>
      </c>
      <c r="K109" t="s">
        <v>74</v>
      </c>
      <c r="L109" t="s">
        <v>74</v>
      </c>
      <c r="M109" t="s">
        <v>78</v>
      </c>
      <c r="N109" t="s">
        <v>79</v>
      </c>
      <c r="O109" t="s">
        <v>74</v>
      </c>
      <c r="P109" t="s">
        <v>74</v>
      </c>
      <c r="Q109" t="s">
        <v>74</v>
      </c>
      <c r="R109" t="s">
        <v>74</v>
      </c>
      <c r="S109" t="s">
        <v>74</v>
      </c>
      <c r="T109" t="s">
        <v>2304</v>
      </c>
      <c r="U109" t="s">
        <v>2305</v>
      </c>
      <c r="V109" t="s">
        <v>2306</v>
      </c>
      <c r="W109" t="s">
        <v>2307</v>
      </c>
      <c r="X109" t="s">
        <v>2286</v>
      </c>
      <c r="Y109" t="s">
        <v>2308</v>
      </c>
      <c r="Z109" t="s">
        <v>2309</v>
      </c>
      <c r="AA109" t="s">
        <v>2310</v>
      </c>
      <c r="AB109" t="s">
        <v>2311</v>
      </c>
      <c r="AC109" t="s">
        <v>2312</v>
      </c>
      <c r="AD109" t="s">
        <v>2313</v>
      </c>
      <c r="AE109" t="s">
        <v>2314</v>
      </c>
      <c r="AF109" t="s">
        <v>74</v>
      </c>
      <c r="AG109">
        <v>48</v>
      </c>
      <c r="AH109">
        <v>19</v>
      </c>
      <c r="AI109">
        <v>22</v>
      </c>
      <c r="AJ109">
        <v>0</v>
      </c>
      <c r="AK109">
        <v>15</v>
      </c>
      <c r="AL109" t="s">
        <v>553</v>
      </c>
      <c r="AM109" t="s">
        <v>252</v>
      </c>
      <c r="AN109" t="s">
        <v>554</v>
      </c>
      <c r="AO109" t="s">
        <v>2293</v>
      </c>
      <c r="AP109" t="s">
        <v>2294</v>
      </c>
      <c r="AQ109" t="s">
        <v>74</v>
      </c>
      <c r="AR109" t="s">
        <v>2295</v>
      </c>
      <c r="AS109" t="s">
        <v>2296</v>
      </c>
      <c r="AT109" t="s">
        <v>1077</v>
      </c>
      <c r="AU109">
        <v>2009</v>
      </c>
      <c r="AV109">
        <v>92</v>
      </c>
      <c r="AW109">
        <v>1</v>
      </c>
      <c r="AX109" t="s">
        <v>74</v>
      </c>
      <c r="AY109" t="s">
        <v>74</v>
      </c>
      <c r="AZ109" t="s">
        <v>2297</v>
      </c>
      <c r="BA109" t="s">
        <v>74</v>
      </c>
      <c r="BB109">
        <v>15</v>
      </c>
      <c r="BC109">
        <v>20</v>
      </c>
      <c r="BD109" t="s">
        <v>74</v>
      </c>
      <c r="BE109" t="s">
        <v>2315</v>
      </c>
      <c r="BF109" t="str">
        <f>HYPERLINK("http://dx.doi.org/10.1016/j.microc.2008.08.004","http://dx.doi.org/10.1016/j.microc.2008.08.004")</f>
        <v>http://dx.doi.org/10.1016/j.microc.2008.08.004</v>
      </c>
      <c r="BG109" t="s">
        <v>74</v>
      </c>
      <c r="BH109" t="s">
        <v>74</v>
      </c>
      <c r="BI109">
        <v>6</v>
      </c>
      <c r="BJ109" t="s">
        <v>814</v>
      </c>
      <c r="BK109" t="s">
        <v>100</v>
      </c>
      <c r="BL109" t="s">
        <v>561</v>
      </c>
      <c r="BM109" t="s">
        <v>2299</v>
      </c>
      <c r="BN109" t="s">
        <v>74</v>
      </c>
      <c r="BO109" t="s">
        <v>74</v>
      </c>
      <c r="BP109" t="s">
        <v>74</v>
      </c>
      <c r="BQ109" t="s">
        <v>74</v>
      </c>
      <c r="BR109" t="s">
        <v>103</v>
      </c>
      <c r="BS109" t="s">
        <v>2316</v>
      </c>
      <c r="BT109" t="str">
        <f>HYPERLINK("https%3A%2F%2Fwww.webofscience.com%2Fwos%2Fwoscc%2Ffull-record%2FWOS:000266520800003","View Full Record in Web of Science")</f>
        <v>View Full Record in Web of Science</v>
      </c>
    </row>
    <row r="110" spans="1:72" x14ac:dyDescent="0.15">
      <c r="A110" t="s">
        <v>72</v>
      </c>
      <c r="B110" t="s">
        <v>2317</v>
      </c>
      <c r="C110" t="s">
        <v>74</v>
      </c>
      <c r="D110" t="s">
        <v>74</v>
      </c>
      <c r="E110" t="s">
        <v>74</v>
      </c>
      <c r="F110" t="s">
        <v>2318</v>
      </c>
      <c r="G110" t="s">
        <v>74</v>
      </c>
      <c r="H110" t="s">
        <v>74</v>
      </c>
      <c r="I110" t="s">
        <v>2319</v>
      </c>
      <c r="J110" t="s">
        <v>2281</v>
      </c>
      <c r="K110" t="s">
        <v>74</v>
      </c>
      <c r="L110" t="s">
        <v>74</v>
      </c>
      <c r="M110" t="s">
        <v>78</v>
      </c>
      <c r="N110" t="s">
        <v>79</v>
      </c>
      <c r="O110" t="s">
        <v>74</v>
      </c>
      <c r="P110" t="s">
        <v>74</v>
      </c>
      <c r="Q110" t="s">
        <v>74</v>
      </c>
      <c r="R110" t="s">
        <v>74</v>
      </c>
      <c r="S110" t="s">
        <v>74</v>
      </c>
      <c r="T110" t="s">
        <v>2320</v>
      </c>
      <c r="U110" t="s">
        <v>2321</v>
      </c>
      <c r="V110" t="s">
        <v>2322</v>
      </c>
      <c r="W110" t="s">
        <v>2323</v>
      </c>
      <c r="X110" t="s">
        <v>2324</v>
      </c>
      <c r="Y110" t="s">
        <v>2325</v>
      </c>
      <c r="Z110" t="s">
        <v>2326</v>
      </c>
      <c r="AA110" t="s">
        <v>2327</v>
      </c>
      <c r="AB110" t="s">
        <v>2328</v>
      </c>
      <c r="AC110" t="s">
        <v>2329</v>
      </c>
      <c r="AD110" t="s">
        <v>2329</v>
      </c>
      <c r="AE110" t="s">
        <v>2330</v>
      </c>
      <c r="AF110" t="s">
        <v>74</v>
      </c>
      <c r="AG110">
        <v>41</v>
      </c>
      <c r="AH110">
        <v>54</v>
      </c>
      <c r="AI110">
        <v>58</v>
      </c>
      <c r="AJ110">
        <v>5</v>
      </c>
      <c r="AK110">
        <v>42</v>
      </c>
      <c r="AL110" t="s">
        <v>251</v>
      </c>
      <c r="AM110" t="s">
        <v>252</v>
      </c>
      <c r="AN110" t="s">
        <v>253</v>
      </c>
      <c r="AO110" t="s">
        <v>2293</v>
      </c>
      <c r="AP110" t="s">
        <v>2294</v>
      </c>
      <c r="AQ110" t="s">
        <v>74</v>
      </c>
      <c r="AR110" t="s">
        <v>2295</v>
      </c>
      <c r="AS110" t="s">
        <v>2296</v>
      </c>
      <c r="AT110" t="s">
        <v>1077</v>
      </c>
      <c r="AU110">
        <v>2009</v>
      </c>
      <c r="AV110">
        <v>92</v>
      </c>
      <c r="AW110">
        <v>1</v>
      </c>
      <c r="AX110" t="s">
        <v>74</v>
      </c>
      <c r="AY110" t="s">
        <v>74</v>
      </c>
      <c r="AZ110" t="s">
        <v>2297</v>
      </c>
      <c r="BA110" t="s">
        <v>74</v>
      </c>
      <c r="BB110">
        <v>21</v>
      </c>
      <c r="BC110">
        <v>31</v>
      </c>
      <c r="BD110" t="s">
        <v>74</v>
      </c>
      <c r="BE110" t="s">
        <v>2331</v>
      </c>
      <c r="BF110" t="str">
        <f>HYPERLINK("http://dx.doi.org/10.1016/j.microc.2008.09.003","http://dx.doi.org/10.1016/j.microc.2008.09.003")</f>
        <v>http://dx.doi.org/10.1016/j.microc.2008.09.003</v>
      </c>
      <c r="BG110" t="s">
        <v>74</v>
      </c>
      <c r="BH110" t="s">
        <v>74</v>
      </c>
      <c r="BI110">
        <v>11</v>
      </c>
      <c r="BJ110" t="s">
        <v>814</v>
      </c>
      <c r="BK110" t="s">
        <v>100</v>
      </c>
      <c r="BL110" t="s">
        <v>561</v>
      </c>
      <c r="BM110" t="s">
        <v>2299</v>
      </c>
      <c r="BN110" t="s">
        <v>74</v>
      </c>
      <c r="BO110" t="s">
        <v>74</v>
      </c>
      <c r="BP110" t="s">
        <v>74</v>
      </c>
      <c r="BQ110" t="s">
        <v>74</v>
      </c>
      <c r="BR110" t="s">
        <v>103</v>
      </c>
      <c r="BS110" t="s">
        <v>2332</v>
      </c>
      <c r="BT110" t="str">
        <f>HYPERLINK("https%3A%2F%2Fwww.webofscience.com%2Fwos%2Fwoscc%2Ffull-record%2FWOS:000266520800004","View Full Record in Web of Science")</f>
        <v>View Full Record in Web of Science</v>
      </c>
    </row>
    <row r="111" spans="1:72" x14ac:dyDescent="0.15">
      <c r="A111" t="s">
        <v>72</v>
      </c>
      <c r="B111" t="s">
        <v>2333</v>
      </c>
      <c r="C111" t="s">
        <v>74</v>
      </c>
      <c r="D111" t="s">
        <v>74</v>
      </c>
      <c r="E111" t="s">
        <v>74</v>
      </c>
      <c r="F111" t="s">
        <v>2334</v>
      </c>
      <c r="G111" t="s">
        <v>74</v>
      </c>
      <c r="H111" t="s">
        <v>74</v>
      </c>
      <c r="I111" t="s">
        <v>2335</v>
      </c>
      <c r="J111" t="s">
        <v>2281</v>
      </c>
      <c r="K111" t="s">
        <v>74</v>
      </c>
      <c r="L111" t="s">
        <v>74</v>
      </c>
      <c r="M111" t="s">
        <v>78</v>
      </c>
      <c r="N111" t="s">
        <v>79</v>
      </c>
      <c r="O111" t="s">
        <v>74</v>
      </c>
      <c r="P111" t="s">
        <v>74</v>
      </c>
      <c r="Q111" t="s">
        <v>74</v>
      </c>
      <c r="R111" t="s">
        <v>74</v>
      </c>
      <c r="S111" t="s">
        <v>74</v>
      </c>
      <c r="T111" t="s">
        <v>2336</v>
      </c>
      <c r="U111" t="s">
        <v>2337</v>
      </c>
      <c r="V111" t="s">
        <v>2338</v>
      </c>
      <c r="W111" t="s">
        <v>2339</v>
      </c>
      <c r="X111" t="s">
        <v>2340</v>
      </c>
      <c r="Y111" t="s">
        <v>2341</v>
      </c>
      <c r="Z111" t="s">
        <v>2342</v>
      </c>
      <c r="AA111" t="s">
        <v>2343</v>
      </c>
      <c r="AB111" t="s">
        <v>2344</v>
      </c>
      <c r="AC111" t="s">
        <v>2345</v>
      </c>
      <c r="AD111" t="s">
        <v>2345</v>
      </c>
      <c r="AE111" t="s">
        <v>2346</v>
      </c>
      <c r="AF111" t="s">
        <v>74</v>
      </c>
      <c r="AG111">
        <v>58</v>
      </c>
      <c r="AH111">
        <v>62</v>
      </c>
      <c r="AI111">
        <v>68</v>
      </c>
      <c r="AJ111">
        <v>1</v>
      </c>
      <c r="AK111">
        <v>50</v>
      </c>
      <c r="AL111" t="s">
        <v>553</v>
      </c>
      <c r="AM111" t="s">
        <v>252</v>
      </c>
      <c r="AN111" t="s">
        <v>554</v>
      </c>
      <c r="AO111" t="s">
        <v>2293</v>
      </c>
      <c r="AP111" t="s">
        <v>2294</v>
      </c>
      <c r="AQ111" t="s">
        <v>74</v>
      </c>
      <c r="AR111" t="s">
        <v>2295</v>
      </c>
      <c r="AS111" t="s">
        <v>2296</v>
      </c>
      <c r="AT111" t="s">
        <v>1077</v>
      </c>
      <c r="AU111">
        <v>2009</v>
      </c>
      <c r="AV111">
        <v>92</v>
      </c>
      <c r="AW111">
        <v>1</v>
      </c>
      <c r="AX111" t="s">
        <v>74</v>
      </c>
      <c r="AY111" t="s">
        <v>74</v>
      </c>
      <c r="AZ111" t="s">
        <v>2297</v>
      </c>
      <c r="BA111" t="s">
        <v>74</v>
      </c>
      <c r="BB111">
        <v>37</v>
      </c>
      <c r="BC111">
        <v>43</v>
      </c>
      <c r="BD111" t="s">
        <v>74</v>
      </c>
      <c r="BE111" t="s">
        <v>2347</v>
      </c>
      <c r="BF111" t="str">
        <f>HYPERLINK("http://dx.doi.org/10.1016/j.microc.2008.11.005","http://dx.doi.org/10.1016/j.microc.2008.11.005")</f>
        <v>http://dx.doi.org/10.1016/j.microc.2008.11.005</v>
      </c>
      <c r="BG111" t="s">
        <v>74</v>
      </c>
      <c r="BH111" t="s">
        <v>74</v>
      </c>
      <c r="BI111">
        <v>7</v>
      </c>
      <c r="BJ111" t="s">
        <v>814</v>
      </c>
      <c r="BK111" t="s">
        <v>100</v>
      </c>
      <c r="BL111" t="s">
        <v>561</v>
      </c>
      <c r="BM111" t="s">
        <v>2299</v>
      </c>
      <c r="BN111" t="s">
        <v>74</v>
      </c>
      <c r="BO111" t="s">
        <v>217</v>
      </c>
      <c r="BP111" t="s">
        <v>74</v>
      </c>
      <c r="BQ111" t="s">
        <v>74</v>
      </c>
      <c r="BR111" t="s">
        <v>103</v>
      </c>
      <c r="BS111" t="s">
        <v>2348</v>
      </c>
      <c r="BT111" t="str">
        <f>HYPERLINK("https%3A%2F%2Fwww.webofscience.com%2Fwos%2Fwoscc%2Ffull-record%2FWOS:000266520800006","View Full Record in Web of Science")</f>
        <v>View Full Record in Web of Science</v>
      </c>
    </row>
    <row r="112" spans="1:72" x14ac:dyDescent="0.15">
      <c r="A112" t="s">
        <v>72</v>
      </c>
      <c r="B112" t="s">
        <v>2349</v>
      </c>
      <c r="C112" t="s">
        <v>74</v>
      </c>
      <c r="D112" t="s">
        <v>74</v>
      </c>
      <c r="E112" t="s">
        <v>74</v>
      </c>
      <c r="F112" t="s">
        <v>2350</v>
      </c>
      <c r="G112" t="s">
        <v>74</v>
      </c>
      <c r="H112" t="s">
        <v>74</v>
      </c>
      <c r="I112" t="s">
        <v>2351</v>
      </c>
      <c r="J112" t="s">
        <v>2352</v>
      </c>
      <c r="K112" t="s">
        <v>74</v>
      </c>
      <c r="L112" t="s">
        <v>74</v>
      </c>
      <c r="M112" t="s">
        <v>78</v>
      </c>
      <c r="N112" t="s">
        <v>79</v>
      </c>
      <c r="O112" t="s">
        <v>74</v>
      </c>
      <c r="P112" t="s">
        <v>74</v>
      </c>
      <c r="Q112" t="s">
        <v>74</v>
      </c>
      <c r="R112" t="s">
        <v>74</v>
      </c>
      <c r="S112" t="s">
        <v>74</v>
      </c>
      <c r="T112" t="s">
        <v>2353</v>
      </c>
      <c r="U112" t="s">
        <v>2354</v>
      </c>
      <c r="V112" t="s">
        <v>2355</v>
      </c>
      <c r="W112" t="s">
        <v>2356</v>
      </c>
      <c r="X112" t="s">
        <v>2357</v>
      </c>
      <c r="Y112" t="s">
        <v>2358</v>
      </c>
      <c r="Z112" t="s">
        <v>2359</v>
      </c>
      <c r="AA112" t="s">
        <v>2360</v>
      </c>
      <c r="AB112" t="s">
        <v>2361</v>
      </c>
      <c r="AC112" t="s">
        <v>74</v>
      </c>
      <c r="AD112" t="s">
        <v>74</v>
      </c>
      <c r="AE112" t="s">
        <v>74</v>
      </c>
      <c r="AF112" t="s">
        <v>74</v>
      </c>
      <c r="AG112">
        <v>63</v>
      </c>
      <c r="AH112">
        <v>287</v>
      </c>
      <c r="AI112">
        <v>335</v>
      </c>
      <c r="AJ112">
        <v>8</v>
      </c>
      <c r="AK112">
        <v>196</v>
      </c>
      <c r="AL112" t="s">
        <v>489</v>
      </c>
      <c r="AM112" t="s">
        <v>490</v>
      </c>
      <c r="AN112" t="s">
        <v>491</v>
      </c>
      <c r="AO112" t="s">
        <v>2362</v>
      </c>
      <c r="AP112" t="s">
        <v>2363</v>
      </c>
      <c r="AQ112" t="s">
        <v>74</v>
      </c>
      <c r="AR112" t="s">
        <v>2364</v>
      </c>
      <c r="AS112" t="s">
        <v>2365</v>
      </c>
      <c r="AT112" t="s">
        <v>1077</v>
      </c>
      <c r="AU112">
        <v>2009</v>
      </c>
      <c r="AV112">
        <v>18</v>
      </c>
      <c r="AW112">
        <v>9</v>
      </c>
      <c r="AX112" t="s">
        <v>74</v>
      </c>
      <c r="AY112" t="s">
        <v>74</v>
      </c>
      <c r="AZ112" t="s">
        <v>74</v>
      </c>
      <c r="BA112" t="s">
        <v>74</v>
      </c>
      <c r="BB112">
        <v>2022</v>
      </c>
      <c r="BC112">
        <v>2038</v>
      </c>
      <c r="BD112" t="s">
        <v>74</v>
      </c>
      <c r="BE112" t="s">
        <v>2366</v>
      </c>
      <c r="BF112" t="str">
        <f>HYPERLINK("http://dx.doi.org/10.1111/j.1365-294X.2009.04158.x","http://dx.doi.org/10.1111/j.1365-294X.2009.04158.x")</f>
        <v>http://dx.doi.org/10.1111/j.1365-294X.2009.04158.x</v>
      </c>
      <c r="BG112" t="s">
        <v>74</v>
      </c>
      <c r="BH112" t="s">
        <v>74</v>
      </c>
      <c r="BI112">
        <v>17</v>
      </c>
      <c r="BJ112" t="s">
        <v>2367</v>
      </c>
      <c r="BK112" t="s">
        <v>100</v>
      </c>
      <c r="BL112" t="s">
        <v>2368</v>
      </c>
      <c r="BM112" t="s">
        <v>2369</v>
      </c>
      <c r="BN112">
        <v>19317847</v>
      </c>
      <c r="BO112" t="s">
        <v>74</v>
      </c>
      <c r="BP112" t="s">
        <v>74</v>
      </c>
      <c r="BQ112" t="s">
        <v>74</v>
      </c>
      <c r="BR112" t="s">
        <v>103</v>
      </c>
      <c r="BS112" t="s">
        <v>2370</v>
      </c>
      <c r="BT112" t="str">
        <f>HYPERLINK("https%3A%2F%2Fwww.webofscience.com%2Fwos%2Fwoscc%2Ffull-record%2FWOS:000265189400018","View Full Record in Web of Science")</f>
        <v>View Full Record in Web of Science</v>
      </c>
    </row>
    <row r="113" spans="1:72" x14ac:dyDescent="0.15">
      <c r="A113" t="s">
        <v>72</v>
      </c>
      <c r="B113" t="s">
        <v>2371</v>
      </c>
      <c r="C113" t="s">
        <v>74</v>
      </c>
      <c r="D113" t="s">
        <v>74</v>
      </c>
      <c r="E113" t="s">
        <v>74</v>
      </c>
      <c r="F113" t="s">
        <v>2372</v>
      </c>
      <c r="G113" t="s">
        <v>74</v>
      </c>
      <c r="H113" t="s">
        <v>74</v>
      </c>
      <c r="I113" t="s">
        <v>2373</v>
      </c>
      <c r="J113" t="s">
        <v>2352</v>
      </c>
      <c r="K113" t="s">
        <v>74</v>
      </c>
      <c r="L113" t="s">
        <v>74</v>
      </c>
      <c r="M113" t="s">
        <v>78</v>
      </c>
      <c r="N113" t="s">
        <v>79</v>
      </c>
      <c r="O113" t="s">
        <v>74</v>
      </c>
      <c r="P113" t="s">
        <v>74</v>
      </c>
      <c r="Q113" t="s">
        <v>74</v>
      </c>
      <c r="R113" t="s">
        <v>74</v>
      </c>
      <c r="S113" t="s">
        <v>74</v>
      </c>
      <c r="T113" t="s">
        <v>2374</v>
      </c>
      <c r="U113" t="s">
        <v>2375</v>
      </c>
      <c r="V113" t="s">
        <v>2376</v>
      </c>
      <c r="W113" t="s">
        <v>2377</v>
      </c>
      <c r="X113" t="s">
        <v>2378</v>
      </c>
      <c r="Y113" t="s">
        <v>2379</v>
      </c>
      <c r="Z113" t="s">
        <v>2380</v>
      </c>
      <c r="AA113" t="s">
        <v>2381</v>
      </c>
      <c r="AB113" t="s">
        <v>2382</v>
      </c>
      <c r="AC113" t="s">
        <v>2383</v>
      </c>
      <c r="AD113" t="s">
        <v>2384</v>
      </c>
      <c r="AE113" t="s">
        <v>2385</v>
      </c>
      <c r="AF113" t="s">
        <v>74</v>
      </c>
      <c r="AG113">
        <v>53</v>
      </c>
      <c r="AH113">
        <v>18</v>
      </c>
      <c r="AI113">
        <v>23</v>
      </c>
      <c r="AJ113">
        <v>0</v>
      </c>
      <c r="AK113">
        <v>41</v>
      </c>
      <c r="AL113" t="s">
        <v>489</v>
      </c>
      <c r="AM113" t="s">
        <v>490</v>
      </c>
      <c r="AN113" t="s">
        <v>491</v>
      </c>
      <c r="AO113" t="s">
        <v>2362</v>
      </c>
      <c r="AP113" t="s">
        <v>2363</v>
      </c>
      <c r="AQ113" t="s">
        <v>74</v>
      </c>
      <c r="AR113" t="s">
        <v>2364</v>
      </c>
      <c r="AS113" t="s">
        <v>2365</v>
      </c>
      <c r="AT113" t="s">
        <v>1077</v>
      </c>
      <c r="AU113">
        <v>2009</v>
      </c>
      <c r="AV113">
        <v>18</v>
      </c>
      <c r="AW113">
        <v>10</v>
      </c>
      <c r="AX113" t="s">
        <v>74</v>
      </c>
      <c r="AY113" t="s">
        <v>74</v>
      </c>
      <c r="AZ113" t="s">
        <v>74</v>
      </c>
      <c r="BA113" t="s">
        <v>74</v>
      </c>
      <c r="BB113">
        <v>2112</v>
      </c>
      <c r="BC113">
        <v>2121</v>
      </c>
      <c r="BD113" t="s">
        <v>74</v>
      </c>
      <c r="BE113" t="s">
        <v>2386</v>
      </c>
      <c r="BF113" t="str">
        <f>HYPERLINK("http://dx.doi.org/10.1111/j.1365-294X.2009.04166.x","http://dx.doi.org/10.1111/j.1365-294X.2009.04166.x")</f>
        <v>http://dx.doi.org/10.1111/j.1365-294X.2009.04166.x</v>
      </c>
      <c r="BG113" t="s">
        <v>74</v>
      </c>
      <c r="BH113" t="s">
        <v>74</v>
      </c>
      <c r="BI113">
        <v>10</v>
      </c>
      <c r="BJ113" t="s">
        <v>2367</v>
      </c>
      <c r="BK113" t="s">
        <v>100</v>
      </c>
      <c r="BL113" t="s">
        <v>2368</v>
      </c>
      <c r="BM113" t="s">
        <v>2387</v>
      </c>
      <c r="BN113">
        <v>19344354</v>
      </c>
      <c r="BO113" t="s">
        <v>74</v>
      </c>
      <c r="BP113" t="s">
        <v>74</v>
      </c>
      <c r="BQ113" t="s">
        <v>74</v>
      </c>
      <c r="BR113" t="s">
        <v>103</v>
      </c>
      <c r="BS113" t="s">
        <v>2388</v>
      </c>
      <c r="BT113" t="str">
        <f>HYPERLINK("https%3A%2F%2Fwww.webofscience.com%2Fwos%2Fwoscc%2Ffull-record%2FWOS:000265774300007","View Full Record in Web of Science")</f>
        <v>View Full Record in Web of Science</v>
      </c>
    </row>
    <row r="114" spans="1:72" x14ac:dyDescent="0.15">
      <c r="A114" t="s">
        <v>72</v>
      </c>
      <c r="B114" t="s">
        <v>2389</v>
      </c>
      <c r="C114" t="s">
        <v>74</v>
      </c>
      <c r="D114" t="s">
        <v>74</v>
      </c>
      <c r="E114" t="s">
        <v>74</v>
      </c>
      <c r="F114" t="s">
        <v>2390</v>
      </c>
      <c r="G114" t="s">
        <v>74</v>
      </c>
      <c r="H114" t="s">
        <v>74</v>
      </c>
      <c r="I114" t="s">
        <v>2391</v>
      </c>
      <c r="J114" t="s">
        <v>2392</v>
      </c>
      <c r="K114" t="s">
        <v>74</v>
      </c>
      <c r="L114" t="s">
        <v>74</v>
      </c>
      <c r="M114" t="s">
        <v>78</v>
      </c>
      <c r="N114" t="s">
        <v>79</v>
      </c>
      <c r="O114" t="s">
        <v>74</v>
      </c>
      <c r="P114" t="s">
        <v>74</v>
      </c>
      <c r="Q114" t="s">
        <v>74</v>
      </c>
      <c r="R114" t="s">
        <v>74</v>
      </c>
      <c r="S114" t="s">
        <v>74</v>
      </c>
      <c r="T114" t="s">
        <v>2393</v>
      </c>
      <c r="U114" t="s">
        <v>74</v>
      </c>
      <c r="V114" t="s">
        <v>2394</v>
      </c>
      <c r="W114" t="s">
        <v>2395</v>
      </c>
      <c r="X114" t="s">
        <v>2396</v>
      </c>
      <c r="Y114" t="s">
        <v>2397</v>
      </c>
      <c r="Z114" t="s">
        <v>2398</v>
      </c>
      <c r="AA114" t="s">
        <v>2399</v>
      </c>
      <c r="AB114" t="s">
        <v>2400</v>
      </c>
      <c r="AC114" t="s">
        <v>2401</v>
      </c>
      <c r="AD114" t="s">
        <v>2402</v>
      </c>
      <c r="AE114" t="s">
        <v>2403</v>
      </c>
      <c r="AF114" t="s">
        <v>74</v>
      </c>
      <c r="AG114">
        <v>10</v>
      </c>
      <c r="AH114">
        <v>3</v>
      </c>
      <c r="AI114">
        <v>3</v>
      </c>
      <c r="AJ114">
        <v>0</v>
      </c>
      <c r="AK114">
        <v>2</v>
      </c>
      <c r="AL114" t="s">
        <v>1847</v>
      </c>
      <c r="AM114" t="s">
        <v>1848</v>
      </c>
      <c r="AN114" t="s">
        <v>1849</v>
      </c>
      <c r="AO114" t="s">
        <v>2404</v>
      </c>
      <c r="AP114" t="s">
        <v>74</v>
      </c>
      <c r="AQ114" t="s">
        <v>74</v>
      </c>
      <c r="AR114" t="s">
        <v>2405</v>
      </c>
      <c r="AS114" t="s">
        <v>2406</v>
      </c>
      <c r="AT114" t="s">
        <v>1077</v>
      </c>
      <c r="AU114">
        <v>2009</v>
      </c>
      <c r="AV114">
        <v>9</v>
      </c>
      <c r="AW114">
        <v>3</v>
      </c>
      <c r="AX114" t="s">
        <v>74</v>
      </c>
      <c r="AY114" t="s">
        <v>74</v>
      </c>
      <c r="AZ114" t="s">
        <v>74</v>
      </c>
      <c r="BA114" t="s">
        <v>74</v>
      </c>
      <c r="BB114">
        <v>1068</v>
      </c>
      <c r="BC114">
        <v>1070</v>
      </c>
      <c r="BD114" t="s">
        <v>74</v>
      </c>
      <c r="BE114" t="s">
        <v>2407</v>
      </c>
      <c r="BF114" t="str">
        <f>HYPERLINK("http://dx.doi.org/10.1111/j.1755-0998.2009.02580.x","http://dx.doi.org/10.1111/j.1755-0998.2009.02580.x")</f>
        <v>http://dx.doi.org/10.1111/j.1755-0998.2009.02580.x</v>
      </c>
      <c r="BG114" t="s">
        <v>74</v>
      </c>
      <c r="BH114" t="s">
        <v>74</v>
      </c>
      <c r="BI114">
        <v>3</v>
      </c>
      <c r="BJ114" t="s">
        <v>2367</v>
      </c>
      <c r="BK114" t="s">
        <v>100</v>
      </c>
      <c r="BL114" t="s">
        <v>2368</v>
      </c>
      <c r="BM114" t="s">
        <v>2408</v>
      </c>
      <c r="BN114">
        <v>21564841</v>
      </c>
      <c r="BO114" t="s">
        <v>74</v>
      </c>
      <c r="BP114" t="s">
        <v>74</v>
      </c>
      <c r="BQ114" t="s">
        <v>74</v>
      </c>
      <c r="BR114" t="s">
        <v>103</v>
      </c>
      <c r="BS114" t="s">
        <v>2409</v>
      </c>
      <c r="BT114" t="str">
        <f>HYPERLINK("https%3A%2F%2Fwww.webofscience.com%2Fwos%2Fwoscc%2Ffull-record%2FWOS:000265897200118","View Full Record in Web of Science")</f>
        <v>View Full Record in Web of Science</v>
      </c>
    </row>
    <row r="115" spans="1:72" x14ac:dyDescent="0.15">
      <c r="A115" t="s">
        <v>72</v>
      </c>
      <c r="B115" t="s">
        <v>2410</v>
      </c>
      <c r="C115" t="s">
        <v>74</v>
      </c>
      <c r="D115" t="s">
        <v>74</v>
      </c>
      <c r="E115" t="s">
        <v>74</v>
      </c>
      <c r="F115" t="s">
        <v>2411</v>
      </c>
      <c r="G115" t="s">
        <v>74</v>
      </c>
      <c r="H115" t="s">
        <v>74</v>
      </c>
      <c r="I115" t="s">
        <v>2412</v>
      </c>
      <c r="J115" t="s">
        <v>2413</v>
      </c>
      <c r="K115" t="s">
        <v>74</v>
      </c>
      <c r="L115" t="s">
        <v>74</v>
      </c>
      <c r="M115" t="s">
        <v>78</v>
      </c>
      <c r="N115" t="s">
        <v>79</v>
      </c>
      <c r="O115" t="s">
        <v>74</v>
      </c>
      <c r="P115" t="s">
        <v>74</v>
      </c>
      <c r="Q115" t="s">
        <v>74</v>
      </c>
      <c r="R115" t="s">
        <v>74</v>
      </c>
      <c r="S115" t="s">
        <v>74</v>
      </c>
      <c r="T115" t="s">
        <v>2414</v>
      </c>
      <c r="U115" t="s">
        <v>2415</v>
      </c>
      <c r="V115" t="s">
        <v>2416</v>
      </c>
      <c r="W115" t="s">
        <v>2417</v>
      </c>
      <c r="X115" t="s">
        <v>2418</v>
      </c>
      <c r="Y115" t="s">
        <v>2419</v>
      </c>
      <c r="Z115" t="s">
        <v>2420</v>
      </c>
      <c r="AA115" t="s">
        <v>2421</v>
      </c>
      <c r="AB115" t="s">
        <v>2422</v>
      </c>
      <c r="AC115" t="s">
        <v>2423</v>
      </c>
      <c r="AD115" t="s">
        <v>2424</v>
      </c>
      <c r="AE115" t="s">
        <v>2425</v>
      </c>
      <c r="AF115" t="s">
        <v>74</v>
      </c>
      <c r="AG115">
        <v>63</v>
      </c>
      <c r="AH115">
        <v>39</v>
      </c>
      <c r="AI115">
        <v>45</v>
      </c>
      <c r="AJ115">
        <v>1</v>
      </c>
      <c r="AK115">
        <v>10</v>
      </c>
      <c r="AL115" t="s">
        <v>1801</v>
      </c>
      <c r="AM115" t="s">
        <v>1802</v>
      </c>
      <c r="AN115" t="s">
        <v>1803</v>
      </c>
      <c r="AO115" t="s">
        <v>2426</v>
      </c>
      <c r="AP115" t="s">
        <v>2427</v>
      </c>
      <c r="AQ115" t="s">
        <v>74</v>
      </c>
      <c r="AR115" t="s">
        <v>2428</v>
      </c>
      <c r="AS115" t="s">
        <v>2429</v>
      </c>
      <c r="AT115" t="s">
        <v>1077</v>
      </c>
      <c r="AU115">
        <v>2009</v>
      </c>
      <c r="AV115">
        <v>51</v>
      </c>
      <c r="AW115">
        <v>2</v>
      </c>
      <c r="AX115" t="s">
        <v>74</v>
      </c>
      <c r="AY115" t="s">
        <v>74</v>
      </c>
      <c r="AZ115" t="s">
        <v>74</v>
      </c>
      <c r="BA115" t="s">
        <v>74</v>
      </c>
      <c r="BB115">
        <v>304</v>
      </c>
      <c r="BC115">
        <v>311</v>
      </c>
      <c r="BD115" t="s">
        <v>74</v>
      </c>
      <c r="BE115" t="s">
        <v>2430</v>
      </c>
      <c r="BF115" t="str">
        <f>HYPERLINK("http://dx.doi.org/10.1016/j.ympev.2009.01.015","http://dx.doi.org/10.1016/j.ympev.2009.01.015")</f>
        <v>http://dx.doi.org/10.1016/j.ympev.2009.01.015</v>
      </c>
      <c r="BG115" t="s">
        <v>74</v>
      </c>
      <c r="BH115" t="s">
        <v>74</v>
      </c>
      <c r="BI115">
        <v>8</v>
      </c>
      <c r="BJ115" t="s">
        <v>2431</v>
      </c>
      <c r="BK115" t="s">
        <v>100</v>
      </c>
      <c r="BL115" t="s">
        <v>2431</v>
      </c>
      <c r="BM115" t="s">
        <v>2432</v>
      </c>
      <c r="BN115">
        <v>19405196</v>
      </c>
      <c r="BO115" t="s">
        <v>74</v>
      </c>
      <c r="BP115" t="s">
        <v>74</v>
      </c>
      <c r="BQ115" t="s">
        <v>74</v>
      </c>
      <c r="BR115" t="s">
        <v>103</v>
      </c>
      <c r="BS115" t="s">
        <v>2433</v>
      </c>
      <c r="BT115" t="str">
        <f>HYPERLINK("https%3A%2F%2Fwww.webofscience.com%2Fwos%2Fwoscc%2Ffull-record%2FWOS:000265812000015","View Full Record in Web of Science")</f>
        <v>View Full Record in Web of Science</v>
      </c>
    </row>
    <row r="116" spans="1:72" x14ac:dyDescent="0.15">
      <c r="A116" t="s">
        <v>2434</v>
      </c>
      <c r="B116" t="s">
        <v>2435</v>
      </c>
      <c r="C116" t="s">
        <v>74</v>
      </c>
      <c r="D116" t="s">
        <v>74</v>
      </c>
      <c r="E116" t="s">
        <v>74</v>
      </c>
      <c r="F116" t="s">
        <v>2436</v>
      </c>
      <c r="G116" t="s">
        <v>74</v>
      </c>
      <c r="H116" t="s">
        <v>2437</v>
      </c>
      <c r="I116" t="s">
        <v>2438</v>
      </c>
      <c r="J116" t="s">
        <v>2439</v>
      </c>
      <c r="K116" t="s">
        <v>74</v>
      </c>
      <c r="L116" t="s">
        <v>74</v>
      </c>
      <c r="M116" t="s">
        <v>78</v>
      </c>
      <c r="N116" t="s">
        <v>2440</v>
      </c>
      <c r="O116" t="s">
        <v>2441</v>
      </c>
      <c r="P116" t="s">
        <v>2442</v>
      </c>
      <c r="Q116" t="s">
        <v>2443</v>
      </c>
      <c r="R116" t="s">
        <v>74</v>
      </c>
      <c r="S116" t="s">
        <v>74</v>
      </c>
      <c r="T116" t="s">
        <v>74</v>
      </c>
      <c r="U116" t="s">
        <v>2444</v>
      </c>
      <c r="V116" t="s">
        <v>2445</v>
      </c>
      <c r="W116" t="s">
        <v>2446</v>
      </c>
      <c r="X116" t="s">
        <v>2447</v>
      </c>
      <c r="Y116" t="s">
        <v>2448</v>
      </c>
      <c r="Z116" t="s">
        <v>2449</v>
      </c>
      <c r="AA116" t="s">
        <v>2450</v>
      </c>
      <c r="AB116" t="s">
        <v>2451</v>
      </c>
      <c r="AC116" t="s">
        <v>74</v>
      </c>
      <c r="AD116" t="s">
        <v>74</v>
      </c>
      <c r="AE116" t="s">
        <v>74</v>
      </c>
      <c r="AF116" t="s">
        <v>74</v>
      </c>
      <c r="AG116">
        <v>8</v>
      </c>
      <c r="AH116">
        <v>5</v>
      </c>
      <c r="AI116">
        <v>5</v>
      </c>
      <c r="AJ116">
        <v>0</v>
      </c>
      <c r="AK116">
        <v>2</v>
      </c>
      <c r="AL116" t="s">
        <v>553</v>
      </c>
      <c r="AM116" t="s">
        <v>252</v>
      </c>
      <c r="AN116" t="s">
        <v>554</v>
      </c>
      <c r="AO116" t="s">
        <v>2452</v>
      </c>
      <c r="AP116" t="s">
        <v>74</v>
      </c>
      <c r="AQ116" t="s">
        <v>74</v>
      </c>
      <c r="AR116" t="s">
        <v>2453</v>
      </c>
      <c r="AS116" t="s">
        <v>2454</v>
      </c>
      <c r="AT116" t="s">
        <v>1077</v>
      </c>
      <c r="AU116">
        <v>2009</v>
      </c>
      <c r="AV116">
        <v>190</v>
      </c>
      <c r="AW116" t="s">
        <v>74</v>
      </c>
      <c r="AX116" t="s">
        <v>74</v>
      </c>
      <c r="AY116" t="s">
        <v>74</v>
      </c>
      <c r="AZ116" t="s">
        <v>74</v>
      </c>
      <c r="BA116" t="s">
        <v>74</v>
      </c>
      <c r="BB116">
        <v>115</v>
      </c>
      <c r="BC116">
        <v>120</v>
      </c>
      <c r="BD116" t="s">
        <v>74</v>
      </c>
      <c r="BE116" t="s">
        <v>2455</v>
      </c>
      <c r="BF116" t="str">
        <f>HYPERLINK("http://dx.doi.org/10.1016/j.nuclphysbps.2009.03.076","http://dx.doi.org/10.1016/j.nuclphysbps.2009.03.076")</f>
        <v>http://dx.doi.org/10.1016/j.nuclphysbps.2009.03.076</v>
      </c>
      <c r="BG116" t="s">
        <v>74</v>
      </c>
      <c r="BH116" t="s">
        <v>74</v>
      </c>
      <c r="BI116">
        <v>6</v>
      </c>
      <c r="BJ116" t="s">
        <v>2456</v>
      </c>
      <c r="BK116" t="s">
        <v>2457</v>
      </c>
      <c r="BL116" t="s">
        <v>2458</v>
      </c>
      <c r="BM116" t="s">
        <v>2459</v>
      </c>
      <c r="BN116" t="s">
        <v>74</v>
      </c>
      <c r="BO116" t="s">
        <v>74</v>
      </c>
      <c r="BP116" t="s">
        <v>74</v>
      </c>
      <c r="BQ116" t="s">
        <v>74</v>
      </c>
      <c r="BR116" t="s">
        <v>103</v>
      </c>
      <c r="BS116" t="s">
        <v>2460</v>
      </c>
      <c r="BT116" t="str">
        <f>HYPERLINK("https%3A%2F%2Fwww.webofscience.com%2Fwos%2Fwoscc%2Ffull-record%2FWOS:000267254300017","View Full Record in Web of Science")</f>
        <v>View Full Record in Web of Science</v>
      </c>
    </row>
    <row r="117" spans="1:72" x14ac:dyDescent="0.15">
      <c r="A117" t="s">
        <v>72</v>
      </c>
      <c r="B117" t="s">
        <v>2461</v>
      </c>
      <c r="C117" t="s">
        <v>74</v>
      </c>
      <c r="D117" t="s">
        <v>74</v>
      </c>
      <c r="E117" t="s">
        <v>74</v>
      </c>
      <c r="F117" t="s">
        <v>2462</v>
      </c>
      <c r="G117" t="s">
        <v>74</v>
      </c>
      <c r="H117" t="s">
        <v>74</v>
      </c>
      <c r="I117" t="s">
        <v>2463</v>
      </c>
      <c r="J117" t="s">
        <v>2464</v>
      </c>
      <c r="K117" t="s">
        <v>74</v>
      </c>
      <c r="L117" t="s">
        <v>74</v>
      </c>
      <c r="M117" t="s">
        <v>78</v>
      </c>
      <c r="N117" t="s">
        <v>79</v>
      </c>
      <c r="O117" t="s">
        <v>74</v>
      </c>
      <c r="P117" t="s">
        <v>74</v>
      </c>
      <c r="Q117" t="s">
        <v>74</v>
      </c>
      <c r="R117" t="s">
        <v>74</v>
      </c>
      <c r="S117" t="s">
        <v>74</v>
      </c>
      <c r="T117" t="s">
        <v>2465</v>
      </c>
      <c r="U117" t="s">
        <v>2466</v>
      </c>
      <c r="V117" t="s">
        <v>2467</v>
      </c>
      <c r="W117" t="s">
        <v>2468</v>
      </c>
      <c r="X117" t="s">
        <v>2469</v>
      </c>
      <c r="Y117" t="s">
        <v>2470</v>
      </c>
      <c r="Z117" t="s">
        <v>2471</v>
      </c>
      <c r="AA117" t="s">
        <v>2472</v>
      </c>
      <c r="AB117" t="s">
        <v>2473</v>
      </c>
      <c r="AC117" t="s">
        <v>2474</v>
      </c>
      <c r="AD117" t="s">
        <v>2474</v>
      </c>
      <c r="AE117" t="s">
        <v>2475</v>
      </c>
      <c r="AF117" t="s">
        <v>74</v>
      </c>
      <c r="AG117">
        <v>85</v>
      </c>
      <c r="AH117">
        <v>9</v>
      </c>
      <c r="AI117">
        <v>10</v>
      </c>
      <c r="AJ117">
        <v>0</v>
      </c>
      <c r="AK117">
        <v>30</v>
      </c>
      <c r="AL117" t="s">
        <v>91</v>
      </c>
      <c r="AM117" t="s">
        <v>92</v>
      </c>
      <c r="AN117" t="s">
        <v>93</v>
      </c>
      <c r="AO117" t="s">
        <v>2476</v>
      </c>
      <c r="AP117" t="s">
        <v>2477</v>
      </c>
      <c r="AQ117" t="s">
        <v>74</v>
      </c>
      <c r="AR117" t="s">
        <v>2464</v>
      </c>
      <c r="AS117" t="s">
        <v>2478</v>
      </c>
      <c r="AT117" t="s">
        <v>1077</v>
      </c>
      <c r="AU117">
        <v>2009</v>
      </c>
      <c r="AV117">
        <v>160</v>
      </c>
      <c r="AW117">
        <v>2</v>
      </c>
      <c r="AX117" t="s">
        <v>74</v>
      </c>
      <c r="AY117" t="s">
        <v>74</v>
      </c>
      <c r="AZ117" t="s">
        <v>74</v>
      </c>
      <c r="BA117" t="s">
        <v>74</v>
      </c>
      <c r="BB117">
        <v>367</v>
      </c>
      <c r="BC117">
        <v>378</v>
      </c>
      <c r="BD117" t="s">
        <v>74</v>
      </c>
      <c r="BE117" t="s">
        <v>2479</v>
      </c>
      <c r="BF117" t="str">
        <f>HYPERLINK("http://dx.doi.org/10.1007/s00442-009-1300-6","http://dx.doi.org/10.1007/s00442-009-1300-6")</f>
        <v>http://dx.doi.org/10.1007/s00442-009-1300-6</v>
      </c>
      <c r="BG117" t="s">
        <v>74</v>
      </c>
      <c r="BH117" t="s">
        <v>74</v>
      </c>
      <c r="BI117">
        <v>12</v>
      </c>
      <c r="BJ117" t="s">
        <v>2480</v>
      </c>
      <c r="BK117" t="s">
        <v>100</v>
      </c>
      <c r="BL117" t="s">
        <v>424</v>
      </c>
      <c r="BM117" t="s">
        <v>2481</v>
      </c>
      <c r="BN117">
        <v>19229560</v>
      </c>
      <c r="BO117" t="s">
        <v>74</v>
      </c>
      <c r="BP117" t="s">
        <v>74</v>
      </c>
      <c r="BQ117" t="s">
        <v>74</v>
      </c>
      <c r="BR117" t="s">
        <v>103</v>
      </c>
      <c r="BS117" t="s">
        <v>2482</v>
      </c>
      <c r="BT117" t="str">
        <f>HYPERLINK("https%3A%2F%2Fwww.webofscience.com%2Fwos%2Fwoscc%2Ffull-record%2FWOS:000266010700016","View Full Record in Web of Science")</f>
        <v>View Full Record in Web of Science</v>
      </c>
    </row>
    <row r="118" spans="1:72" x14ac:dyDescent="0.15">
      <c r="A118" t="s">
        <v>72</v>
      </c>
      <c r="B118" t="s">
        <v>2483</v>
      </c>
      <c r="C118" t="s">
        <v>74</v>
      </c>
      <c r="D118" t="s">
        <v>74</v>
      </c>
      <c r="E118" t="s">
        <v>74</v>
      </c>
      <c r="F118" t="s">
        <v>2484</v>
      </c>
      <c r="G118" t="s">
        <v>74</v>
      </c>
      <c r="H118" t="s">
        <v>74</v>
      </c>
      <c r="I118" t="s">
        <v>2485</v>
      </c>
      <c r="J118" t="s">
        <v>2486</v>
      </c>
      <c r="K118" t="s">
        <v>74</v>
      </c>
      <c r="L118" t="s">
        <v>74</v>
      </c>
      <c r="M118" t="s">
        <v>78</v>
      </c>
      <c r="N118" t="s">
        <v>79</v>
      </c>
      <c r="O118" t="s">
        <v>74</v>
      </c>
      <c r="P118" t="s">
        <v>74</v>
      </c>
      <c r="Q118" t="s">
        <v>74</v>
      </c>
      <c r="R118" t="s">
        <v>74</v>
      </c>
      <c r="S118" t="s">
        <v>74</v>
      </c>
      <c r="T118" t="s">
        <v>2487</v>
      </c>
      <c r="U118" t="s">
        <v>2488</v>
      </c>
      <c r="V118" t="s">
        <v>2489</v>
      </c>
      <c r="W118" t="s">
        <v>2490</v>
      </c>
      <c r="X118" t="s">
        <v>2491</v>
      </c>
      <c r="Y118" t="s">
        <v>2492</v>
      </c>
      <c r="Z118" t="s">
        <v>2493</v>
      </c>
      <c r="AA118" t="s">
        <v>2494</v>
      </c>
      <c r="AB118" t="s">
        <v>2495</v>
      </c>
      <c r="AC118" t="s">
        <v>2496</v>
      </c>
      <c r="AD118" t="s">
        <v>2497</v>
      </c>
      <c r="AE118" t="s">
        <v>2498</v>
      </c>
      <c r="AF118" t="s">
        <v>74</v>
      </c>
      <c r="AG118">
        <v>58</v>
      </c>
      <c r="AH118">
        <v>19</v>
      </c>
      <c r="AI118">
        <v>21</v>
      </c>
      <c r="AJ118">
        <v>1</v>
      </c>
      <c r="AK118">
        <v>21</v>
      </c>
      <c r="AL118" t="s">
        <v>251</v>
      </c>
      <c r="AM118" t="s">
        <v>252</v>
      </c>
      <c r="AN118" t="s">
        <v>253</v>
      </c>
      <c r="AO118" t="s">
        <v>2499</v>
      </c>
      <c r="AP118" t="s">
        <v>2500</v>
      </c>
      <c r="AQ118" t="s">
        <v>74</v>
      </c>
      <c r="AR118" t="s">
        <v>2501</v>
      </c>
      <c r="AS118" t="s">
        <v>2502</v>
      </c>
      <c r="AT118" t="s">
        <v>2039</v>
      </c>
      <c r="AU118">
        <v>2009</v>
      </c>
      <c r="AV118">
        <v>275</v>
      </c>
      <c r="AW118" t="s">
        <v>532</v>
      </c>
      <c r="AX118" t="s">
        <v>74</v>
      </c>
      <c r="AY118" t="s">
        <v>74</v>
      </c>
      <c r="AZ118" t="s">
        <v>74</v>
      </c>
      <c r="BA118" t="s">
        <v>74</v>
      </c>
      <c r="BB118">
        <v>28</v>
      </c>
      <c r="BC118">
        <v>36</v>
      </c>
      <c r="BD118" t="s">
        <v>74</v>
      </c>
      <c r="BE118" t="s">
        <v>2503</v>
      </c>
      <c r="BF118" t="str">
        <f>HYPERLINK("http://dx.doi.org/10.1016/j.palaeo.2009.01.011","http://dx.doi.org/10.1016/j.palaeo.2009.01.011")</f>
        <v>http://dx.doi.org/10.1016/j.palaeo.2009.01.011</v>
      </c>
      <c r="BG118" t="s">
        <v>74</v>
      </c>
      <c r="BH118" t="s">
        <v>74</v>
      </c>
      <c r="BI118">
        <v>9</v>
      </c>
      <c r="BJ118" t="s">
        <v>2504</v>
      </c>
      <c r="BK118" t="s">
        <v>100</v>
      </c>
      <c r="BL118" t="s">
        <v>2505</v>
      </c>
      <c r="BM118" t="s">
        <v>2506</v>
      </c>
      <c r="BN118" t="s">
        <v>74</v>
      </c>
      <c r="BO118" t="s">
        <v>74</v>
      </c>
      <c r="BP118" t="s">
        <v>74</v>
      </c>
      <c r="BQ118" t="s">
        <v>74</v>
      </c>
      <c r="BR118" t="s">
        <v>103</v>
      </c>
      <c r="BS118" t="s">
        <v>2507</v>
      </c>
      <c r="BT118" t="str">
        <f>HYPERLINK("https%3A%2F%2Fwww.webofscience.com%2Fwos%2Fwoscc%2Ffull-record%2FWOS:000265994100003","View Full Record in Web of Science")</f>
        <v>View Full Record in Web of Science</v>
      </c>
    </row>
    <row r="119" spans="1:72" x14ac:dyDescent="0.15">
      <c r="A119" t="s">
        <v>72</v>
      </c>
      <c r="B119" t="s">
        <v>2508</v>
      </c>
      <c r="C119" t="s">
        <v>74</v>
      </c>
      <c r="D119" t="s">
        <v>74</v>
      </c>
      <c r="E119" t="s">
        <v>74</v>
      </c>
      <c r="F119" t="s">
        <v>2509</v>
      </c>
      <c r="G119" t="s">
        <v>74</v>
      </c>
      <c r="H119" t="s">
        <v>74</v>
      </c>
      <c r="I119" t="s">
        <v>2510</v>
      </c>
      <c r="J119" t="s">
        <v>2511</v>
      </c>
      <c r="K119" t="s">
        <v>74</v>
      </c>
      <c r="L119" t="s">
        <v>74</v>
      </c>
      <c r="M119" t="s">
        <v>78</v>
      </c>
      <c r="N119" t="s">
        <v>79</v>
      </c>
      <c r="O119" t="s">
        <v>74</v>
      </c>
      <c r="P119" t="s">
        <v>74</v>
      </c>
      <c r="Q119" t="s">
        <v>74</v>
      </c>
      <c r="R119" t="s">
        <v>74</v>
      </c>
      <c r="S119" t="s">
        <v>74</v>
      </c>
      <c r="T119" t="s">
        <v>2512</v>
      </c>
      <c r="U119" t="s">
        <v>2513</v>
      </c>
      <c r="V119" t="s">
        <v>2514</v>
      </c>
      <c r="W119" t="s">
        <v>2515</v>
      </c>
      <c r="X119" t="s">
        <v>2516</v>
      </c>
      <c r="Y119" t="s">
        <v>2517</v>
      </c>
      <c r="Z119" t="s">
        <v>2518</v>
      </c>
      <c r="AA119" t="s">
        <v>2519</v>
      </c>
      <c r="AB119" t="s">
        <v>74</v>
      </c>
      <c r="AC119" t="s">
        <v>2520</v>
      </c>
      <c r="AD119" t="s">
        <v>1490</v>
      </c>
      <c r="AE119" t="s">
        <v>74</v>
      </c>
      <c r="AF119" t="s">
        <v>74</v>
      </c>
      <c r="AG119">
        <v>44</v>
      </c>
      <c r="AH119">
        <v>13</v>
      </c>
      <c r="AI119">
        <v>14</v>
      </c>
      <c r="AJ119">
        <v>0</v>
      </c>
      <c r="AK119">
        <v>14</v>
      </c>
      <c r="AL119" t="s">
        <v>489</v>
      </c>
      <c r="AM119" t="s">
        <v>490</v>
      </c>
      <c r="AN119" t="s">
        <v>491</v>
      </c>
      <c r="AO119" t="s">
        <v>2521</v>
      </c>
      <c r="AP119" t="s">
        <v>2522</v>
      </c>
      <c r="AQ119" t="s">
        <v>74</v>
      </c>
      <c r="AR119" t="s">
        <v>2511</v>
      </c>
      <c r="AS119" t="s">
        <v>2523</v>
      </c>
      <c r="AT119" t="s">
        <v>1077</v>
      </c>
      <c r="AU119">
        <v>2009</v>
      </c>
      <c r="AV119">
        <v>52</v>
      </c>
      <c r="AW119" t="s">
        <v>74</v>
      </c>
      <c r="AX119">
        <v>3</v>
      </c>
      <c r="AY119" t="s">
        <v>74</v>
      </c>
      <c r="AZ119" t="s">
        <v>74</v>
      </c>
      <c r="BA119" t="s">
        <v>74</v>
      </c>
      <c r="BB119">
        <v>561</v>
      </c>
      <c r="BC119">
        <v>567</v>
      </c>
      <c r="BD119" t="s">
        <v>74</v>
      </c>
      <c r="BE119" t="s">
        <v>2524</v>
      </c>
      <c r="BF119" t="str">
        <f>HYPERLINK("http://dx.doi.org/10.1111/j.1475-4983.2009.00860.x","http://dx.doi.org/10.1111/j.1475-4983.2009.00860.x")</f>
        <v>http://dx.doi.org/10.1111/j.1475-4983.2009.00860.x</v>
      </c>
      <c r="BG119" t="s">
        <v>74</v>
      </c>
      <c r="BH119" t="s">
        <v>74</v>
      </c>
      <c r="BI119">
        <v>7</v>
      </c>
      <c r="BJ119" t="s">
        <v>2523</v>
      </c>
      <c r="BK119" t="s">
        <v>100</v>
      </c>
      <c r="BL119" t="s">
        <v>2523</v>
      </c>
      <c r="BM119" t="s">
        <v>2525</v>
      </c>
      <c r="BN119" t="s">
        <v>74</v>
      </c>
      <c r="BO119" t="s">
        <v>499</v>
      </c>
      <c r="BP119" t="s">
        <v>74</v>
      </c>
      <c r="BQ119" t="s">
        <v>74</v>
      </c>
      <c r="BR119" t="s">
        <v>103</v>
      </c>
      <c r="BS119" t="s">
        <v>2526</v>
      </c>
      <c r="BT119" t="str">
        <f>HYPERLINK("https%3A%2F%2Fwww.webofscience.com%2Fwos%2Fwoscc%2Ffull-record%2FWOS:000266112700004","View Full Record in Web of Science")</f>
        <v>View Full Record in Web of Science</v>
      </c>
    </row>
    <row r="120" spans="1:72" x14ac:dyDescent="0.15">
      <c r="A120" t="s">
        <v>72</v>
      </c>
      <c r="B120" t="s">
        <v>2527</v>
      </c>
      <c r="C120" t="s">
        <v>74</v>
      </c>
      <c r="D120" t="s">
        <v>74</v>
      </c>
      <c r="E120" t="s">
        <v>74</v>
      </c>
      <c r="F120" t="s">
        <v>2528</v>
      </c>
      <c r="G120" t="s">
        <v>74</v>
      </c>
      <c r="H120" t="s">
        <v>74</v>
      </c>
      <c r="I120" t="s">
        <v>2529</v>
      </c>
      <c r="J120" t="s">
        <v>2530</v>
      </c>
      <c r="K120" t="s">
        <v>74</v>
      </c>
      <c r="L120" t="s">
        <v>74</v>
      </c>
      <c r="M120" t="s">
        <v>78</v>
      </c>
      <c r="N120" t="s">
        <v>172</v>
      </c>
      <c r="O120" t="s">
        <v>74</v>
      </c>
      <c r="P120" t="s">
        <v>74</v>
      </c>
      <c r="Q120" t="s">
        <v>74</v>
      </c>
      <c r="R120" t="s">
        <v>74</v>
      </c>
      <c r="S120" t="s">
        <v>74</v>
      </c>
      <c r="T120" t="s">
        <v>2531</v>
      </c>
      <c r="U120" t="s">
        <v>2532</v>
      </c>
      <c r="V120" t="s">
        <v>2533</v>
      </c>
      <c r="W120" t="s">
        <v>2534</v>
      </c>
      <c r="X120" t="s">
        <v>2535</v>
      </c>
      <c r="Y120" t="s">
        <v>2536</v>
      </c>
      <c r="Z120" t="s">
        <v>2537</v>
      </c>
      <c r="AA120" t="s">
        <v>2538</v>
      </c>
      <c r="AB120" t="s">
        <v>2539</v>
      </c>
      <c r="AC120" t="s">
        <v>2540</v>
      </c>
      <c r="AD120" t="s">
        <v>2541</v>
      </c>
      <c r="AE120" t="s">
        <v>2542</v>
      </c>
      <c r="AF120" t="s">
        <v>74</v>
      </c>
      <c r="AG120">
        <v>369</v>
      </c>
      <c r="AH120">
        <v>238</v>
      </c>
      <c r="AI120">
        <v>256</v>
      </c>
      <c r="AJ120">
        <v>3</v>
      </c>
      <c r="AK120">
        <v>73</v>
      </c>
      <c r="AL120" t="s">
        <v>2543</v>
      </c>
      <c r="AM120" t="s">
        <v>2544</v>
      </c>
      <c r="AN120" t="s">
        <v>2545</v>
      </c>
      <c r="AO120" t="s">
        <v>2546</v>
      </c>
      <c r="AP120" t="s">
        <v>74</v>
      </c>
      <c r="AQ120" t="s">
        <v>74</v>
      </c>
      <c r="AR120" t="s">
        <v>2547</v>
      </c>
      <c r="AS120" t="s">
        <v>2548</v>
      </c>
      <c r="AT120" t="s">
        <v>1348</v>
      </c>
      <c r="AU120">
        <v>2009</v>
      </c>
      <c r="AV120">
        <v>61</v>
      </c>
      <c r="AW120">
        <v>3</v>
      </c>
      <c r="AX120" t="s">
        <v>74</v>
      </c>
      <c r="AY120" t="s">
        <v>74</v>
      </c>
      <c r="AZ120" t="s">
        <v>74</v>
      </c>
      <c r="BA120" t="s">
        <v>74</v>
      </c>
      <c r="BB120">
        <v>383</v>
      </c>
      <c r="BC120">
        <v>410</v>
      </c>
      <c r="BD120" t="s">
        <v>74</v>
      </c>
      <c r="BE120" t="s">
        <v>2549</v>
      </c>
      <c r="BF120" t="str">
        <f>HYPERLINK("http://dx.doi.org/10.1016/S1734-1140(09)70081-7","http://dx.doi.org/10.1016/S1734-1140(09)70081-7")</f>
        <v>http://dx.doi.org/10.1016/S1734-1140(09)70081-7</v>
      </c>
      <c r="BG120" t="s">
        <v>74</v>
      </c>
      <c r="BH120" t="s">
        <v>74</v>
      </c>
      <c r="BI120">
        <v>28</v>
      </c>
      <c r="BJ120" t="s">
        <v>2550</v>
      </c>
      <c r="BK120" t="s">
        <v>100</v>
      </c>
      <c r="BL120" t="s">
        <v>2550</v>
      </c>
      <c r="BM120" t="s">
        <v>2551</v>
      </c>
      <c r="BN120">
        <v>19605939</v>
      </c>
      <c r="BO120" t="s">
        <v>74</v>
      </c>
      <c r="BP120" t="s">
        <v>74</v>
      </c>
      <c r="BQ120" t="s">
        <v>74</v>
      </c>
      <c r="BR120" t="s">
        <v>103</v>
      </c>
      <c r="BS120" t="s">
        <v>2552</v>
      </c>
      <c r="BT120" t="str">
        <f>HYPERLINK("https%3A%2F%2Fwww.webofscience.com%2Fwos%2Fwoscc%2Ffull-record%2FWOS:000268840800001","View Full Record in Web of Science")</f>
        <v>View Full Record in Web of Science</v>
      </c>
    </row>
    <row r="121" spans="1:72" x14ac:dyDescent="0.15">
      <c r="A121" t="s">
        <v>72</v>
      </c>
      <c r="B121" t="s">
        <v>2553</v>
      </c>
      <c r="C121" t="s">
        <v>74</v>
      </c>
      <c r="D121" t="s">
        <v>74</v>
      </c>
      <c r="E121" t="s">
        <v>74</v>
      </c>
      <c r="F121" t="s">
        <v>2554</v>
      </c>
      <c r="G121" t="s">
        <v>74</v>
      </c>
      <c r="H121" t="s">
        <v>74</v>
      </c>
      <c r="I121" t="s">
        <v>2555</v>
      </c>
      <c r="J121" t="s">
        <v>2556</v>
      </c>
      <c r="K121" t="s">
        <v>74</v>
      </c>
      <c r="L121" t="s">
        <v>74</v>
      </c>
      <c r="M121" t="s">
        <v>78</v>
      </c>
      <c r="N121" t="s">
        <v>79</v>
      </c>
      <c r="O121" t="s">
        <v>74</v>
      </c>
      <c r="P121" t="s">
        <v>74</v>
      </c>
      <c r="Q121" t="s">
        <v>74</v>
      </c>
      <c r="R121" t="s">
        <v>74</v>
      </c>
      <c r="S121" t="s">
        <v>74</v>
      </c>
      <c r="T121" t="s">
        <v>74</v>
      </c>
      <c r="U121" t="s">
        <v>2557</v>
      </c>
      <c r="V121" t="s">
        <v>2558</v>
      </c>
      <c r="W121" t="s">
        <v>2559</v>
      </c>
      <c r="X121" t="s">
        <v>2560</v>
      </c>
      <c r="Y121" t="s">
        <v>2561</v>
      </c>
      <c r="Z121" t="s">
        <v>2562</v>
      </c>
      <c r="AA121" t="s">
        <v>2563</v>
      </c>
      <c r="AB121" t="s">
        <v>2564</v>
      </c>
      <c r="AC121" t="s">
        <v>2565</v>
      </c>
      <c r="AD121" t="s">
        <v>2566</v>
      </c>
      <c r="AE121" t="s">
        <v>2567</v>
      </c>
      <c r="AF121" t="s">
        <v>74</v>
      </c>
      <c r="AG121">
        <v>51</v>
      </c>
      <c r="AH121">
        <v>19</v>
      </c>
      <c r="AI121">
        <v>19</v>
      </c>
      <c r="AJ121">
        <v>1</v>
      </c>
      <c r="AK121">
        <v>8</v>
      </c>
      <c r="AL121" t="s">
        <v>489</v>
      </c>
      <c r="AM121" t="s">
        <v>490</v>
      </c>
      <c r="AN121" t="s">
        <v>491</v>
      </c>
      <c r="AO121" t="s">
        <v>2568</v>
      </c>
      <c r="AP121" t="s">
        <v>2569</v>
      </c>
      <c r="AQ121" t="s">
        <v>74</v>
      </c>
      <c r="AR121" t="s">
        <v>2570</v>
      </c>
      <c r="AS121" t="s">
        <v>2571</v>
      </c>
      <c r="AT121" t="s">
        <v>1077</v>
      </c>
      <c r="AU121">
        <v>2009</v>
      </c>
      <c r="AV121">
        <v>136</v>
      </c>
      <c r="AW121">
        <v>1</v>
      </c>
      <c r="AX121" t="s">
        <v>74</v>
      </c>
      <c r="AY121" t="s">
        <v>74</v>
      </c>
      <c r="AZ121" t="s">
        <v>74</v>
      </c>
      <c r="BA121" t="s">
        <v>74</v>
      </c>
      <c r="BB121">
        <v>73</v>
      </c>
      <c r="BC121">
        <v>85</v>
      </c>
      <c r="BD121" t="s">
        <v>74</v>
      </c>
      <c r="BE121" t="s">
        <v>2572</v>
      </c>
      <c r="BF121" t="str">
        <f>HYPERLINK("http://dx.doi.org/10.1111/j.1399-3054.2009.01215.x","http://dx.doi.org/10.1111/j.1399-3054.2009.01215.x")</f>
        <v>http://dx.doi.org/10.1111/j.1399-3054.2009.01215.x</v>
      </c>
      <c r="BG121" t="s">
        <v>74</v>
      </c>
      <c r="BH121" t="s">
        <v>74</v>
      </c>
      <c r="BI121">
        <v>13</v>
      </c>
      <c r="BJ121" t="s">
        <v>2573</v>
      </c>
      <c r="BK121" t="s">
        <v>100</v>
      </c>
      <c r="BL121" t="s">
        <v>2573</v>
      </c>
      <c r="BM121" t="s">
        <v>2574</v>
      </c>
      <c r="BN121">
        <v>19374718</v>
      </c>
      <c r="BO121" t="s">
        <v>74</v>
      </c>
      <c r="BP121" t="s">
        <v>74</v>
      </c>
      <c r="BQ121" t="s">
        <v>74</v>
      </c>
      <c r="BR121" t="s">
        <v>103</v>
      </c>
      <c r="BS121" t="s">
        <v>2575</v>
      </c>
      <c r="BT121" t="str">
        <f>HYPERLINK("https%3A%2F%2Fwww.webofscience.com%2Fwos%2Fwoscc%2Ffull-record%2FWOS:000265233700007","View Full Record in Web of Science")</f>
        <v>View Full Record in Web of Science</v>
      </c>
    </row>
    <row r="122" spans="1:72" x14ac:dyDescent="0.15">
      <c r="A122" t="s">
        <v>72</v>
      </c>
      <c r="B122" t="s">
        <v>2576</v>
      </c>
      <c r="C122" t="s">
        <v>74</v>
      </c>
      <c r="D122" t="s">
        <v>74</v>
      </c>
      <c r="E122" t="s">
        <v>74</v>
      </c>
      <c r="F122" t="s">
        <v>2577</v>
      </c>
      <c r="G122" t="s">
        <v>74</v>
      </c>
      <c r="H122" t="s">
        <v>74</v>
      </c>
      <c r="I122" t="s">
        <v>2578</v>
      </c>
      <c r="J122" t="s">
        <v>2579</v>
      </c>
      <c r="K122" t="s">
        <v>74</v>
      </c>
      <c r="L122" t="s">
        <v>74</v>
      </c>
      <c r="M122" t="s">
        <v>78</v>
      </c>
      <c r="N122" t="s">
        <v>1437</v>
      </c>
      <c r="O122" t="s">
        <v>2580</v>
      </c>
      <c r="P122" t="s">
        <v>2581</v>
      </c>
      <c r="Q122" t="s">
        <v>2582</v>
      </c>
      <c r="R122" t="s">
        <v>74</v>
      </c>
      <c r="S122" t="s">
        <v>74</v>
      </c>
      <c r="T122" t="s">
        <v>2583</v>
      </c>
      <c r="U122" t="s">
        <v>2584</v>
      </c>
      <c r="V122" t="s">
        <v>2585</v>
      </c>
      <c r="W122" t="s">
        <v>2586</v>
      </c>
      <c r="X122" t="s">
        <v>2587</v>
      </c>
      <c r="Y122" t="s">
        <v>2588</v>
      </c>
      <c r="Z122" t="s">
        <v>2589</v>
      </c>
      <c r="AA122" t="s">
        <v>2590</v>
      </c>
      <c r="AB122" t="s">
        <v>2591</v>
      </c>
      <c r="AC122" t="s">
        <v>74</v>
      </c>
      <c r="AD122" t="s">
        <v>74</v>
      </c>
      <c r="AE122" t="s">
        <v>74</v>
      </c>
      <c r="AF122" t="s">
        <v>74</v>
      </c>
      <c r="AG122">
        <v>46</v>
      </c>
      <c r="AH122">
        <v>55</v>
      </c>
      <c r="AI122">
        <v>57</v>
      </c>
      <c r="AJ122">
        <v>1</v>
      </c>
      <c r="AK122">
        <v>34</v>
      </c>
      <c r="AL122" t="s">
        <v>303</v>
      </c>
      <c r="AM122" t="s">
        <v>304</v>
      </c>
      <c r="AN122" t="s">
        <v>305</v>
      </c>
      <c r="AO122" t="s">
        <v>2592</v>
      </c>
      <c r="AP122" t="s">
        <v>74</v>
      </c>
      <c r="AQ122" t="s">
        <v>74</v>
      </c>
      <c r="AR122" t="s">
        <v>2593</v>
      </c>
      <c r="AS122" t="s">
        <v>2594</v>
      </c>
      <c r="AT122" t="s">
        <v>1077</v>
      </c>
      <c r="AU122">
        <v>2009</v>
      </c>
      <c r="AV122">
        <v>57</v>
      </c>
      <c r="AW122" t="s">
        <v>1702</v>
      </c>
      <c r="AX122" t="s">
        <v>74</v>
      </c>
      <c r="AY122" t="s">
        <v>74</v>
      </c>
      <c r="AZ122" t="s">
        <v>2297</v>
      </c>
      <c r="BA122" t="s">
        <v>74</v>
      </c>
      <c r="BB122">
        <v>606</v>
      </c>
      <c r="BC122">
        <v>613</v>
      </c>
      <c r="BD122" t="s">
        <v>74</v>
      </c>
      <c r="BE122" t="s">
        <v>2595</v>
      </c>
      <c r="BF122" t="str">
        <f>HYPERLINK("http://dx.doi.org/10.1016/j.pss.2008.05.005","http://dx.doi.org/10.1016/j.pss.2008.05.005")</f>
        <v>http://dx.doi.org/10.1016/j.pss.2008.05.005</v>
      </c>
      <c r="BG122" t="s">
        <v>74</v>
      </c>
      <c r="BH122" t="s">
        <v>74</v>
      </c>
      <c r="BI122">
        <v>8</v>
      </c>
      <c r="BJ122" t="s">
        <v>285</v>
      </c>
      <c r="BK122" t="s">
        <v>1453</v>
      </c>
      <c r="BL122" t="s">
        <v>285</v>
      </c>
      <c r="BM122" t="s">
        <v>2596</v>
      </c>
      <c r="BN122" t="s">
        <v>74</v>
      </c>
      <c r="BO122" t="s">
        <v>74</v>
      </c>
      <c r="BP122" t="s">
        <v>74</v>
      </c>
      <c r="BQ122" t="s">
        <v>74</v>
      </c>
      <c r="BR122" t="s">
        <v>103</v>
      </c>
      <c r="BS122" t="s">
        <v>2597</v>
      </c>
      <c r="BT122" t="str">
        <f>HYPERLINK("https%3A%2F%2Fwww.webofscience.com%2Fwos%2Fwoscc%2Ffull-record%2FWOS:000266863400009","View Full Record in Web of Science")</f>
        <v>View Full Record in Web of Science</v>
      </c>
    </row>
    <row r="123" spans="1:72" x14ac:dyDescent="0.15">
      <c r="A123" t="s">
        <v>72</v>
      </c>
      <c r="B123" t="s">
        <v>2598</v>
      </c>
      <c r="C123" t="s">
        <v>74</v>
      </c>
      <c r="D123" t="s">
        <v>74</v>
      </c>
      <c r="E123" t="s">
        <v>74</v>
      </c>
      <c r="F123" t="s">
        <v>2599</v>
      </c>
      <c r="G123" t="s">
        <v>74</v>
      </c>
      <c r="H123" t="s">
        <v>74</v>
      </c>
      <c r="I123" t="s">
        <v>2600</v>
      </c>
      <c r="J123" t="s">
        <v>77</v>
      </c>
      <c r="K123" t="s">
        <v>74</v>
      </c>
      <c r="L123" t="s">
        <v>74</v>
      </c>
      <c r="M123" t="s">
        <v>78</v>
      </c>
      <c r="N123" t="s">
        <v>79</v>
      </c>
      <c r="O123" t="s">
        <v>74</v>
      </c>
      <c r="P123" t="s">
        <v>74</v>
      </c>
      <c r="Q123" t="s">
        <v>74</v>
      </c>
      <c r="R123" t="s">
        <v>74</v>
      </c>
      <c r="S123" t="s">
        <v>74</v>
      </c>
      <c r="T123" t="s">
        <v>2601</v>
      </c>
      <c r="U123" t="s">
        <v>2602</v>
      </c>
      <c r="V123" t="s">
        <v>2603</v>
      </c>
      <c r="W123" t="s">
        <v>2604</v>
      </c>
      <c r="X123" t="s">
        <v>2605</v>
      </c>
      <c r="Y123" t="s">
        <v>2606</v>
      </c>
      <c r="Z123" t="s">
        <v>2607</v>
      </c>
      <c r="AA123" t="s">
        <v>74</v>
      </c>
      <c r="AB123" t="s">
        <v>2608</v>
      </c>
      <c r="AC123" t="s">
        <v>2609</v>
      </c>
      <c r="AD123" t="s">
        <v>2609</v>
      </c>
      <c r="AE123" t="s">
        <v>2610</v>
      </c>
      <c r="AF123" t="s">
        <v>74</v>
      </c>
      <c r="AG123">
        <v>19</v>
      </c>
      <c r="AH123">
        <v>0</v>
      </c>
      <c r="AI123">
        <v>0</v>
      </c>
      <c r="AJ123">
        <v>0</v>
      </c>
      <c r="AK123">
        <v>6</v>
      </c>
      <c r="AL123" t="s">
        <v>91</v>
      </c>
      <c r="AM123" t="s">
        <v>92</v>
      </c>
      <c r="AN123" t="s">
        <v>93</v>
      </c>
      <c r="AO123" t="s">
        <v>94</v>
      </c>
      <c r="AP123" t="s">
        <v>119</v>
      </c>
      <c r="AQ123" t="s">
        <v>74</v>
      </c>
      <c r="AR123" t="s">
        <v>95</v>
      </c>
      <c r="AS123" t="s">
        <v>96</v>
      </c>
      <c r="AT123" t="s">
        <v>1077</v>
      </c>
      <c r="AU123">
        <v>2009</v>
      </c>
      <c r="AV123">
        <v>32</v>
      </c>
      <c r="AW123">
        <v>5</v>
      </c>
      <c r="AX123" t="s">
        <v>74</v>
      </c>
      <c r="AY123" t="s">
        <v>74</v>
      </c>
      <c r="AZ123" t="s">
        <v>74</v>
      </c>
      <c r="BA123" t="s">
        <v>74</v>
      </c>
      <c r="BB123">
        <v>673</v>
      </c>
      <c r="BC123">
        <v>677</v>
      </c>
      <c r="BD123" t="s">
        <v>74</v>
      </c>
      <c r="BE123" t="s">
        <v>2611</v>
      </c>
      <c r="BF123" t="str">
        <f>HYPERLINK("http://dx.doi.org/10.1007/s00300-008-0571-4","http://dx.doi.org/10.1007/s00300-008-0571-4")</f>
        <v>http://dx.doi.org/10.1007/s00300-008-0571-4</v>
      </c>
      <c r="BG123" t="s">
        <v>74</v>
      </c>
      <c r="BH123" t="s">
        <v>74</v>
      </c>
      <c r="BI123">
        <v>5</v>
      </c>
      <c r="BJ123" t="s">
        <v>99</v>
      </c>
      <c r="BK123" t="s">
        <v>100</v>
      </c>
      <c r="BL123" t="s">
        <v>101</v>
      </c>
      <c r="BM123" t="s">
        <v>2612</v>
      </c>
      <c r="BN123" t="s">
        <v>74</v>
      </c>
      <c r="BO123" t="s">
        <v>74</v>
      </c>
      <c r="BP123" t="s">
        <v>74</v>
      </c>
      <c r="BQ123" t="s">
        <v>74</v>
      </c>
      <c r="BR123" t="s">
        <v>103</v>
      </c>
      <c r="BS123" t="s">
        <v>2613</v>
      </c>
      <c r="BT123" t="str">
        <f>HYPERLINK("https%3A%2F%2Fwww.webofscience.com%2Fwos%2Fwoscc%2Ffull-record%2FWOS:000265298800001","View Full Record in Web of Science")</f>
        <v>View Full Record in Web of Science</v>
      </c>
    </row>
    <row r="124" spans="1:72" x14ac:dyDescent="0.15">
      <c r="A124" t="s">
        <v>72</v>
      </c>
      <c r="B124" t="s">
        <v>2614</v>
      </c>
      <c r="C124" t="s">
        <v>74</v>
      </c>
      <c r="D124" t="s">
        <v>74</v>
      </c>
      <c r="E124" t="s">
        <v>74</v>
      </c>
      <c r="F124" t="s">
        <v>2615</v>
      </c>
      <c r="G124" t="s">
        <v>74</v>
      </c>
      <c r="H124" t="s">
        <v>74</v>
      </c>
      <c r="I124" t="s">
        <v>2616</v>
      </c>
      <c r="J124" t="s">
        <v>77</v>
      </c>
      <c r="K124" t="s">
        <v>74</v>
      </c>
      <c r="L124" t="s">
        <v>74</v>
      </c>
      <c r="M124" t="s">
        <v>78</v>
      </c>
      <c r="N124" t="s">
        <v>79</v>
      </c>
      <c r="O124" t="s">
        <v>74</v>
      </c>
      <c r="P124" t="s">
        <v>74</v>
      </c>
      <c r="Q124" t="s">
        <v>74</v>
      </c>
      <c r="R124" t="s">
        <v>74</v>
      </c>
      <c r="S124" t="s">
        <v>74</v>
      </c>
      <c r="T124" t="s">
        <v>2617</v>
      </c>
      <c r="U124" t="s">
        <v>2618</v>
      </c>
      <c r="V124" t="s">
        <v>2619</v>
      </c>
      <c r="W124" t="s">
        <v>2620</v>
      </c>
      <c r="X124" t="s">
        <v>2621</v>
      </c>
      <c r="Y124" t="s">
        <v>1501</v>
      </c>
      <c r="Z124" t="s">
        <v>1502</v>
      </c>
      <c r="AA124" t="s">
        <v>2622</v>
      </c>
      <c r="AB124" t="s">
        <v>2623</v>
      </c>
      <c r="AC124" t="s">
        <v>1505</v>
      </c>
      <c r="AD124" t="s">
        <v>1506</v>
      </c>
      <c r="AE124" t="s">
        <v>2624</v>
      </c>
      <c r="AF124" t="s">
        <v>74</v>
      </c>
      <c r="AG124">
        <v>54</v>
      </c>
      <c r="AH124">
        <v>19</v>
      </c>
      <c r="AI124">
        <v>20</v>
      </c>
      <c r="AJ124">
        <v>0</v>
      </c>
      <c r="AK124">
        <v>13</v>
      </c>
      <c r="AL124" t="s">
        <v>91</v>
      </c>
      <c r="AM124" t="s">
        <v>92</v>
      </c>
      <c r="AN124" t="s">
        <v>93</v>
      </c>
      <c r="AO124" t="s">
        <v>94</v>
      </c>
      <c r="AP124" t="s">
        <v>74</v>
      </c>
      <c r="AQ124" t="s">
        <v>74</v>
      </c>
      <c r="AR124" t="s">
        <v>95</v>
      </c>
      <c r="AS124" t="s">
        <v>96</v>
      </c>
      <c r="AT124" t="s">
        <v>1077</v>
      </c>
      <c r="AU124">
        <v>2009</v>
      </c>
      <c r="AV124">
        <v>32</v>
      </c>
      <c r="AW124">
        <v>5</v>
      </c>
      <c r="AX124" t="s">
        <v>74</v>
      </c>
      <c r="AY124" t="s">
        <v>74</v>
      </c>
      <c r="AZ124" t="s">
        <v>74</v>
      </c>
      <c r="BA124" t="s">
        <v>74</v>
      </c>
      <c r="BB124">
        <v>679</v>
      </c>
      <c r="BC124">
        <v>689</v>
      </c>
      <c r="BD124" t="s">
        <v>74</v>
      </c>
      <c r="BE124" t="s">
        <v>2625</v>
      </c>
      <c r="BF124" t="str">
        <f>HYPERLINK("http://dx.doi.org/10.1007/s00300-008-0573-2","http://dx.doi.org/10.1007/s00300-008-0573-2")</f>
        <v>http://dx.doi.org/10.1007/s00300-008-0573-2</v>
      </c>
      <c r="BG124" t="s">
        <v>74</v>
      </c>
      <c r="BH124" t="s">
        <v>74</v>
      </c>
      <c r="BI124">
        <v>11</v>
      </c>
      <c r="BJ124" t="s">
        <v>99</v>
      </c>
      <c r="BK124" t="s">
        <v>100</v>
      </c>
      <c r="BL124" t="s">
        <v>101</v>
      </c>
      <c r="BM124" t="s">
        <v>2612</v>
      </c>
      <c r="BN124" t="s">
        <v>74</v>
      </c>
      <c r="BO124" t="s">
        <v>74</v>
      </c>
      <c r="BP124" t="s">
        <v>74</v>
      </c>
      <c r="BQ124" t="s">
        <v>74</v>
      </c>
      <c r="BR124" t="s">
        <v>103</v>
      </c>
      <c r="BS124" t="s">
        <v>2626</v>
      </c>
      <c r="BT124" t="str">
        <f>HYPERLINK("https%3A%2F%2Fwww.webofscience.com%2Fwos%2Fwoscc%2Ffull-record%2FWOS:000265298800002","View Full Record in Web of Science")</f>
        <v>View Full Record in Web of Science</v>
      </c>
    </row>
    <row r="125" spans="1:72" x14ac:dyDescent="0.15">
      <c r="A125" t="s">
        <v>72</v>
      </c>
      <c r="B125" t="s">
        <v>2627</v>
      </c>
      <c r="C125" t="s">
        <v>74</v>
      </c>
      <c r="D125" t="s">
        <v>74</v>
      </c>
      <c r="E125" t="s">
        <v>74</v>
      </c>
      <c r="F125" t="s">
        <v>2628</v>
      </c>
      <c r="G125" t="s">
        <v>74</v>
      </c>
      <c r="H125" t="s">
        <v>74</v>
      </c>
      <c r="I125" t="s">
        <v>2629</v>
      </c>
      <c r="J125" t="s">
        <v>77</v>
      </c>
      <c r="K125" t="s">
        <v>74</v>
      </c>
      <c r="L125" t="s">
        <v>74</v>
      </c>
      <c r="M125" t="s">
        <v>78</v>
      </c>
      <c r="N125" t="s">
        <v>79</v>
      </c>
      <c r="O125" t="s">
        <v>74</v>
      </c>
      <c r="P125" t="s">
        <v>74</v>
      </c>
      <c r="Q125" t="s">
        <v>74</v>
      </c>
      <c r="R125" t="s">
        <v>74</v>
      </c>
      <c r="S125" t="s">
        <v>74</v>
      </c>
      <c r="T125" t="s">
        <v>2630</v>
      </c>
      <c r="U125" t="s">
        <v>2631</v>
      </c>
      <c r="V125" t="s">
        <v>2632</v>
      </c>
      <c r="W125" t="s">
        <v>2633</v>
      </c>
      <c r="X125" t="s">
        <v>2634</v>
      </c>
      <c r="Y125" t="s">
        <v>2635</v>
      </c>
      <c r="Z125" t="s">
        <v>2636</v>
      </c>
      <c r="AA125" t="s">
        <v>2637</v>
      </c>
      <c r="AB125" t="s">
        <v>2638</v>
      </c>
      <c r="AC125" t="s">
        <v>2639</v>
      </c>
      <c r="AD125" t="s">
        <v>2640</v>
      </c>
      <c r="AE125" t="s">
        <v>2641</v>
      </c>
      <c r="AF125" t="s">
        <v>74</v>
      </c>
      <c r="AG125">
        <v>68</v>
      </c>
      <c r="AH125">
        <v>4</v>
      </c>
      <c r="AI125">
        <v>4</v>
      </c>
      <c r="AJ125">
        <v>1</v>
      </c>
      <c r="AK125">
        <v>24</v>
      </c>
      <c r="AL125" t="s">
        <v>91</v>
      </c>
      <c r="AM125" t="s">
        <v>92</v>
      </c>
      <c r="AN125" t="s">
        <v>93</v>
      </c>
      <c r="AO125" t="s">
        <v>94</v>
      </c>
      <c r="AP125" t="s">
        <v>119</v>
      </c>
      <c r="AQ125" t="s">
        <v>74</v>
      </c>
      <c r="AR125" t="s">
        <v>95</v>
      </c>
      <c r="AS125" t="s">
        <v>96</v>
      </c>
      <c r="AT125" t="s">
        <v>1077</v>
      </c>
      <c r="AU125">
        <v>2009</v>
      </c>
      <c r="AV125">
        <v>32</v>
      </c>
      <c r="AW125">
        <v>5</v>
      </c>
      <c r="AX125" t="s">
        <v>74</v>
      </c>
      <c r="AY125" t="s">
        <v>74</v>
      </c>
      <c r="AZ125" t="s">
        <v>74</v>
      </c>
      <c r="BA125" t="s">
        <v>74</v>
      </c>
      <c r="BB125">
        <v>691</v>
      </c>
      <c r="BC125">
        <v>702</v>
      </c>
      <c r="BD125" t="s">
        <v>74</v>
      </c>
      <c r="BE125" t="s">
        <v>2642</v>
      </c>
      <c r="BF125" t="str">
        <f>HYPERLINK("http://dx.doi.org/10.1007/s00300-008-0574-1","http://dx.doi.org/10.1007/s00300-008-0574-1")</f>
        <v>http://dx.doi.org/10.1007/s00300-008-0574-1</v>
      </c>
      <c r="BG125" t="s">
        <v>74</v>
      </c>
      <c r="BH125" t="s">
        <v>74</v>
      </c>
      <c r="BI125">
        <v>12</v>
      </c>
      <c r="BJ125" t="s">
        <v>99</v>
      </c>
      <c r="BK125" t="s">
        <v>100</v>
      </c>
      <c r="BL125" t="s">
        <v>101</v>
      </c>
      <c r="BM125" t="s">
        <v>2612</v>
      </c>
      <c r="BN125" t="s">
        <v>74</v>
      </c>
      <c r="BO125" t="s">
        <v>74</v>
      </c>
      <c r="BP125" t="s">
        <v>74</v>
      </c>
      <c r="BQ125" t="s">
        <v>74</v>
      </c>
      <c r="BR125" t="s">
        <v>103</v>
      </c>
      <c r="BS125" t="s">
        <v>2643</v>
      </c>
      <c r="BT125" t="str">
        <f>HYPERLINK("https%3A%2F%2Fwww.webofscience.com%2Fwos%2Fwoscc%2Ffull-record%2FWOS:000265298800003","View Full Record in Web of Science")</f>
        <v>View Full Record in Web of Science</v>
      </c>
    </row>
    <row r="126" spans="1:72" x14ac:dyDescent="0.15">
      <c r="A126" t="s">
        <v>72</v>
      </c>
      <c r="B126" t="s">
        <v>2644</v>
      </c>
      <c r="C126" t="s">
        <v>74</v>
      </c>
      <c r="D126" t="s">
        <v>74</v>
      </c>
      <c r="E126" t="s">
        <v>74</v>
      </c>
      <c r="F126" t="s">
        <v>2645</v>
      </c>
      <c r="G126" t="s">
        <v>74</v>
      </c>
      <c r="H126" t="s">
        <v>74</v>
      </c>
      <c r="I126" t="s">
        <v>2646</v>
      </c>
      <c r="J126" t="s">
        <v>77</v>
      </c>
      <c r="K126" t="s">
        <v>74</v>
      </c>
      <c r="L126" t="s">
        <v>74</v>
      </c>
      <c r="M126" t="s">
        <v>78</v>
      </c>
      <c r="N126" t="s">
        <v>79</v>
      </c>
      <c r="O126" t="s">
        <v>74</v>
      </c>
      <c r="P126" t="s">
        <v>74</v>
      </c>
      <c r="Q126" t="s">
        <v>74</v>
      </c>
      <c r="R126" t="s">
        <v>74</v>
      </c>
      <c r="S126" t="s">
        <v>74</v>
      </c>
      <c r="T126" t="s">
        <v>2647</v>
      </c>
      <c r="U126" t="s">
        <v>2648</v>
      </c>
      <c r="V126" t="s">
        <v>2649</v>
      </c>
      <c r="W126" t="s">
        <v>2650</v>
      </c>
      <c r="X126" t="s">
        <v>2651</v>
      </c>
      <c r="Y126" t="s">
        <v>2652</v>
      </c>
      <c r="Z126" t="s">
        <v>2653</v>
      </c>
      <c r="AA126" t="s">
        <v>2654</v>
      </c>
      <c r="AB126" t="s">
        <v>2655</v>
      </c>
      <c r="AC126" t="s">
        <v>2656</v>
      </c>
      <c r="AD126" t="s">
        <v>2657</v>
      </c>
      <c r="AE126" t="s">
        <v>2658</v>
      </c>
      <c r="AF126" t="s">
        <v>74</v>
      </c>
      <c r="AG126">
        <v>41</v>
      </c>
      <c r="AH126">
        <v>18</v>
      </c>
      <c r="AI126">
        <v>21</v>
      </c>
      <c r="AJ126">
        <v>0</v>
      </c>
      <c r="AK126">
        <v>11</v>
      </c>
      <c r="AL126" t="s">
        <v>91</v>
      </c>
      <c r="AM126" t="s">
        <v>92</v>
      </c>
      <c r="AN126" t="s">
        <v>93</v>
      </c>
      <c r="AO126" t="s">
        <v>94</v>
      </c>
      <c r="AP126" t="s">
        <v>119</v>
      </c>
      <c r="AQ126" t="s">
        <v>74</v>
      </c>
      <c r="AR126" t="s">
        <v>95</v>
      </c>
      <c r="AS126" t="s">
        <v>96</v>
      </c>
      <c r="AT126" t="s">
        <v>1077</v>
      </c>
      <c r="AU126">
        <v>2009</v>
      </c>
      <c r="AV126">
        <v>32</v>
      </c>
      <c r="AW126">
        <v>5</v>
      </c>
      <c r="AX126" t="s">
        <v>74</v>
      </c>
      <c r="AY126" t="s">
        <v>74</v>
      </c>
      <c r="AZ126" t="s">
        <v>74</v>
      </c>
      <c r="BA126" t="s">
        <v>74</v>
      </c>
      <c r="BB126">
        <v>703</v>
      </c>
      <c r="BC126">
        <v>717</v>
      </c>
      <c r="BD126" t="s">
        <v>74</v>
      </c>
      <c r="BE126" t="s">
        <v>2659</v>
      </c>
      <c r="BF126" t="str">
        <f>HYPERLINK("http://dx.doi.org/10.1007/s00300-008-0575-0","http://dx.doi.org/10.1007/s00300-008-0575-0")</f>
        <v>http://dx.doi.org/10.1007/s00300-008-0575-0</v>
      </c>
      <c r="BG126" t="s">
        <v>74</v>
      </c>
      <c r="BH126" t="s">
        <v>74</v>
      </c>
      <c r="BI126">
        <v>15</v>
      </c>
      <c r="BJ126" t="s">
        <v>99</v>
      </c>
      <c r="BK126" t="s">
        <v>100</v>
      </c>
      <c r="BL126" t="s">
        <v>101</v>
      </c>
      <c r="BM126" t="s">
        <v>2612</v>
      </c>
      <c r="BN126" t="s">
        <v>74</v>
      </c>
      <c r="BO126" t="s">
        <v>74</v>
      </c>
      <c r="BP126" t="s">
        <v>74</v>
      </c>
      <c r="BQ126" t="s">
        <v>74</v>
      </c>
      <c r="BR126" t="s">
        <v>103</v>
      </c>
      <c r="BS126" t="s">
        <v>2660</v>
      </c>
      <c r="BT126" t="str">
        <f>HYPERLINK("https%3A%2F%2Fwww.webofscience.com%2Fwos%2Fwoscc%2Ffull-record%2FWOS:000265298800004","View Full Record in Web of Science")</f>
        <v>View Full Record in Web of Science</v>
      </c>
    </row>
    <row r="127" spans="1:72" x14ac:dyDescent="0.15">
      <c r="A127" t="s">
        <v>72</v>
      </c>
      <c r="B127" t="s">
        <v>2661</v>
      </c>
      <c r="C127" t="s">
        <v>74</v>
      </c>
      <c r="D127" t="s">
        <v>74</v>
      </c>
      <c r="E127" t="s">
        <v>74</v>
      </c>
      <c r="F127" t="s">
        <v>2662</v>
      </c>
      <c r="G127" t="s">
        <v>74</v>
      </c>
      <c r="H127" t="s">
        <v>74</v>
      </c>
      <c r="I127" t="s">
        <v>2663</v>
      </c>
      <c r="J127" t="s">
        <v>77</v>
      </c>
      <c r="K127" t="s">
        <v>74</v>
      </c>
      <c r="L127" t="s">
        <v>74</v>
      </c>
      <c r="M127" t="s">
        <v>78</v>
      </c>
      <c r="N127" t="s">
        <v>172</v>
      </c>
      <c r="O127" t="s">
        <v>74</v>
      </c>
      <c r="P127" t="s">
        <v>74</v>
      </c>
      <c r="Q127" t="s">
        <v>74</v>
      </c>
      <c r="R127" t="s">
        <v>74</v>
      </c>
      <c r="S127" t="s">
        <v>74</v>
      </c>
      <c r="T127" t="s">
        <v>2664</v>
      </c>
      <c r="U127" t="s">
        <v>2665</v>
      </c>
      <c r="V127" t="s">
        <v>2666</v>
      </c>
      <c r="W127" t="s">
        <v>2667</v>
      </c>
      <c r="X127" t="s">
        <v>2668</v>
      </c>
      <c r="Y127" t="s">
        <v>2669</v>
      </c>
      <c r="Z127" t="s">
        <v>2670</v>
      </c>
      <c r="AA127" t="s">
        <v>2671</v>
      </c>
      <c r="AB127" t="s">
        <v>2672</v>
      </c>
      <c r="AC127" t="s">
        <v>2673</v>
      </c>
      <c r="AD127" t="s">
        <v>2674</v>
      </c>
      <c r="AE127" t="s">
        <v>2675</v>
      </c>
      <c r="AF127" t="s">
        <v>74</v>
      </c>
      <c r="AG127">
        <v>106</v>
      </c>
      <c r="AH127">
        <v>32</v>
      </c>
      <c r="AI127">
        <v>33</v>
      </c>
      <c r="AJ127">
        <v>1</v>
      </c>
      <c r="AK127">
        <v>53</v>
      </c>
      <c r="AL127" t="s">
        <v>91</v>
      </c>
      <c r="AM127" t="s">
        <v>92</v>
      </c>
      <c r="AN127" t="s">
        <v>137</v>
      </c>
      <c r="AO127" t="s">
        <v>94</v>
      </c>
      <c r="AP127" t="s">
        <v>119</v>
      </c>
      <c r="AQ127" t="s">
        <v>74</v>
      </c>
      <c r="AR127" t="s">
        <v>95</v>
      </c>
      <c r="AS127" t="s">
        <v>96</v>
      </c>
      <c r="AT127" t="s">
        <v>1077</v>
      </c>
      <c r="AU127">
        <v>2009</v>
      </c>
      <c r="AV127">
        <v>32</v>
      </c>
      <c r="AW127">
        <v>5</v>
      </c>
      <c r="AX127" t="s">
        <v>74</v>
      </c>
      <c r="AY127" t="s">
        <v>74</v>
      </c>
      <c r="AZ127" t="s">
        <v>74</v>
      </c>
      <c r="BA127" t="s">
        <v>74</v>
      </c>
      <c r="BB127">
        <v>733</v>
      </c>
      <c r="BC127">
        <v>750</v>
      </c>
      <c r="BD127" t="s">
        <v>74</v>
      </c>
      <c r="BE127" t="s">
        <v>2676</v>
      </c>
      <c r="BF127" t="str">
        <f>HYPERLINK("http://dx.doi.org/10.1007/s00300-008-0577-y","http://dx.doi.org/10.1007/s00300-008-0577-y")</f>
        <v>http://dx.doi.org/10.1007/s00300-008-0577-y</v>
      </c>
      <c r="BG127" t="s">
        <v>74</v>
      </c>
      <c r="BH127" t="s">
        <v>74</v>
      </c>
      <c r="BI127">
        <v>18</v>
      </c>
      <c r="BJ127" t="s">
        <v>99</v>
      </c>
      <c r="BK127" t="s">
        <v>100</v>
      </c>
      <c r="BL127" t="s">
        <v>101</v>
      </c>
      <c r="BM127" t="s">
        <v>2612</v>
      </c>
      <c r="BN127" t="s">
        <v>74</v>
      </c>
      <c r="BO127" t="s">
        <v>74</v>
      </c>
      <c r="BP127" t="s">
        <v>74</v>
      </c>
      <c r="BQ127" t="s">
        <v>74</v>
      </c>
      <c r="BR127" t="s">
        <v>103</v>
      </c>
      <c r="BS127" t="s">
        <v>2677</v>
      </c>
      <c r="BT127" t="str">
        <f>HYPERLINK("https%3A%2F%2Fwww.webofscience.com%2Fwos%2Fwoscc%2Ffull-record%2FWOS:000265298800006","View Full Record in Web of Science")</f>
        <v>View Full Record in Web of Science</v>
      </c>
    </row>
    <row r="128" spans="1:72" x14ac:dyDescent="0.15">
      <c r="A128" t="s">
        <v>72</v>
      </c>
      <c r="B128" t="s">
        <v>2678</v>
      </c>
      <c r="C128" t="s">
        <v>74</v>
      </c>
      <c r="D128" t="s">
        <v>74</v>
      </c>
      <c r="E128" t="s">
        <v>74</v>
      </c>
      <c r="F128" t="s">
        <v>2679</v>
      </c>
      <c r="G128" t="s">
        <v>74</v>
      </c>
      <c r="H128" t="s">
        <v>74</v>
      </c>
      <c r="I128" t="s">
        <v>2680</v>
      </c>
      <c r="J128" t="s">
        <v>77</v>
      </c>
      <c r="K128" t="s">
        <v>74</v>
      </c>
      <c r="L128" t="s">
        <v>74</v>
      </c>
      <c r="M128" t="s">
        <v>78</v>
      </c>
      <c r="N128" t="s">
        <v>79</v>
      </c>
      <c r="O128" t="s">
        <v>74</v>
      </c>
      <c r="P128" t="s">
        <v>74</v>
      </c>
      <c r="Q128" t="s">
        <v>74</v>
      </c>
      <c r="R128" t="s">
        <v>74</v>
      </c>
      <c r="S128" t="s">
        <v>74</v>
      </c>
      <c r="T128" t="s">
        <v>2681</v>
      </c>
      <c r="U128" t="s">
        <v>2682</v>
      </c>
      <c r="V128" t="s">
        <v>2683</v>
      </c>
      <c r="W128" t="s">
        <v>2684</v>
      </c>
      <c r="X128" t="s">
        <v>2685</v>
      </c>
      <c r="Y128" t="s">
        <v>2686</v>
      </c>
      <c r="Z128" t="s">
        <v>2687</v>
      </c>
      <c r="AA128" t="s">
        <v>74</v>
      </c>
      <c r="AB128" t="s">
        <v>74</v>
      </c>
      <c r="AC128" t="s">
        <v>2688</v>
      </c>
      <c r="AD128" t="s">
        <v>2689</v>
      </c>
      <c r="AE128" t="s">
        <v>2690</v>
      </c>
      <c r="AF128" t="s">
        <v>74</v>
      </c>
      <c r="AG128">
        <v>54</v>
      </c>
      <c r="AH128">
        <v>133</v>
      </c>
      <c r="AI128">
        <v>144</v>
      </c>
      <c r="AJ128">
        <v>3</v>
      </c>
      <c r="AK128">
        <v>31</v>
      </c>
      <c r="AL128" t="s">
        <v>91</v>
      </c>
      <c r="AM128" t="s">
        <v>92</v>
      </c>
      <c r="AN128" t="s">
        <v>93</v>
      </c>
      <c r="AO128" t="s">
        <v>94</v>
      </c>
      <c r="AP128" t="s">
        <v>74</v>
      </c>
      <c r="AQ128" t="s">
        <v>74</v>
      </c>
      <c r="AR128" t="s">
        <v>95</v>
      </c>
      <c r="AS128" t="s">
        <v>96</v>
      </c>
      <c r="AT128" t="s">
        <v>1077</v>
      </c>
      <c r="AU128">
        <v>2009</v>
      </c>
      <c r="AV128">
        <v>32</v>
      </c>
      <c r="AW128">
        <v>5</v>
      </c>
      <c r="AX128" t="s">
        <v>74</v>
      </c>
      <c r="AY128" t="s">
        <v>74</v>
      </c>
      <c r="AZ128" t="s">
        <v>74</v>
      </c>
      <c r="BA128" t="s">
        <v>74</v>
      </c>
      <c r="BB128">
        <v>797</v>
      </c>
      <c r="BC128">
        <v>808</v>
      </c>
      <c r="BD128" t="s">
        <v>74</v>
      </c>
      <c r="BE128" t="s">
        <v>2691</v>
      </c>
      <c r="BF128" t="str">
        <f>HYPERLINK("http://dx.doi.org/10.1007/s00300-009-0582-9","http://dx.doi.org/10.1007/s00300-009-0582-9")</f>
        <v>http://dx.doi.org/10.1007/s00300-009-0582-9</v>
      </c>
      <c r="BG128" t="s">
        <v>74</v>
      </c>
      <c r="BH128" t="s">
        <v>74</v>
      </c>
      <c r="BI128">
        <v>12</v>
      </c>
      <c r="BJ128" t="s">
        <v>99</v>
      </c>
      <c r="BK128" t="s">
        <v>100</v>
      </c>
      <c r="BL128" t="s">
        <v>101</v>
      </c>
      <c r="BM128" t="s">
        <v>2612</v>
      </c>
      <c r="BN128" t="s">
        <v>74</v>
      </c>
      <c r="BO128" t="s">
        <v>74</v>
      </c>
      <c r="BP128" t="s">
        <v>74</v>
      </c>
      <c r="BQ128" t="s">
        <v>74</v>
      </c>
      <c r="BR128" t="s">
        <v>103</v>
      </c>
      <c r="BS128" t="s">
        <v>2692</v>
      </c>
      <c r="BT128" t="str">
        <f>HYPERLINK("https%3A%2F%2Fwww.webofscience.com%2Fwos%2Fwoscc%2Ffull-record%2FWOS:000265298800011","View Full Record in Web of Science")</f>
        <v>View Full Record in Web of Science</v>
      </c>
    </row>
    <row r="129" spans="1:72" x14ac:dyDescent="0.15">
      <c r="A129" t="s">
        <v>72</v>
      </c>
      <c r="B129" t="s">
        <v>2693</v>
      </c>
      <c r="C129" t="s">
        <v>74</v>
      </c>
      <c r="D129" t="s">
        <v>74</v>
      </c>
      <c r="E129" t="s">
        <v>74</v>
      </c>
      <c r="F129" t="s">
        <v>2694</v>
      </c>
      <c r="G129" t="s">
        <v>74</v>
      </c>
      <c r="H129" t="s">
        <v>74</v>
      </c>
      <c r="I129" t="s">
        <v>2695</v>
      </c>
      <c r="J129" t="s">
        <v>77</v>
      </c>
      <c r="K129" t="s">
        <v>74</v>
      </c>
      <c r="L129" t="s">
        <v>74</v>
      </c>
      <c r="M129" t="s">
        <v>78</v>
      </c>
      <c r="N129" t="s">
        <v>79</v>
      </c>
      <c r="O129" t="s">
        <v>74</v>
      </c>
      <c r="P129" t="s">
        <v>74</v>
      </c>
      <c r="Q129" t="s">
        <v>74</v>
      </c>
      <c r="R129" t="s">
        <v>74</v>
      </c>
      <c r="S129" t="s">
        <v>74</v>
      </c>
      <c r="T129" t="s">
        <v>74</v>
      </c>
      <c r="U129" t="s">
        <v>2696</v>
      </c>
      <c r="V129" t="s">
        <v>2697</v>
      </c>
      <c r="W129" t="s">
        <v>2698</v>
      </c>
      <c r="X129" t="s">
        <v>2699</v>
      </c>
      <c r="Y129" t="s">
        <v>2700</v>
      </c>
      <c r="Z129" t="s">
        <v>2701</v>
      </c>
      <c r="AA129" t="s">
        <v>74</v>
      </c>
      <c r="AB129" t="s">
        <v>74</v>
      </c>
      <c r="AC129" t="s">
        <v>74</v>
      </c>
      <c r="AD129" t="s">
        <v>74</v>
      </c>
      <c r="AE129" t="s">
        <v>74</v>
      </c>
      <c r="AF129" t="s">
        <v>74</v>
      </c>
      <c r="AG129">
        <v>17</v>
      </c>
      <c r="AH129">
        <v>25</v>
      </c>
      <c r="AI129">
        <v>27</v>
      </c>
      <c r="AJ129">
        <v>0</v>
      </c>
      <c r="AK129">
        <v>21</v>
      </c>
      <c r="AL129" t="s">
        <v>91</v>
      </c>
      <c r="AM129" t="s">
        <v>92</v>
      </c>
      <c r="AN129" t="s">
        <v>93</v>
      </c>
      <c r="AO129" t="s">
        <v>94</v>
      </c>
      <c r="AP129" t="s">
        <v>119</v>
      </c>
      <c r="AQ129" t="s">
        <v>74</v>
      </c>
      <c r="AR129" t="s">
        <v>95</v>
      </c>
      <c r="AS129" t="s">
        <v>96</v>
      </c>
      <c r="AT129" t="s">
        <v>1077</v>
      </c>
      <c r="AU129">
        <v>2009</v>
      </c>
      <c r="AV129">
        <v>32</v>
      </c>
      <c r="AW129">
        <v>5</v>
      </c>
      <c r="AX129" t="s">
        <v>74</v>
      </c>
      <c r="AY129" t="s">
        <v>74</v>
      </c>
      <c r="AZ129" t="s">
        <v>74</v>
      </c>
      <c r="BA129" t="s">
        <v>74</v>
      </c>
      <c r="BB129">
        <v>809</v>
      </c>
      <c r="BC129">
        <v>812</v>
      </c>
      <c r="BD129" t="s">
        <v>74</v>
      </c>
      <c r="BE129" t="s">
        <v>2702</v>
      </c>
      <c r="BF129" t="str">
        <f>HYPERLINK("http://dx.doi.org/10.1007/s00300-009-0610-9","http://dx.doi.org/10.1007/s00300-009-0610-9")</f>
        <v>http://dx.doi.org/10.1007/s00300-009-0610-9</v>
      </c>
      <c r="BG129" t="s">
        <v>74</v>
      </c>
      <c r="BH129" t="s">
        <v>74</v>
      </c>
      <c r="BI129">
        <v>4</v>
      </c>
      <c r="BJ129" t="s">
        <v>99</v>
      </c>
      <c r="BK129" t="s">
        <v>100</v>
      </c>
      <c r="BL129" t="s">
        <v>101</v>
      </c>
      <c r="BM129" t="s">
        <v>2612</v>
      </c>
      <c r="BN129" t="s">
        <v>74</v>
      </c>
      <c r="BO129" t="s">
        <v>217</v>
      </c>
      <c r="BP129" t="s">
        <v>74</v>
      </c>
      <c r="BQ129" t="s">
        <v>74</v>
      </c>
      <c r="BR129" t="s">
        <v>103</v>
      </c>
      <c r="BS129" t="s">
        <v>2703</v>
      </c>
      <c r="BT129" t="str">
        <f>HYPERLINK("https%3A%2F%2Fwww.webofscience.com%2Fwos%2Fwoscc%2Ffull-record%2FWOS:000265298800012","View Full Record in Web of Science")</f>
        <v>View Full Record in Web of Science</v>
      </c>
    </row>
    <row r="130" spans="1:72" x14ac:dyDescent="0.15">
      <c r="A130" t="s">
        <v>72</v>
      </c>
      <c r="B130" t="s">
        <v>2704</v>
      </c>
      <c r="C130" t="s">
        <v>74</v>
      </c>
      <c r="D130" t="s">
        <v>74</v>
      </c>
      <c r="E130" t="s">
        <v>74</v>
      </c>
      <c r="F130" t="s">
        <v>2705</v>
      </c>
      <c r="G130" t="s">
        <v>74</v>
      </c>
      <c r="H130" t="s">
        <v>74</v>
      </c>
      <c r="I130" t="s">
        <v>2706</v>
      </c>
      <c r="J130" t="s">
        <v>2707</v>
      </c>
      <c r="K130" t="s">
        <v>74</v>
      </c>
      <c r="L130" t="s">
        <v>74</v>
      </c>
      <c r="M130" t="s">
        <v>78</v>
      </c>
      <c r="N130" t="s">
        <v>79</v>
      </c>
      <c r="O130" t="s">
        <v>74</v>
      </c>
      <c r="P130" t="s">
        <v>74</v>
      </c>
      <c r="Q130" t="s">
        <v>74</v>
      </c>
      <c r="R130" t="s">
        <v>74</v>
      </c>
      <c r="S130" t="s">
        <v>74</v>
      </c>
      <c r="T130" t="s">
        <v>2708</v>
      </c>
      <c r="U130" t="s">
        <v>2709</v>
      </c>
      <c r="V130" t="s">
        <v>2710</v>
      </c>
      <c r="W130" t="s">
        <v>2711</v>
      </c>
      <c r="X130" t="s">
        <v>2712</v>
      </c>
      <c r="Y130" t="s">
        <v>2713</v>
      </c>
      <c r="Z130" t="s">
        <v>2714</v>
      </c>
      <c r="AA130" t="s">
        <v>1942</v>
      </c>
      <c r="AB130" t="s">
        <v>1943</v>
      </c>
      <c r="AC130" t="s">
        <v>2715</v>
      </c>
      <c r="AD130" t="s">
        <v>2716</v>
      </c>
      <c r="AE130" t="s">
        <v>2717</v>
      </c>
      <c r="AF130" t="s">
        <v>74</v>
      </c>
      <c r="AG130">
        <v>38</v>
      </c>
      <c r="AH130">
        <v>30</v>
      </c>
      <c r="AI130">
        <v>32</v>
      </c>
      <c r="AJ130">
        <v>0</v>
      </c>
      <c r="AK130">
        <v>8</v>
      </c>
      <c r="AL130" t="s">
        <v>2124</v>
      </c>
      <c r="AM130" t="s">
        <v>490</v>
      </c>
      <c r="AN130" t="s">
        <v>491</v>
      </c>
      <c r="AO130" t="s">
        <v>2718</v>
      </c>
      <c r="AP130" t="s">
        <v>2719</v>
      </c>
      <c r="AQ130" t="s">
        <v>74</v>
      </c>
      <c r="AR130" t="s">
        <v>2707</v>
      </c>
      <c r="AS130" t="s">
        <v>2720</v>
      </c>
      <c r="AT130" t="s">
        <v>1077</v>
      </c>
      <c r="AU130">
        <v>2009</v>
      </c>
      <c r="AV130">
        <v>9</v>
      </c>
      <c r="AW130">
        <v>10</v>
      </c>
      <c r="AX130" t="s">
        <v>74</v>
      </c>
      <c r="AY130" t="s">
        <v>74</v>
      </c>
      <c r="AZ130" t="s">
        <v>74</v>
      </c>
      <c r="BA130" t="s">
        <v>74</v>
      </c>
      <c r="BB130">
        <v>2788</v>
      </c>
      <c r="BC130">
        <v>2797</v>
      </c>
      <c r="BD130" t="s">
        <v>74</v>
      </c>
      <c r="BE130" t="s">
        <v>2721</v>
      </c>
      <c r="BF130" t="str">
        <f>HYPERLINK("http://dx.doi.org/10.1002/pmic.200800850","http://dx.doi.org/10.1002/pmic.200800850")</f>
        <v>http://dx.doi.org/10.1002/pmic.200800850</v>
      </c>
      <c r="BG130" t="s">
        <v>74</v>
      </c>
      <c r="BH130" t="s">
        <v>74</v>
      </c>
      <c r="BI130">
        <v>10</v>
      </c>
      <c r="BJ130" t="s">
        <v>2722</v>
      </c>
      <c r="BK130" t="s">
        <v>100</v>
      </c>
      <c r="BL130" t="s">
        <v>2723</v>
      </c>
      <c r="BM130" t="s">
        <v>2724</v>
      </c>
      <c r="BN130">
        <v>19415656</v>
      </c>
      <c r="BO130" t="s">
        <v>74</v>
      </c>
      <c r="BP130" t="s">
        <v>74</v>
      </c>
      <c r="BQ130" t="s">
        <v>74</v>
      </c>
      <c r="BR130" t="s">
        <v>103</v>
      </c>
      <c r="BS130" t="s">
        <v>2725</v>
      </c>
      <c r="BT130" t="str">
        <f>HYPERLINK("https%3A%2F%2Fwww.webofscience.com%2Fwos%2Fwoscc%2Ffull-record%2FWOS:000266707800015","View Full Record in Web of Science")</f>
        <v>View Full Record in Web of Science</v>
      </c>
    </row>
    <row r="131" spans="1:72" x14ac:dyDescent="0.15">
      <c r="A131" t="s">
        <v>72</v>
      </c>
      <c r="B131" t="s">
        <v>2726</v>
      </c>
      <c r="C131" t="s">
        <v>74</v>
      </c>
      <c r="D131" t="s">
        <v>74</v>
      </c>
      <c r="E131" t="s">
        <v>74</v>
      </c>
      <c r="F131" t="s">
        <v>2727</v>
      </c>
      <c r="G131" t="s">
        <v>74</v>
      </c>
      <c r="H131" t="s">
        <v>74</v>
      </c>
      <c r="I131" t="s">
        <v>2728</v>
      </c>
      <c r="J131" t="s">
        <v>2729</v>
      </c>
      <c r="K131" t="s">
        <v>74</v>
      </c>
      <c r="L131" t="s">
        <v>74</v>
      </c>
      <c r="M131" t="s">
        <v>78</v>
      </c>
      <c r="N131" t="s">
        <v>79</v>
      </c>
      <c r="O131" t="s">
        <v>74</v>
      </c>
      <c r="P131" t="s">
        <v>74</v>
      </c>
      <c r="Q131" t="s">
        <v>74</v>
      </c>
      <c r="R131" t="s">
        <v>74</v>
      </c>
      <c r="S131" t="s">
        <v>74</v>
      </c>
      <c r="T131" t="s">
        <v>2730</v>
      </c>
      <c r="U131" t="s">
        <v>2731</v>
      </c>
      <c r="V131" t="s">
        <v>2732</v>
      </c>
      <c r="W131" t="s">
        <v>2733</v>
      </c>
      <c r="X131" t="s">
        <v>2734</v>
      </c>
      <c r="Y131" t="s">
        <v>2735</v>
      </c>
      <c r="Z131" t="s">
        <v>2736</v>
      </c>
      <c r="AA131" t="s">
        <v>2737</v>
      </c>
      <c r="AB131" t="s">
        <v>2738</v>
      </c>
      <c r="AC131" t="s">
        <v>2739</v>
      </c>
      <c r="AD131" t="s">
        <v>2740</v>
      </c>
      <c r="AE131" t="s">
        <v>2741</v>
      </c>
      <c r="AF131" t="s">
        <v>74</v>
      </c>
      <c r="AG131">
        <v>71</v>
      </c>
      <c r="AH131">
        <v>42</v>
      </c>
      <c r="AI131">
        <v>45</v>
      </c>
      <c r="AJ131">
        <v>0</v>
      </c>
      <c r="AK131">
        <v>24</v>
      </c>
      <c r="AL131" t="s">
        <v>2742</v>
      </c>
      <c r="AM131" t="s">
        <v>2743</v>
      </c>
      <c r="AN131" t="s">
        <v>2744</v>
      </c>
      <c r="AO131" t="s">
        <v>2745</v>
      </c>
      <c r="AP131" t="s">
        <v>2746</v>
      </c>
      <c r="AQ131" t="s">
        <v>74</v>
      </c>
      <c r="AR131" t="s">
        <v>2729</v>
      </c>
      <c r="AS131" t="s">
        <v>2747</v>
      </c>
      <c r="AT131" t="s">
        <v>1077</v>
      </c>
      <c r="AU131">
        <v>2009</v>
      </c>
      <c r="AV131">
        <v>160</v>
      </c>
      <c r="AW131">
        <v>2</v>
      </c>
      <c r="AX131" t="s">
        <v>74</v>
      </c>
      <c r="AY131" t="s">
        <v>74</v>
      </c>
      <c r="AZ131" t="s">
        <v>74</v>
      </c>
      <c r="BA131" t="s">
        <v>74</v>
      </c>
      <c r="BB131">
        <v>301</v>
      </c>
      <c r="BC131">
        <v>317</v>
      </c>
      <c r="BD131" t="s">
        <v>74</v>
      </c>
      <c r="BE131" t="s">
        <v>2748</v>
      </c>
      <c r="BF131" t="str">
        <f>HYPERLINK("http://dx.doi.org/10.1016/j.protis.2008.10.004","http://dx.doi.org/10.1016/j.protis.2008.10.004")</f>
        <v>http://dx.doi.org/10.1016/j.protis.2008.10.004</v>
      </c>
      <c r="BG131" t="s">
        <v>74</v>
      </c>
      <c r="BH131" t="s">
        <v>74</v>
      </c>
      <c r="BI131">
        <v>17</v>
      </c>
      <c r="BJ131" t="s">
        <v>2749</v>
      </c>
      <c r="BK131" t="s">
        <v>100</v>
      </c>
      <c r="BL131" t="s">
        <v>2749</v>
      </c>
      <c r="BM131" t="s">
        <v>2750</v>
      </c>
      <c r="BN131">
        <v>19162540</v>
      </c>
      <c r="BO131" t="s">
        <v>74</v>
      </c>
      <c r="BP131" t="s">
        <v>74</v>
      </c>
      <c r="BQ131" t="s">
        <v>74</v>
      </c>
      <c r="BR131" t="s">
        <v>103</v>
      </c>
      <c r="BS131" t="s">
        <v>2751</v>
      </c>
      <c r="BT131" t="str">
        <f>HYPERLINK("https%3A%2F%2Fwww.webofscience.com%2Fwos%2Fwoscc%2Ffull-record%2FWOS:000265079100010","View Full Record in Web of Science")</f>
        <v>View Full Record in Web of Science</v>
      </c>
    </row>
    <row r="132" spans="1:72" x14ac:dyDescent="0.15">
      <c r="A132" t="s">
        <v>72</v>
      </c>
      <c r="B132" t="s">
        <v>2752</v>
      </c>
      <c r="C132" t="s">
        <v>74</v>
      </c>
      <c r="D132" t="s">
        <v>74</v>
      </c>
      <c r="E132" t="s">
        <v>74</v>
      </c>
      <c r="F132" t="s">
        <v>2753</v>
      </c>
      <c r="G132" t="s">
        <v>74</v>
      </c>
      <c r="H132" t="s">
        <v>74</v>
      </c>
      <c r="I132" t="s">
        <v>2754</v>
      </c>
      <c r="J132" t="s">
        <v>292</v>
      </c>
      <c r="K132" t="s">
        <v>74</v>
      </c>
      <c r="L132" t="s">
        <v>74</v>
      </c>
      <c r="M132" t="s">
        <v>78</v>
      </c>
      <c r="N132" t="s">
        <v>172</v>
      </c>
      <c r="O132" t="s">
        <v>74</v>
      </c>
      <c r="P132" t="s">
        <v>74</v>
      </c>
      <c r="Q132" t="s">
        <v>74</v>
      </c>
      <c r="R132" t="s">
        <v>74</v>
      </c>
      <c r="S132" t="s">
        <v>74</v>
      </c>
      <c r="T132" t="s">
        <v>74</v>
      </c>
      <c r="U132" t="s">
        <v>2755</v>
      </c>
      <c r="V132" t="s">
        <v>2756</v>
      </c>
      <c r="W132" t="s">
        <v>2757</v>
      </c>
      <c r="X132" t="s">
        <v>2758</v>
      </c>
      <c r="Y132" t="s">
        <v>2759</v>
      </c>
      <c r="Z132" t="s">
        <v>2760</v>
      </c>
      <c r="AA132" t="s">
        <v>2761</v>
      </c>
      <c r="AB132" t="s">
        <v>74</v>
      </c>
      <c r="AC132" t="s">
        <v>74</v>
      </c>
      <c r="AD132" t="s">
        <v>74</v>
      </c>
      <c r="AE132" t="s">
        <v>74</v>
      </c>
      <c r="AF132" t="s">
        <v>74</v>
      </c>
      <c r="AG132">
        <v>141</v>
      </c>
      <c r="AH132">
        <v>34</v>
      </c>
      <c r="AI132">
        <v>36</v>
      </c>
      <c r="AJ132">
        <v>2</v>
      </c>
      <c r="AK132">
        <v>19</v>
      </c>
      <c r="AL132" t="s">
        <v>303</v>
      </c>
      <c r="AM132" t="s">
        <v>304</v>
      </c>
      <c r="AN132" t="s">
        <v>305</v>
      </c>
      <c r="AO132" t="s">
        <v>306</v>
      </c>
      <c r="AP132" t="s">
        <v>307</v>
      </c>
      <c r="AQ132" t="s">
        <v>74</v>
      </c>
      <c r="AR132" t="s">
        <v>308</v>
      </c>
      <c r="AS132" t="s">
        <v>309</v>
      </c>
      <c r="AT132" t="s">
        <v>1077</v>
      </c>
      <c r="AU132">
        <v>2009</v>
      </c>
      <c r="AV132">
        <v>28</v>
      </c>
      <c r="AW132" t="s">
        <v>2762</v>
      </c>
      <c r="AX132" t="s">
        <v>74</v>
      </c>
      <c r="AY132" t="s">
        <v>74</v>
      </c>
      <c r="AZ132" t="s">
        <v>74</v>
      </c>
      <c r="BA132" t="s">
        <v>74</v>
      </c>
      <c r="BB132">
        <v>850</v>
      </c>
      <c r="BC132">
        <v>872</v>
      </c>
      <c r="BD132" t="s">
        <v>74</v>
      </c>
      <c r="BE132" t="s">
        <v>2763</v>
      </c>
      <c r="BF132" t="str">
        <f>HYPERLINK("http://dx.doi.org/10.1016/j.quascirev.2008.12.003","http://dx.doi.org/10.1016/j.quascirev.2008.12.003")</f>
        <v>http://dx.doi.org/10.1016/j.quascirev.2008.12.003</v>
      </c>
      <c r="BG132" t="s">
        <v>74</v>
      </c>
      <c r="BH132" t="s">
        <v>74</v>
      </c>
      <c r="BI132">
        <v>23</v>
      </c>
      <c r="BJ132" t="s">
        <v>312</v>
      </c>
      <c r="BK132" t="s">
        <v>1103</v>
      </c>
      <c r="BL132" t="s">
        <v>313</v>
      </c>
      <c r="BM132" t="s">
        <v>2764</v>
      </c>
      <c r="BN132" t="s">
        <v>74</v>
      </c>
      <c r="BO132" t="s">
        <v>74</v>
      </c>
      <c r="BP132" t="s">
        <v>74</v>
      </c>
      <c r="BQ132" t="s">
        <v>74</v>
      </c>
      <c r="BR132" t="s">
        <v>103</v>
      </c>
      <c r="BS132" t="s">
        <v>2765</v>
      </c>
      <c r="BT132" t="str">
        <f>HYPERLINK("https%3A%2F%2Fwww.webofscience.com%2Fwos%2Fwoscc%2Ffull-record%2FWOS:000265358200008","View Full Record in Web of Science")</f>
        <v>View Full Record in Web of Science</v>
      </c>
    </row>
    <row r="133" spans="1:72" x14ac:dyDescent="0.15">
      <c r="A133" t="s">
        <v>72</v>
      </c>
      <c r="B133" t="s">
        <v>2766</v>
      </c>
      <c r="C133" t="s">
        <v>74</v>
      </c>
      <c r="D133" t="s">
        <v>74</v>
      </c>
      <c r="E133" t="s">
        <v>74</v>
      </c>
      <c r="F133" t="s">
        <v>2767</v>
      </c>
      <c r="G133" t="s">
        <v>74</v>
      </c>
      <c r="H133" t="s">
        <v>74</v>
      </c>
      <c r="I133" t="s">
        <v>2768</v>
      </c>
      <c r="J133" t="s">
        <v>2769</v>
      </c>
      <c r="K133" t="s">
        <v>74</v>
      </c>
      <c r="L133" t="s">
        <v>74</v>
      </c>
      <c r="M133" t="s">
        <v>933</v>
      </c>
      <c r="N133" t="s">
        <v>79</v>
      </c>
      <c r="O133" t="s">
        <v>74</v>
      </c>
      <c r="P133" t="s">
        <v>74</v>
      </c>
      <c r="Q133" t="s">
        <v>74</v>
      </c>
      <c r="R133" t="s">
        <v>74</v>
      </c>
      <c r="S133" t="s">
        <v>74</v>
      </c>
      <c r="T133" t="s">
        <v>2770</v>
      </c>
      <c r="U133" t="s">
        <v>74</v>
      </c>
      <c r="V133" t="s">
        <v>2771</v>
      </c>
      <c r="W133" t="s">
        <v>2772</v>
      </c>
      <c r="X133" t="s">
        <v>74</v>
      </c>
      <c r="Y133" t="s">
        <v>2773</v>
      </c>
      <c r="Z133" t="s">
        <v>2774</v>
      </c>
      <c r="AA133" t="s">
        <v>74</v>
      </c>
      <c r="AB133" t="s">
        <v>74</v>
      </c>
      <c r="AC133" t="s">
        <v>74</v>
      </c>
      <c r="AD133" t="s">
        <v>74</v>
      </c>
      <c r="AE133" t="s">
        <v>74</v>
      </c>
      <c r="AF133" t="s">
        <v>74</v>
      </c>
      <c r="AG133">
        <v>18</v>
      </c>
      <c r="AH133">
        <v>0</v>
      </c>
      <c r="AI133">
        <v>0</v>
      </c>
      <c r="AJ133">
        <v>0</v>
      </c>
      <c r="AK133">
        <v>0</v>
      </c>
      <c r="AL133" t="s">
        <v>2775</v>
      </c>
      <c r="AM133" t="s">
        <v>441</v>
      </c>
      <c r="AN133" t="s">
        <v>2776</v>
      </c>
      <c r="AO133" t="s">
        <v>2777</v>
      </c>
      <c r="AP133" t="s">
        <v>74</v>
      </c>
      <c r="AQ133" t="s">
        <v>74</v>
      </c>
      <c r="AR133" t="s">
        <v>2778</v>
      </c>
      <c r="AS133" t="s">
        <v>2779</v>
      </c>
      <c r="AT133" t="s">
        <v>1077</v>
      </c>
      <c r="AU133">
        <v>2009</v>
      </c>
      <c r="AV133" t="s">
        <v>74</v>
      </c>
      <c r="AW133">
        <v>20</v>
      </c>
      <c r="AX133" t="s">
        <v>74</v>
      </c>
      <c r="AY133" t="s">
        <v>74</v>
      </c>
      <c r="AZ133" t="s">
        <v>74</v>
      </c>
      <c r="BA133" t="s">
        <v>74</v>
      </c>
      <c r="BB133">
        <v>24</v>
      </c>
      <c r="BC133">
        <v>35</v>
      </c>
      <c r="BD133" t="s">
        <v>74</v>
      </c>
      <c r="BE133" t="s">
        <v>74</v>
      </c>
      <c r="BF133" t="s">
        <v>74</v>
      </c>
      <c r="BG133" t="s">
        <v>74</v>
      </c>
      <c r="BH133" t="s">
        <v>74</v>
      </c>
      <c r="BI133">
        <v>12</v>
      </c>
      <c r="BJ133" t="s">
        <v>2780</v>
      </c>
      <c r="BK133" t="s">
        <v>2781</v>
      </c>
      <c r="BL133" t="s">
        <v>2780</v>
      </c>
      <c r="BM133" t="s">
        <v>2782</v>
      </c>
      <c r="BN133" t="s">
        <v>74</v>
      </c>
      <c r="BO133" t="s">
        <v>74</v>
      </c>
      <c r="BP133" t="s">
        <v>74</v>
      </c>
      <c r="BQ133" t="s">
        <v>74</v>
      </c>
      <c r="BR133" t="s">
        <v>103</v>
      </c>
      <c r="BS133" t="s">
        <v>2783</v>
      </c>
      <c r="BT133" t="str">
        <f>HYPERLINK("https%3A%2F%2Fwww.webofscience.com%2Fwos%2Fwoscc%2Ffull-record%2FWOS:000421373200003","View Full Record in Web of Science")</f>
        <v>View Full Record in Web of Science</v>
      </c>
    </row>
    <row r="134" spans="1:72" x14ac:dyDescent="0.15">
      <c r="A134" t="s">
        <v>72</v>
      </c>
      <c r="B134" t="s">
        <v>2784</v>
      </c>
      <c r="C134" t="s">
        <v>74</v>
      </c>
      <c r="D134" t="s">
        <v>74</v>
      </c>
      <c r="E134" t="s">
        <v>74</v>
      </c>
      <c r="F134" t="s">
        <v>2785</v>
      </c>
      <c r="G134" t="s">
        <v>74</v>
      </c>
      <c r="H134" t="s">
        <v>74</v>
      </c>
      <c r="I134" t="s">
        <v>2786</v>
      </c>
      <c r="J134" t="s">
        <v>2787</v>
      </c>
      <c r="K134" t="s">
        <v>74</v>
      </c>
      <c r="L134" t="s">
        <v>74</v>
      </c>
      <c r="M134" t="s">
        <v>78</v>
      </c>
      <c r="N134" t="s">
        <v>79</v>
      </c>
      <c r="O134" t="s">
        <v>74</v>
      </c>
      <c r="P134" t="s">
        <v>74</v>
      </c>
      <c r="Q134" t="s">
        <v>74</v>
      </c>
      <c r="R134" t="s">
        <v>74</v>
      </c>
      <c r="S134" t="s">
        <v>74</v>
      </c>
      <c r="T134" t="s">
        <v>2788</v>
      </c>
      <c r="U134" t="s">
        <v>74</v>
      </c>
      <c r="V134" t="s">
        <v>2789</v>
      </c>
      <c r="W134" t="s">
        <v>2790</v>
      </c>
      <c r="X134" t="s">
        <v>2791</v>
      </c>
      <c r="Y134" t="s">
        <v>2792</v>
      </c>
      <c r="Z134" t="s">
        <v>2793</v>
      </c>
      <c r="AA134" t="s">
        <v>2794</v>
      </c>
      <c r="AB134" t="s">
        <v>2795</v>
      </c>
      <c r="AC134" t="s">
        <v>2796</v>
      </c>
      <c r="AD134" t="s">
        <v>2797</v>
      </c>
      <c r="AE134" t="s">
        <v>2798</v>
      </c>
      <c r="AF134" t="s">
        <v>74</v>
      </c>
      <c r="AG134">
        <v>17</v>
      </c>
      <c r="AH134">
        <v>14</v>
      </c>
      <c r="AI134">
        <v>17</v>
      </c>
      <c r="AJ134">
        <v>0</v>
      </c>
      <c r="AK134">
        <v>23</v>
      </c>
      <c r="AL134" t="s">
        <v>1070</v>
      </c>
      <c r="AM134" t="s">
        <v>1071</v>
      </c>
      <c r="AN134" t="s">
        <v>1072</v>
      </c>
      <c r="AO134" t="s">
        <v>2799</v>
      </c>
      <c r="AP134" t="s">
        <v>74</v>
      </c>
      <c r="AQ134" t="s">
        <v>74</v>
      </c>
      <c r="AR134" t="s">
        <v>2800</v>
      </c>
      <c r="AS134" t="s">
        <v>2801</v>
      </c>
      <c r="AT134" t="s">
        <v>1077</v>
      </c>
      <c r="AU134">
        <v>2009</v>
      </c>
      <c r="AV134">
        <v>52</v>
      </c>
      <c r="AW134">
        <v>5</v>
      </c>
      <c r="AX134" t="s">
        <v>74</v>
      </c>
      <c r="AY134" t="s">
        <v>74</v>
      </c>
      <c r="AZ134" t="s">
        <v>74</v>
      </c>
      <c r="BA134" t="s">
        <v>74</v>
      </c>
      <c r="BB134">
        <v>714</v>
      </c>
      <c r="BC134">
        <v>722</v>
      </c>
      <c r="BD134" t="s">
        <v>74</v>
      </c>
      <c r="BE134" t="s">
        <v>2802</v>
      </c>
      <c r="BF134" t="str">
        <f>HYPERLINK("http://dx.doi.org/10.1007/s11430-009-0055-6","http://dx.doi.org/10.1007/s11430-009-0055-6")</f>
        <v>http://dx.doi.org/10.1007/s11430-009-0055-6</v>
      </c>
      <c r="BG134" t="s">
        <v>74</v>
      </c>
      <c r="BH134" t="s">
        <v>74</v>
      </c>
      <c r="BI134">
        <v>9</v>
      </c>
      <c r="BJ134" t="s">
        <v>496</v>
      </c>
      <c r="BK134" t="s">
        <v>100</v>
      </c>
      <c r="BL134" t="s">
        <v>497</v>
      </c>
      <c r="BM134" t="s">
        <v>2803</v>
      </c>
      <c r="BN134" t="s">
        <v>74</v>
      </c>
      <c r="BO134" t="s">
        <v>74</v>
      </c>
      <c r="BP134" t="s">
        <v>74</v>
      </c>
      <c r="BQ134" t="s">
        <v>74</v>
      </c>
      <c r="BR134" t="s">
        <v>103</v>
      </c>
      <c r="BS134" t="s">
        <v>2804</v>
      </c>
      <c r="BT134" t="str">
        <f>HYPERLINK("https%3A%2F%2Fwww.webofscience.com%2Fwos%2Fwoscc%2Ffull-record%2FWOS:000265924500014","View Full Record in Web of Science")</f>
        <v>View Full Record in Web of Science</v>
      </c>
    </row>
    <row r="135" spans="1:72" x14ac:dyDescent="0.15">
      <c r="A135" t="s">
        <v>72</v>
      </c>
      <c r="B135" t="s">
        <v>2805</v>
      </c>
      <c r="C135" t="s">
        <v>74</v>
      </c>
      <c r="D135" t="s">
        <v>74</v>
      </c>
      <c r="E135" t="s">
        <v>74</v>
      </c>
      <c r="F135" t="s">
        <v>2806</v>
      </c>
      <c r="G135" t="s">
        <v>74</v>
      </c>
      <c r="H135" t="s">
        <v>74</v>
      </c>
      <c r="I135" t="s">
        <v>2807</v>
      </c>
      <c r="J135" t="s">
        <v>2808</v>
      </c>
      <c r="K135" t="s">
        <v>74</v>
      </c>
      <c r="L135" t="s">
        <v>74</v>
      </c>
      <c r="M135" t="s">
        <v>78</v>
      </c>
      <c r="N135" t="s">
        <v>79</v>
      </c>
      <c r="O135" t="s">
        <v>74</v>
      </c>
      <c r="P135" t="s">
        <v>74</v>
      </c>
      <c r="Q135" t="s">
        <v>74</v>
      </c>
      <c r="R135" t="s">
        <v>74</v>
      </c>
      <c r="S135" t="s">
        <v>74</v>
      </c>
      <c r="T135" t="s">
        <v>74</v>
      </c>
      <c r="U135" t="s">
        <v>2809</v>
      </c>
      <c r="V135" t="s">
        <v>2810</v>
      </c>
      <c r="W135" t="s">
        <v>2811</v>
      </c>
      <c r="X135" t="s">
        <v>2812</v>
      </c>
      <c r="Y135" t="s">
        <v>2813</v>
      </c>
      <c r="Z135" t="s">
        <v>2814</v>
      </c>
      <c r="AA135" t="s">
        <v>2815</v>
      </c>
      <c r="AB135" t="s">
        <v>2816</v>
      </c>
      <c r="AC135" t="s">
        <v>2817</v>
      </c>
      <c r="AD135" t="s">
        <v>2818</v>
      </c>
      <c r="AE135" t="s">
        <v>2819</v>
      </c>
      <c r="AF135" t="s">
        <v>74</v>
      </c>
      <c r="AG135">
        <v>55</v>
      </c>
      <c r="AH135">
        <v>31</v>
      </c>
      <c r="AI135">
        <v>32</v>
      </c>
      <c r="AJ135">
        <v>0</v>
      </c>
      <c r="AK135">
        <v>8</v>
      </c>
      <c r="AL135" t="s">
        <v>1167</v>
      </c>
      <c r="AM135" t="s">
        <v>1168</v>
      </c>
      <c r="AN135" t="s">
        <v>1169</v>
      </c>
      <c r="AO135" t="s">
        <v>74</v>
      </c>
      <c r="AP135" t="s">
        <v>2820</v>
      </c>
      <c r="AQ135" t="s">
        <v>74</v>
      </c>
      <c r="AR135" t="s">
        <v>2821</v>
      </c>
      <c r="AS135" t="s">
        <v>2822</v>
      </c>
      <c r="AT135" t="s">
        <v>1077</v>
      </c>
      <c r="AU135">
        <v>2009</v>
      </c>
      <c r="AV135">
        <v>61</v>
      </c>
      <c r="AW135">
        <v>3</v>
      </c>
      <c r="AX135" t="s">
        <v>74</v>
      </c>
      <c r="AY135" t="s">
        <v>74</v>
      </c>
      <c r="AZ135" t="s">
        <v>74</v>
      </c>
      <c r="BA135" t="s">
        <v>74</v>
      </c>
      <c r="BB135">
        <v>446</v>
      </c>
      <c r="BC135">
        <v>464</v>
      </c>
      <c r="BD135" t="s">
        <v>74</v>
      </c>
      <c r="BE135" t="s">
        <v>2823</v>
      </c>
      <c r="BF135" t="str">
        <f>HYPERLINK("http://dx.doi.org/10.1111/j.1600-0870.2009.00391.x","http://dx.doi.org/10.1111/j.1600-0870.2009.00391.x")</f>
        <v>http://dx.doi.org/10.1111/j.1600-0870.2009.00391.x</v>
      </c>
      <c r="BG135" t="s">
        <v>74</v>
      </c>
      <c r="BH135" t="s">
        <v>74</v>
      </c>
      <c r="BI135">
        <v>19</v>
      </c>
      <c r="BJ135" t="s">
        <v>2824</v>
      </c>
      <c r="BK135" t="s">
        <v>100</v>
      </c>
      <c r="BL135" t="s">
        <v>2824</v>
      </c>
      <c r="BM135" t="s">
        <v>2825</v>
      </c>
      <c r="BN135" t="s">
        <v>74</v>
      </c>
      <c r="BO135" t="s">
        <v>74</v>
      </c>
      <c r="BP135" t="s">
        <v>74</v>
      </c>
      <c r="BQ135" t="s">
        <v>74</v>
      </c>
      <c r="BR135" t="s">
        <v>103</v>
      </c>
      <c r="BS135" t="s">
        <v>2826</v>
      </c>
      <c r="BT135" t="str">
        <f>HYPERLINK("https%3A%2F%2Fwww.webofscience.com%2Fwos%2Fwoscc%2Ffull-record%2FWOS:000264818900011","View Full Record in Web of Science")</f>
        <v>View Full Record in Web of Science</v>
      </c>
    </row>
    <row r="136" spans="1:72" x14ac:dyDescent="0.15">
      <c r="A136" t="s">
        <v>72</v>
      </c>
      <c r="B136" t="s">
        <v>2827</v>
      </c>
      <c r="C136" t="s">
        <v>74</v>
      </c>
      <c r="D136" t="s">
        <v>74</v>
      </c>
      <c r="E136" t="s">
        <v>74</v>
      </c>
      <c r="F136" t="s">
        <v>2828</v>
      </c>
      <c r="G136" t="s">
        <v>74</v>
      </c>
      <c r="H136" t="s">
        <v>74</v>
      </c>
      <c r="I136" t="s">
        <v>2829</v>
      </c>
      <c r="J136" t="s">
        <v>2830</v>
      </c>
      <c r="K136" t="s">
        <v>74</v>
      </c>
      <c r="L136" t="s">
        <v>74</v>
      </c>
      <c r="M136" t="s">
        <v>78</v>
      </c>
      <c r="N136" t="s">
        <v>79</v>
      </c>
      <c r="O136" t="s">
        <v>74</v>
      </c>
      <c r="P136" t="s">
        <v>74</v>
      </c>
      <c r="Q136" t="s">
        <v>74</v>
      </c>
      <c r="R136" t="s">
        <v>74</v>
      </c>
      <c r="S136" t="s">
        <v>74</v>
      </c>
      <c r="T136" t="s">
        <v>74</v>
      </c>
      <c r="U136" t="s">
        <v>74</v>
      </c>
      <c r="V136" t="s">
        <v>2831</v>
      </c>
      <c r="W136" t="s">
        <v>2832</v>
      </c>
      <c r="X136" t="s">
        <v>389</v>
      </c>
      <c r="Y136" t="s">
        <v>2833</v>
      </c>
      <c r="Z136" t="s">
        <v>74</v>
      </c>
      <c r="AA136" t="s">
        <v>74</v>
      </c>
      <c r="AB136" t="s">
        <v>74</v>
      </c>
      <c r="AC136" t="s">
        <v>74</v>
      </c>
      <c r="AD136" t="s">
        <v>74</v>
      </c>
      <c r="AE136" t="s">
        <v>74</v>
      </c>
      <c r="AF136" t="s">
        <v>74</v>
      </c>
      <c r="AG136">
        <v>11</v>
      </c>
      <c r="AH136">
        <v>1</v>
      </c>
      <c r="AI136">
        <v>1</v>
      </c>
      <c r="AJ136">
        <v>1</v>
      </c>
      <c r="AK136">
        <v>2</v>
      </c>
      <c r="AL136" t="s">
        <v>2834</v>
      </c>
      <c r="AM136" t="s">
        <v>92</v>
      </c>
      <c r="AN136" t="s">
        <v>2835</v>
      </c>
      <c r="AO136" t="s">
        <v>2836</v>
      </c>
      <c r="AP136" t="s">
        <v>2837</v>
      </c>
      <c r="AQ136" t="s">
        <v>74</v>
      </c>
      <c r="AR136" t="s">
        <v>2838</v>
      </c>
      <c r="AS136" t="s">
        <v>2839</v>
      </c>
      <c r="AT136" t="s">
        <v>1077</v>
      </c>
      <c r="AU136">
        <v>2009</v>
      </c>
      <c r="AV136">
        <v>36</v>
      </c>
      <c r="AW136">
        <v>3</v>
      </c>
      <c r="AX136" t="s">
        <v>74</v>
      </c>
      <c r="AY136" t="s">
        <v>74</v>
      </c>
      <c r="AZ136" t="s">
        <v>74</v>
      </c>
      <c r="BA136" t="s">
        <v>74</v>
      </c>
      <c r="BB136">
        <v>261</v>
      </c>
      <c r="BC136">
        <v>272</v>
      </c>
      <c r="BD136" t="s">
        <v>74</v>
      </c>
      <c r="BE136" t="s">
        <v>2840</v>
      </c>
      <c r="BF136" t="str">
        <f>HYPERLINK("http://dx.doi.org/10.1134/S0097807809030026","http://dx.doi.org/10.1134/S0097807809030026")</f>
        <v>http://dx.doi.org/10.1134/S0097807809030026</v>
      </c>
      <c r="BG136" t="s">
        <v>74</v>
      </c>
      <c r="BH136" t="s">
        <v>74</v>
      </c>
      <c r="BI136">
        <v>12</v>
      </c>
      <c r="BJ136" t="s">
        <v>2841</v>
      </c>
      <c r="BK136" t="s">
        <v>100</v>
      </c>
      <c r="BL136" t="s">
        <v>2841</v>
      </c>
      <c r="BM136" t="s">
        <v>2842</v>
      </c>
      <c r="BN136" t="s">
        <v>74</v>
      </c>
      <c r="BO136" t="s">
        <v>74</v>
      </c>
      <c r="BP136" t="s">
        <v>74</v>
      </c>
      <c r="BQ136" t="s">
        <v>74</v>
      </c>
      <c r="BR136" t="s">
        <v>103</v>
      </c>
      <c r="BS136" t="s">
        <v>2843</v>
      </c>
      <c r="BT136" t="str">
        <f>HYPERLINK("https%3A%2F%2Fwww.webofscience.com%2Fwos%2Fwoscc%2Ffull-record%2FWOS:000266168700002","View Full Record in Web of Science")</f>
        <v>View Full Record in Web of Science</v>
      </c>
    </row>
    <row r="137" spans="1:72" x14ac:dyDescent="0.15">
      <c r="A137" t="s">
        <v>72</v>
      </c>
      <c r="B137" t="s">
        <v>2844</v>
      </c>
      <c r="C137" t="s">
        <v>74</v>
      </c>
      <c r="D137" t="s">
        <v>74</v>
      </c>
      <c r="E137" t="s">
        <v>74</v>
      </c>
      <c r="F137" t="s">
        <v>2845</v>
      </c>
      <c r="G137" t="s">
        <v>74</v>
      </c>
      <c r="H137" t="s">
        <v>74</v>
      </c>
      <c r="I137" t="s">
        <v>2846</v>
      </c>
      <c r="J137" t="s">
        <v>504</v>
      </c>
      <c r="K137" t="s">
        <v>74</v>
      </c>
      <c r="L137" t="s">
        <v>74</v>
      </c>
      <c r="M137" t="s">
        <v>78</v>
      </c>
      <c r="N137" t="s">
        <v>79</v>
      </c>
      <c r="O137" t="s">
        <v>74</v>
      </c>
      <c r="P137" t="s">
        <v>74</v>
      </c>
      <c r="Q137" t="s">
        <v>74</v>
      </c>
      <c r="R137" t="s">
        <v>74</v>
      </c>
      <c r="S137" t="s">
        <v>74</v>
      </c>
      <c r="T137" t="s">
        <v>74</v>
      </c>
      <c r="U137" t="s">
        <v>74</v>
      </c>
      <c r="V137" t="s">
        <v>74</v>
      </c>
      <c r="W137" t="s">
        <v>2847</v>
      </c>
      <c r="X137" t="s">
        <v>824</v>
      </c>
      <c r="Y137" t="s">
        <v>2848</v>
      </c>
      <c r="Z137" t="s">
        <v>2849</v>
      </c>
      <c r="AA137" t="s">
        <v>74</v>
      </c>
      <c r="AB137" t="s">
        <v>74</v>
      </c>
      <c r="AC137" t="s">
        <v>74</v>
      </c>
      <c r="AD137" t="s">
        <v>74</v>
      </c>
      <c r="AE137" t="s">
        <v>74</v>
      </c>
      <c r="AF137" t="s">
        <v>74</v>
      </c>
      <c r="AG137">
        <v>12</v>
      </c>
      <c r="AH137">
        <v>8</v>
      </c>
      <c r="AI137">
        <v>8</v>
      </c>
      <c r="AJ137">
        <v>0</v>
      </c>
      <c r="AK137">
        <v>4</v>
      </c>
      <c r="AL137" t="s">
        <v>2124</v>
      </c>
      <c r="AM137" t="s">
        <v>490</v>
      </c>
      <c r="AN137" t="s">
        <v>491</v>
      </c>
      <c r="AO137" t="s">
        <v>507</v>
      </c>
      <c r="AP137" t="s">
        <v>508</v>
      </c>
      <c r="AQ137" t="s">
        <v>74</v>
      </c>
      <c r="AR137" t="s">
        <v>504</v>
      </c>
      <c r="AS137" t="s">
        <v>509</v>
      </c>
      <c r="AT137" t="s">
        <v>1077</v>
      </c>
      <c r="AU137">
        <v>2009</v>
      </c>
      <c r="AV137">
        <v>64</v>
      </c>
      <c r="AW137">
        <v>5</v>
      </c>
      <c r="AX137" t="s">
        <v>74</v>
      </c>
      <c r="AY137" t="s">
        <v>74</v>
      </c>
      <c r="AZ137" t="s">
        <v>74</v>
      </c>
      <c r="BA137" t="s">
        <v>74</v>
      </c>
      <c r="BB137">
        <v>127</v>
      </c>
      <c r="BC137">
        <v>134</v>
      </c>
      <c r="BD137" t="s">
        <v>74</v>
      </c>
      <c r="BE137" t="s">
        <v>2850</v>
      </c>
      <c r="BF137" t="str">
        <f>HYPERLINK("http://dx.doi.org/10.1002/wea.391","http://dx.doi.org/10.1002/wea.391")</f>
        <v>http://dx.doi.org/10.1002/wea.391</v>
      </c>
      <c r="BG137" t="s">
        <v>74</v>
      </c>
      <c r="BH137" t="s">
        <v>74</v>
      </c>
      <c r="BI137">
        <v>8</v>
      </c>
      <c r="BJ137" t="s">
        <v>398</v>
      </c>
      <c r="BK137" t="s">
        <v>100</v>
      </c>
      <c r="BL137" t="s">
        <v>398</v>
      </c>
      <c r="BM137" t="s">
        <v>2851</v>
      </c>
      <c r="BN137" t="s">
        <v>74</v>
      </c>
      <c r="BO137" t="s">
        <v>74</v>
      </c>
      <c r="BP137" t="s">
        <v>74</v>
      </c>
      <c r="BQ137" t="s">
        <v>74</v>
      </c>
      <c r="BR137" t="s">
        <v>103</v>
      </c>
      <c r="BS137" t="s">
        <v>2852</v>
      </c>
      <c r="BT137" t="str">
        <f>HYPERLINK("https%3A%2F%2Fwww.webofscience.com%2Fwos%2Fwoscc%2Ffull-record%2FWOS:000266119400009","View Full Record in Web of Science")</f>
        <v>View Full Record in Web of Science</v>
      </c>
    </row>
    <row r="138" spans="1:72" x14ac:dyDescent="0.15">
      <c r="A138" t="s">
        <v>72</v>
      </c>
      <c r="B138" t="s">
        <v>2853</v>
      </c>
      <c r="C138" t="s">
        <v>74</v>
      </c>
      <c r="D138" t="s">
        <v>74</v>
      </c>
      <c r="E138" t="s">
        <v>74</v>
      </c>
      <c r="F138" t="s">
        <v>2854</v>
      </c>
      <c r="G138" t="s">
        <v>74</v>
      </c>
      <c r="H138" t="s">
        <v>74</v>
      </c>
      <c r="I138" t="s">
        <v>2855</v>
      </c>
      <c r="J138" t="s">
        <v>504</v>
      </c>
      <c r="K138" t="s">
        <v>74</v>
      </c>
      <c r="L138" t="s">
        <v>74</v>
      </c>
      <c r="M138" t="s">
        <v>78</v>
      </c>
      <c r="N138" t="s">
        <v>720</v>
      </c>
      <c r="O138" t="s">
        <v>74</v>
      </c>
      <c r="P138" t="s">
        <v>74</v>
      </c>
      <c r="Q138" t="s">
        <v>74</v>
      </c>
      <c r="R138" t="s">
        <v>74</v>
      </c>
      <c r="S138" t="s">
        <v>74</v>
      </c>
      <c r="T138" t="s">
        <v>74</v>
      </c>
      <c r="U138" t="s">
        <v>74</v>
      </c>
      <c r="V138" t="s">
        <v>74</v>
      </c>
      <c r="W138" t="s">
        <v>2856</v>
      </c>
      <c r="X138" t="s">
        <v>824</v>
      </c>
      <c r="Y138" t="s">
        <v>2857</v>
      </c>
      <c r="Z138" t="s">
        <v>74</v>
      </c>
      <c r="AA138" t="s">
        <v>74</v>
      </c>
      <c r="AB138" t="s">
        <v>74</v>
      </c>
      <c r="AC138" t="s">
        <v>2858</v>
      </c>
      <c r="AD138" t="s">
        <v>1593</v>
      </c>
      <c r="AE138" t="s">
        <v>74</v>
      </c>
      <c r="AF138" t="s">
        <v>74</v>
      </c>
      <c r="AG138">
        <v>2</v>
      </c>
      <c r="AH138">
        <v>0</v>
      </c>
      <c r="AI138">
        <v>0</v>
      </c>
      <c r="AJ138">
        <v>0</v>
      </c>
      <c r="AK138">
        <v>1</v>
      </c>
      <c r="AL138" t="s">
        <v>2859</v>
      </c>
      <c r="AM138" t="s">
        <v>2860</v>
      </c>
      <c r="AN138" t="s">
        <v>2861</v>
      </c>
      <c r="AO138" t="s">
        <v>507</v>
      </c>
      <c r="AP138" t="s">
        <v>74</v>
      </c>
      <c r="AQ138" t="s">
        <v>74</v>
      </c>
      <c r="AR138" t="s">
        <v>504</v>
      </c>
      <c r="AS138" t="s">
        <v>509</v>
      </c>
      <c r="AT138" t="s">
        <v>1077</v>
      </c>
      <c r="AU138">
        <v>2009</v>
      </c>
      <c r="AV138">
        <v>64</v>
      </c>
      <c r="AW138">
        <v>5</v>
      </c>
      <c r="AX138" t="s">
        <v>74</v>
      </c>
      <c r="AY138" t="s">
        <v>74</v>
      </c>
      <c r="AZ138" t="s">
        <v>74</v>
      </c>
      <c r="BA138" t="s">
        <v>74</v>
      </c>
      <c r="BB138">
        <v>139</v>
      </c>
      <c r="BC138">
        <v>139</v>
      </c>
      <c r="BD138" t="s">
        <v>74</v>
      </c>
      <c r="BE138" t="s">
        <v>2862</v>
      </c>
      <c r="BF138" t="str">
        <f>HYPERLINK("http://dx.doi.org/10.1002/wea.406","http://dx.doi.org/10.1002/wea.406")</f>
        <v>http://dx.doi.org/10.1002/wea.406</v>
      </c>
      <c r="BG138" t="s">
        <v>74</v>
      </c>
      <c r="BH138" t="s">
        <v>74</v>
      </c>
      <c r="BI138">
        <v>1</v>
      </c>
      <c r="BJ138" t="s">
        <v>398</v>
      </c>
      <c r="BK138" t="s">
        <v>100</v>
      </c>
      <c r="BL138" t="s">
        <v>398</v>
      </c>
      <c r="BM138" t="s">
        <v>2851</v>
      </c>
      <c r="BN138" t="s">
        <v>74</v>
      </c>
      <c r="BO138" t="s">
        <v>74</v>
      </c>
      <c r="BP138" t="s">
        <v>74</v>
      </c>
      <c r="BQ138" t="s">
        <v>74</v>
      </c>
      <c r="BR138" t="s">
        <v>103</v>
      </c>
      <c r="BS138" t="s">
        <v>2863</v>
      </c>
      <c r="BT138" t="str">
        <f>HYPERLINK("https%3A%2F%2Fwww.webofscience.com%2Fwos%2Fwoscc%2Ffull-record%2FWOS:000266119400012","View Full Record in Web of Science")</f>
        <v>View Full Record in Web of Science</v>
      </c>
    </row>
    <row r="139" spans="1:72" x14ac:dyDescent="0.15">
      <c r="A139" t="s">
        <v>72</v>
      </c>
      <c r="B139" t="s">
        <v>2864</v>
      </c>
      <c r="C139" t="s">
        <v>74</v>
      </c>
      <c r="D139" t="s">
        <v>74</v>
      </c>
      <c r="E139" t="s">
        <v>74</v>
      </c>
      <c r="F139" t="s">
        <v>2865</v>
      </c>
      <c r="G139" t="s">
        <v>74</v>
      </c>
      <c r="H139" t="s">
        <v>74</v>
      </c>
      <c r="I139" t="s">
        <v>2866</v>
      </c>
      <c r="J139" t="s">
        <v>2867</v>
      </c>
      <c r="K139" t="s">
        <v>74</v>
      </c>
      <c r="L139" t="s">
        <v>74</v>
      </c>
      <c r="M139" t="s">
        <v>78</v>
      </c>
      <c r="N139" t="s">
        <v>172</v>
      </c>
      <c r="O139" t="s">
        <v>74</v>
      </c>
      <c r="P139" t="s">
        <v>74</v>
      </c>
      <c r="Q139" t="s">
        <v>74</v>
      </c>
      <c r="R139" t="s">
        <v>74</v>
      </c>
      <c r="S139" t="s">
        <v>74</v>
      </c>
      <c r="T139" t="s">
        <v>74</v>
      </c>
      <c r="U139" t="s">
        <v>2868</v>
      </c>
      <c r="V139" t="s">
        <v>2869</v>
      </c>
      <c r="W139" t="s">
        <v>2870</v>
      </c>
      <c r="X139" t="s">
        <v>2871</v>
      </c>
      <c r="Y139" t="s">
        <v>2872</v>
      </c>
      <c r="Z139" t="s">
        <v>2873</v>
      </c>
      <c r="AA139" t="s">
        <v>74</v>
      </c>
      <c r="AB139" t="s">
        <v>2874</v>
      </c>
      <c r="AC139" t="s">
        <v>2875</v>
      </c>
      <c r="AD139" t="s">
        <v>2876</v>
      </c>
      <c r="AE139" t="s">
        <v>2877</v>
      </c>
      <c r="AF139" t="s">
        <v>74</v>
      </c>
      <c r="AG139">
        <v>183</v>
      </c>
      <c r="AH139">
        <v>52</v>
      </c>
      <c r="AI139">
        <v>61</v>
      </c>
      <c r="AJ139">
        <v>0</v>
      </c>
      <c r="AK139">
        <v>47</v>
      </c>
      <c r="AL139" t="s">
        <v>2878</v>
      </c>
      <c r="AM139" t="s">
        <v>2879</v>
      </c>
      <c r="AN139" t="s">
        <v>2880</v>
      </c>
      <c r="AO139" t="s">
        <v>2881</v>
      </c>
      <c r="AP139" t="s">
        <v>2882</v>
      </c>
      <c r="AQ139" t="s">
        <v>74</v>
      </c>
      <c r="AR139" t="s">
        <v>2883</v>
      </c>
      <c r="AS139" t="s">
        <v>2884</v>
      </c>
      <c r="AT139" t="s">
        <v>2885</v>
      </c>
      <c r="AU139">
        <v>2009</v>
      </c>
      <c r="AV139">
        <v>22</v>
      </c>
      <c r="AW139">
        <v>2</v>
      </c>
      <c r="AX139" t="s">
        <v>74</v>
      </c>
      <c r="AY139" t="s">
        <v>74</v>
      </c>
      <c r="AZ139" t="s">
        <v>74</v>
      </c>
      <c r="BA139" t="s">
        <v>74</v>
      </c>
      <c r="BB139">
        <v>57</v>
      </c>
      <c r="BC139">
        <v>106</v>
      </c>
      <c r="BD139" t="s">
        <v>74</v>
      </c>
      <c r="BE139" t="s">
        <v>2886</v>
      </c>
      <c r="BF139" t="str">
        <f>HYPERLINK("http://dx.doi.org/10.1071/SB08046","http://dx.doi.org/10.1071/SB08046")</f>
        <v>http://dx.doi.org/10.1071/SB08046</v>
      </c>
      <c r="BG139" t="s">
        <v>74</v>
      </c>
      <c r="BH139" t="s">
        <v>74</v>
      </c>
      <c r="BI139">
        <v>50</v>
      </c>
      <c r="BJ139" t="s">
        <v>2887</v>
      </c>
      <c r="BK139" t="s">
        <v>100</v>
      </c>
      <c r="BL139" t="s">
        <v>2887</v>
      </c>
      <c r="BM139" t="s">
        <v>2888</v>
      </c>
      <c r="BN139" t="s">
        <v>74</v>
      </c>
      <c r="BO139" t="s">
        <v>74</v>
      </c>
      <c r="BP139" t="s">
        <v>74</v>
      </c>
      <c r="BQ139" t="s">
        <v>74</v>
      </c>
      <c r="BR139" t="s">
        <v>103</v>
      </c>
      <c r="BS139" t="s">
        <v>2889</v>
      </c>
      <c r="BT139" t="str">
        <f>HYPERLINK("https%3A%2F%2Fwww.webofscience.com%2Fwos%2Fwoscc%2Ffull-record%2FWOS:000265603600001","View Full Record in Web of Science")</f>
        <v>View Full Record in Web of Science</v>
      </c>
    </row>
    <row r="140" spans="1:72" x14ac:dyDescent="0.15">
      <c r="A140" t="s">
        <v>72</v>
      </c>
      <c r="B140" t="s">
        <v>2890</v>
      </c>
      <c r="C140" t="s">
        <v>74</v>
      </c>
      <c r="D140" t="s">
        <v>74</v>
      </c>
      <c r="E140" t="s">
        <v>74</v>
      </c>
      <c r="F140" t="s">
        <v>2891</v>
      </c>
      <c r="G140" t="s">
        <v>74</v>
      </c>
      <c r="H140" t="s">
        <v>74</v>
      </c>
      <c r="I140" t="s">
        <v>2892</v>
      </c>
      <c r="J140" t="s">
        <v>515</v>
      </c>
      <c r="K140" t="s">
        <v>74</v>
      </c>
      <c r="L140" t="s">
        <v>74</v>
      </c>
      <c r="M140" t="s">
        <v>78</v>
      </c>
      <c r="N140" t="s">
        <v>79</v>
      </c>
      <c r="O140" t="s">
        <v>74</v>
      </c>
      <c r="P140" t="s">
        <v>74</v>
      </c>
      <c r="Q140" t="s">
        <v>74</v>
      </c>
      <c r="R140" t="s">
        <v>74</v>
      </c>
      <c r="S140" t="s">
        <v>74</v>
      </c>
      <c r="T140" t="s">
        <v>2893</v>
      </c>
      <c r="U140" t="s">
        <v>2894</v>
      </c>
      <c r="V140" t="s">
        <v>2895</v>
      </c>
      <c r="W140" t="s">
        <v>2896</v>
      </c>
      <c r="X140" t="s">
        <v>2897</v>
      </c>
      <c r="Y140" t="s">
        <v>2898</v>
      </c>
      <c r="Z140" t="s">
        <v>2899</v>
      </c>
      <c r="AA140" t="s">
        <v>2900</v>
      </c>
      <c r="AB140" t="s">
        <v>74</v>
      </c>
      <c r="AC140" t="s">
        <v>2901</v>
      </c>
      <c r="AD140" t="s">
        <v>2902</v>
      </c>
      <c r="AE140" t="s">
        <v>2903</v>
      </c>
      <c r="AF140" t="s">
        <v>74</v>
      </c>
      <c r="AG140">
        <v>43</v>
      </c>
      <c r="AH140">
        <v>69</v>
      </c>
      <c r="AI140">
        <v>84</v>
      </c>
      <c r="AJ140">
        <v>0</v>
      </c>
      <c r="AK140">
        <v>21</v>
      </c>
      <c r="AL140" t="s">
        <v>553</v>
      </c>
      <c r="AM140" t="s">
        <v>252</v>
      </c>
      <c r="AN140" t="s">
        <v>554</v>
      </c>
      <c r="AO140" t="s">
        <v>527</v>
      </c>
      <c r="AP140" t="s">
        <v>528</v>
      </c>
      <c r="AQ140" t="s">
        <v>74</v>
      </c>
      <c r="AR140" t="s">
        <v>529</v>
      </c>
      <c r="AS140" t="s">
        <v>530</v>
      </c>
      <c r="AT140" t="s">
        <v>2885</v>
      </c>
      <c r="AU140">
        <v>2009</v>
      </c>
      <c r="AV140">
        <v>281</v>
      </c>
      <c r="AW140" t="s">
        <v>972</v>
      </c>
      <c r="AX140" t="s">
        <v>74</v>
      </c>
      <c r="AY140" t="s">
        <v>74</v>
      </c>
      <c r="AZ140" t="s">
        <v>74</v>
      </c>
      <c r="BA140" t="s">
        <v>74</v>
      </c>
      <c r="BB140">
        <v>48</v>
      </c>
      <c r="BC140">
        <v>58</v>
      </c>
      <c r="BD140" t="s">
        <v>74</v>
      </c>
      <c r="BE140" t="s">
        <v>2904</v>
      </c>
      <c r="BF140" t="str">
        <f>HYPERLINK("http://dx.doi.org/10.1016/j.epsl.2009.02.006","http://dx.doi.org/10.1016/j.epsl.2009.02.006")</f>
        <v>http://dx.doi.org/10.1016/j.epsl.2009.02.006</v>
      </c>
      <c r="BG140" t="s">
        <v>74</v>
      </c>
      <c r="BH140" t="s">
        <v>74</v>
      </c>
      <c r="BI140">
        <v>11</v>
      </c>
      <c r="BJ140" t="s">
        <v>534</v>
      </c>
      <c r="BK140" t="s">
        <v>100</v>
      </c>
      <c r="BL140" t="s">
        <v>534</v>
      </c>
      <c r="BM140" t="s">
        <v>2905</v>
      </c>
      <c r="BN140" t="s">
        <v>74</v>
      </c>
      <c r="BO140" t="s">
        <v>74</v>
      </c>
      <c r="BP140" t="s">
        <v>74</v>
      </c>
      <c r="BQ140" t="s">
        <v>74</v>
      </c>
      <c r="BR140" t="s">
        <v>103</v>
      </c>
      <c r="BS140" t="s">
        <v>2906</v>
      </c>
      <c r="BT140" t="str">
        <f>HYPERLINK("https%3A%2F%2Fwww.webofscience.com%2Fwos%2Fwoscc%2Ffull-record%2FWOS:000265723100005","View Full Record in Web of Science")</f>
        <v>View Full Record in Web of Science</v>
      </c>
    </row>
    <row r="141" spans="1:72" x14ac:dyDescent="0.15">
      <c r="A141" t="s">
        <v>72</v>
      </c>
      <c r="B141" t="s">
        <v>2907</v>
      </c>
      <c r="C141" t="s">
        <v>74</v>
      </c>
      <c r="D141" t="s">
        <v>74</v>
      </c>
      <c r="E141" t="s">
        <v>74</v>
      </c>
      <c r="F141" t="s">
        <v>2908</v>
      </c>
      <c r="G141" t="s">
        <v>74</v>
      </c>
      <c r="H141" t="s">
        <v>74</v>
      </c>
      <c r="I141" t="s">
        <v>2909</v>
      </c>
      <c r="J141" t="s">
        <v>2910</v>
      </c>
      <c r="K141" t="s">
        <v>74</v>
      </c>
      <c r="L141" t="s">
        <v>74</v>
      </c>
      <c r="M141" t="s">
        <v>78</v>
      </c>
      <c r="N141" t="s">
        <v>79</v>
      </c>
      <c r="O141" t="s">
        <v>74</v>
      </c>
      <c r="P141" t="s">
        <v>74</v>
      </c>
      <c r="Q141" t="s">
        <v>74</v>
      </c>
      <c r="R141" t="s">
        <v>74</v>
      </c>
      <c r="S141" t="s">
        <v>74</v>
      </c>
      <c r="T141" t="s">
        <v>2911</v>
      </c>
      <c r="U141" t="s">
        <v>2912</v>
      </c>
      <c r="V141" t="s">
        <v>2913</v>
      </c>
      <c r="W141" t="s">
        <v>2914</v>
      </c>
      <c r="X141" t="s">
        <v>2915</v>
      </c>
      <c r="Y141" t="s">
        <v>2916</v>
      </c>
      <c r="Z141" t="s">
        <v>2917</v>
      </c>
      <c r="AA141" t="s">
        <v>2918</v>
      </c>
      <c r="AB141" t="s">
        <v>2919</v>
      </c>
      <c r="AC141" t="s">
        <v>2920</v>
      </c>
      <c r="AD141" t="s">
        <v>2921</v>
      </c>
      <c r="AE141" t="s">
        <v>2922</v>
      </c>
      <c r="AF141" t="s">
        <v>74</v>
      </c>
      <c r="AG141">
        <v>54</v>
      </c>
      <c r="AH141">
        <v>34</v>
      </c>
      <c r="AI141">
        <v>38</v>
      </c>
      <c r="AJ141">
        <v>4</v>
      </c>
      <c r="AK141">
        <v>47</v>
      </c>
      <c r="AL141" t="s">
        <v>2923</v>
      </c>
      <c r="AM141" t="s">
        <v>2924</v>
      </c>
      <c r="AN141" t="s">
        <v>2925</v>
      </c>
      <c r="AO141" t="s">
        <v>2926</v>
      </c>
      <c r="AP141" t="s">
        <v>2927</v>
      </c>
      <c r="AQ141" t="s">
        <v>74</v>
      </c>
      <c r="AR141" t="s">
        <v>2928</v>
      </c>
      <c r="AS141" t="s">
        <v>2929</v>
      </c>
      <c r="AT141" t="s">
        <v>2885</v>
      </c>
      <c r="AU141">
        <v>2009</v>
      </c>
      <c r="AV141">
        <v>82</v>
      </c>
      <c r="AW141">
        <v>3</v>
      </c>
      <c r="AX141" t="s">
        <v>74</v>
      </c>
      <c r="AY141" t="s">
        <v>74</v>
      </c>
      <c r="AZ141" t="s">
        <v>74</v>
      </c>
      <c r="BA141" t="s">
        <v>74</v>
      </c>
      <c r="BB141">
        <v>406</v>
      </c>
      <c r="BC141">
        <v>414</v>
      </c>
      <c r="BD141" t="s">
        <v>74</v>
      </c>
      <c r="BE141" t="s">
        <v>2930</v>
      </c>
      <c r="BF141" t="str">
        <f>HYPERLINK("http://dx.doi.org/10.1016/j.ecss.2009.02.004","http://dx.doi.org/10.1016/j.ecss.2009.02.004")</f>
        <v>http://dx.doi.org/10.1016/j.ecss.2009.02.004</v>
      </c>
      <c r="BG141" t="s">
        <v>74</v>
      </c>
      <c r="BH141" t="s">
        <v>74</v>
      </c>
      <c r="BI141">
        <v>9</v>
      </c>
      <c r="BJ141" t="s">
        <v>2107</v>
      </c>
      <c r="BK141" t="s">
        <v>100</v>
      </c>
      <c r="BL141" t="s">
        <v>2107</v>
      </c>
      <c r="BM141" t="s">
        <v>2931</v>
      </c>
      <c r="BN141" t="s">
        <v>74</v>
      </c>
      <c r="BO141" t="s">
        <v>74</v>
      </c>
      <c r="BP141" t="s">
        <v>74</v>
      </c>
      <c r="BQ141" t="s">
        <v>74</v>
      </c>
      <c r="BR141" t="s">
        <v>103</v>
      </c>
      <c r="BS141" t="s">
        <v>2932</v>
      </c>
      <c r="BT141" t="str">
        <f>HYPERLINK("https%3A%2F%2Fwww.webofscience.com%2Fwos%2Fwoscc%2Ffull-record%2FWOS:000265573400005","View Full Record in Web of Science")</f>
        <v>View Full Record in Web of Science</v>
      </c>
    </row>
    <row r="142" spans="1:72" x14ac:dyDescent="0.15">
      <c r="A142" t="s">
        <v>72</v>
      </c>
      <c r="B142" t="s">
        <v>2933</v>
      </c>
      <c r="C142" t="s">
        <v>74</v>
      </c>
      <c r="D142" t="s">
        <v>74</v>
      </c>
      <c r="E142" t="s">
        <v>74</v>
      </c>
      <c r="F142" t="s">
        <v>2934</v>
      </c>
      <c r="G142" t="s">
        <v>74</v>
      </c>
      <c r="H142" t="s">
        <v>74</v>
      </c>
      <c r="I142" t="s">
        <v>2935</v>
      </c>
      <c r="J142" t="s">
        <v>2936</v>
      </c>
      <c r="K142" t="s">
        <v>74</v>
      </c>
      <c r="L142" t="s">
        <v>74</v>
      </c>
      <c r="M142" t="s">
        <v>78</v>
      </c>
      <c r="N142" t="s">
        <v>79</v>
      </c>
      <c r="O142" t="s">
        <v>74</v>
      </c>
      <c r="P142" t="s">
        <v>74</v>
      </c>
      <c r="Q142" t="s">
        <v>74</v>
      </c>
      <c r="R142" t="s">
        <v>74</v>
      </c>
      <c r="S142" t="s">
        <v>74</v>
      </c>
      <c r="T142" t="s">
        <v>2937</v>
      </c>
      <c r="U142" t="s">
        <v>2938</v>
      </c>
      <c r="V142" t="s">
        <v>2939</v>
      </c>
      <c r="W142" t="s">
        <v>2940</v>
      </c>
      <c r="X142" t="s">
        <v>2941</v>
      </c>
      <c r="Y142" t="s">
        <v>2942</v>
      </c>
      <c r="Z142" t="s">
        <v>2943</v>
      </c>
      <c r="AA142" t="s">
        <v>2944</v>
      </c>
      <c r="AB142" t="s">
        <v>2945</v>
      </c>
      <c r="AC142" t="s">
        <v>74</v>
      </c>
      <c r="AD142" t="s">
        <v>74</v>
      </c>
      <c r="AE142" t="s">
        <v>74</v>
      </c>
      <c r="AF142" t="s">
        <v>74</v>
      </c>
      <c r="AG142">
        <v>39</v>
      </c>
      <c r="AH142">
        <v>25</v>
      </c>
      <c r="AI142">
        <v>26</v>
      </c>
      <c r="AJ142">
        <v>0</v>
      </c>
      <c r="AK142">
        <v>16</v>
      </c>
      <c r="AL142" t="s">
        <v>251</v>
      </c>
      <c r="AM142" t="s">
        <v>252</v>
      </c>
      <c r="AN142" t="s">
        <v>253</v>
      </c>
      <c r="AO142" t="s">
        <v>2946</v>
      </c>
      <c r="AP142" t="s">
        <v>2947</v>
      </c>
      <c r="AQ142" t="s">
        <v>74</v>
      </c>
      <c r="AR142" t="s">
        <v>2948</v>
      </c>
      <c r="AS142" t="s">
        <v>2949</v>
      </c>
      <c r="AT142" t="s">
        <v>2885</v>
      </c>
      <c r="AU142">
        <v>2009</v>
      </c>
      <c r="AV142">
        <v>372</v>
      </c>
      <c r="AW142" t="s">
        <v>972</v>
      </c>
      <c r="AX142" t="s">
        <v>74</v>
      </c>
      <c r="AY142" t="s">
        <v>74</v>
      </c>
      <c r="AZ142" t="s">
        <v>74</v>
      </c>
      <c r="BA142" t="s">
        <v>74</v>
      </c>
      <c r="BB142">
        <v>36</v>
      </c>
      <c r="BC142">
        <v>42</v>
      </c>
      <c r="BD142" t="s">
        <v>74</v>
      </c>
      <c r="BE142" t="s">
        <v>2950</v>
      </c>
      <c r="BF142" t="str">
        <f>HYPERLINK("http://dx.doi.org/10.1016/j.jembe.2009.02.006","http://dx.doi.org/10.1016/j.jembe.2009.02.006")</f>
        <v>http://dx.doi.org/10.1016/j.jembe.2009.02.006</v>
      </c>
      <c r="BG142" t="s">
        <v>74</v>
      </c>
      <c r="BH142" t="s">
        <v>74</v>
      </c>
      <c r="BI142">
        <v>7</v>
      </c>
      <c r="BJ142" t="s">
        <v>2951</v>
      </c>
      <c r="BK142" t="s">
        <v>100</v>
      </c>
      <c r="BL142" t="s">
        <v>2952</v>
      </c>
      <c r="BM142" t="s">
        <v>2953</v>
      </c>
      <c r="BN142" t="s">
        <v>74</v>
      </c>
      <c r="BO142" t="s">
        <v>74</v>
      </c>
      <c r="BP142" t="s">
        <v>74</v>
      </c>
      <c r="BQ142" t="s">
        <v>74</v>
      </c>
      <c r="BR142" t="s">
        <v>103</v>
      </c>
      <c r="BS142" t="s">
        <v>2954</v>
      </c>
      <c r="BT142" t="str">
        <f>HYPERLINK("https%3A%2F%2Fwww.webofscience.com%2Fwos%2Fwoscc%2Ffull-record%2FWOS:000265552700005","View Full Record in Web of Science")</f>
        <v>View Full Record in Web of Science</v>
      </c>
    </row>
    <row r="143" spans="1:72" x14ac:dyDescent="0.15">
      <c r="A143" t="s">
        <v>72</v>
      </c>
      <c r="B143" t="s">
        <v>2955</v>
      </c>
      <c r="C143" t="s">
        <v>74</v>
      </c>
      <c r="D143" t="s">
        <v>74</v>
      </c>
      <c r="E143" t="s">
        <v>74</v>
      </c>
      <c r="F143" t="s">
        <v>2956</v>
      </c>
      <c r="G143" t="s">
        <v>74</v>
      </c>
      <c r="H143" t="s">
        <v>74</v>
      </c>
      <c r="I143" t="s">
        <v>2957</v>
      </c>
      <c r="J143" t="s">
        <v>670</v>
      </c>
      <c r="K143" t="s">
        <v>74</v>
      </c>
      <c r="L143" t="s">
        <v>74</v>
      </c>
      <c r="M143" t="s">
        <v>78</v>
      </c>
      <c r="N143" t="s">
        <v>79</v>
      </c>
      <c r="O143" t="s">
        <v>74</v>
      </c>
      <c r="P143" t="s">
        <v>74</v>
      </c>
      <c r="Q143" t="s">
        <v>74</v>
      </c>
      <c r="R143" t="s">
        <v>74</v>
      </c>
      <c r="S143" t="s">
        <v>74</v>
      </c>
      <c r="T143" t="s">
        <v>74</v>
      </c>
      <c r="U143" t="s">
        <v>2958</v>
      </c>
      <c r="V143" t="s">
        <v>2959</v>
      </c>
      <c r="W143" t="s">
        <v>2960</v>
      </c>
      <c r="X143" t="s">
        <v>2961</v>
      </c>
      <c r="Y143" t="s">
        <v>2962</v>
      </c>
      <c r="Z143" t="s">
        <v>2963</v>
      </c>
      <c r="AA143" t="s">
        <v>2964</v>
      </c>
      <c r="AB143" t="s">
        <v>2965</v>
      </c>
      <c r="AC143" t="s">
        <v>2966</v>
      </c>
      <c r="AD143" t="s">
        <v>2818</v>
      </c>
      <c r="AE143" t="s">
        <v>2967</v>
      </c>
      <c r="AF143" t="s">
        <v>74</v>
      </c>
      <c r="AG143">
        <v>24</v>
      </c>
      <c r="AH143">
        <v>39</v>
      </c>
      <c r="AI143">
        <v>40</v>
      </c>
      <c r="AJ143">
        <v>1</v>
      </c>
      <c r="AK143">
        <v>9</v>
      </c>
      <c r="AL143" t="s">
        <v>605</v>
      </c>
      <c r="AM143" t="s">
        <v>606</v>
      </c>
      <c r="AN143" t="s">
        <v>607</v>
      </c>
      <c r="AO143" t="s">
        <v>682</v>
      </c>
      <c r="AP143" t="s">
        <v>683</v>
      </c>
      <c r="AQ143" t="s">
        <v>74</v>
      </c>
      <c r="AR143" t="s">
        <v>684</v>
      </c>
      <c r="AS143" t="s">
        <v>685</v>
      </c>
      <c r="AT143" t="s">
        <v>2885</v>
      </c>
      <c r="AU143">
        <v>2009</v>
      </c>
      <c r="AV143">
        <v>114</v>
      </c>
      <c r="AW143" t="s">
        <v>74</v>
      </c>
      <c r="AX143" t="s">
        <v>74</v>
      </c>
      <c r="AY143" t="s">
        <v>74</v>
      </c>
      <c r="AZ143" t="s">
        <v>74</v>
      </c>
      <c r="BA143" t="s">
        <v>74</v>
      </c>
      <c r="BB143" t="s">
        <v>74</v>
      </c>
      <c r="BC143" t="s">
        <v>74</v>
      </c>
      <c r="BD143" t="s">
        <v>2968</v>
      </c>
      <c r="BE143" t="s">
        <v>2969</v>
      </c>
      <c r="BF143" t="str">
        <f>HYPERLINK("http://dx.doi.org/10.1029/2008JC005106","http://dx.doi.org/10.1029/2008JC005106")</f>
        <v>http://dx.doi.org/10.1029/2008JC005106</v>
      </c>
      <c r="BG143" t="s">
        <v>74</v>
      </c>
      <c r="BH143" t="s">
        <v>74</v>
      </c>
      <c r="BI143">
        <v>15</v>
      </c>
      <c r="BJ143" t="s">
        <v>689</v>
      </c>
      <c r="BK143" t="s">
        <v>100</v>
      </c>
      <c r="BL143" t="s">
        <v>689</v>
      </c>
      <c r="BM143" t="s">
        <v>2970</v>
      </c>
      <c r="BN143" t="s">
        <v>74</v>
      </c>
      <c r="BO143" t="s">
        <v>499</v>
      </c>
      <c r="BP143" t="s">
        <v>74</v>
      </c>
      <c r="BQ143" t="s">
        <v>74</v>
      </c>
      <c r="BR143" t="s">
        <v>103</v>
      </c>
      <c r="BS143" t="s">
        <v>2971</v>
      </c>
      <c r="BT143" t="str">
        <f>HYPERLINK("https%3A%2F%2Fwww.webofscience.com%2Fwos%2Fwoscc%2Ffull-record%2FWOS:000265670800002","View Full Record in Web of Science")</f>
        <v>View Full Record in Web of Science</v>
      </c>
    </row>
    <row r="144" spans="1:72" x14ac:dyDescent="0.15">
      <c r="A144" t="s">
        <v>72</v>
      </c>
      <c r="B144" t="s">
        <v>2972</v>
      </c>
      <c r="C144" t="s">
        <v>74</v>
      </c>
      <c r="D144" t="s">
        <v>74</v>
      </c>
      <c r="E144" t="s">
        <v>74</v>
      </c>
      <c r="F144" t="s">
        <v>2973</v>
      </c>
      <c r="G144" t="s">
        <v>74</v>
      </c>
      <c r="H144" t="s">
        <v>74</v>
      </c>
      <c r="I144" t="s">
        <v>2974</v>
      </c>
      <c r="J144" t="s">
        <v>820</v>
      </c>
      <c r="K144" t="s">
        <v>74</v>
      </c>
      <c r="L144" t="s">
        <v>74</v>
      </c>
      <c r="M144" t="s">
        <v>78</v>
      </c>
      <c r="N144" t="s">
        <v>79</v>
      </c>
      <c r="O144" t="s">
        <v>74</v>
      </c>
      <c r="P144" t="s">
        <v>74</v>
      </c>
      <c r="Q144" t="s">
        <v>74</v>
      </c>
      <c r="R144" t="s">
        <v>74</v>
      </c>
      <c r="S144" t="s">
        <v>74</v>
      </c>
      <c r="T144" t="s">
        <v>74</v>
      </c>
      <c r="U144" t="s">
        <v>2975</v>
      </c>
      <c r="V144" t="s">
        <v>2976</v>
      </c>
      <c r="W144" t="s">
        <v>2977</v>
      </c>
      <c r="X144" t="s">
        <v>2978</v>
      </c>
      <c r="Y144" t="s">
        <v>2979</v>
      </c>
      <c r="Z144" t="s">
        <v>2980</v>
      </c>
      <c r="AA144" t="s">
        <v>2981</v>
      </c>
      <c r="AB144" t="s">
        <v>2982</v>
      </c>
      <c r="AC144" t="s">
        <v>2983</v>
      </c>
      <c r="AD144" t="s">
        <v>2984</v>
      </c>
      <c r="AE144" t="s">
        <v>2985</v>
      </c>
      <c r="AF144" t="s">
        <v>74</v>
      </c>
      <c r="AG144">
        <v>65</v>
      </c>
      <c r="AH144">
        <v>27</v>
      </c>
      <c r="AI144">
        <v>34</v>
      </c>
      <c r="AJ144">
        <v>2</v>
      </c>
      <c r="AK144">
        <v>24</v>
      </c>
      <c r="AL144" t="s">
        <v>605</v>
      </c>
      <c r="AM144" t="s">
        <v>606</v>
      </c>
      <c r="AN144" t="s">
        <v>607</v>
      </c>
      <c r="AO144" t="s">
        <v>831</v>
      </c>
      <c r="AP144" t="s">
        <v>832</v>
      </c>
      <c r="AQ144" t="s">
        <v>74</v>
      </c>
      <c r="AR144" t="s">
        <v>833</v>
      </c>
      <c r="AS144" t="s">
        <v>834</v>
      </c>
      <c r="AT144" t="s">
        <v>2986</v>
      </c>
      <c r="AU144">
        <v>2009</v>
      </c>
      <c r="AV144">
        <v>114</v>
      </c>
      <c r="AW144" t="s">
        <v>74</v>
      </c>
      <c r="AX144" t="s">
        <v>74</v>
      </c>
      <c r="AY144" t="s">
        <v>74</v>
      </c>
      <c r="AZ144" t="s">
        <v>74</v>
      </c>
      <c r="BA144" t="s">
        <v>74</v>
      </c>
      <c r="BB144" t="s">
        <v>74</v>
      </c>
      <c r="BC144" t="s">
        <v>74</v>
      </c>
      <c r="BD144" t="s">
        <v>2987</v>
      </c>
      <c r="BE144" t="s">
        <v>2988</v>
      </c>
      <c r="BF144" t="str">
        <f>HYPERLINK("http://dx.doi.org/10.1029/2008JD011091","http://dx.doi.org/10.1029/2008JD011091")</f>
        <v>http://dx.doi.org/10.1029/2008JD011091</v>
      </c>
      <c r="BG144" t="s">
        <v>74</v>
      </c>
      <c r="BH144" t="s">
        <v>74</v>
      </c>
      <c r="BI144">
        <v>11</v>
      </c>
      <c r="BJ144" t="s">
        <v>398</v>
      </c>
      <c r="BK144" t="s">
        <v>100</v>
      </c>
      <c r="BL144" t="s">
        <v>398</v>
      </c>
      <c r="BM144" t="s">
        <v>2989</v>
      </c>
      <c r="BN144" t="s">
        <v>74</v>
      </c>
      <c r="BO144" t="s">
        <v>499</v>
      </c>
      <c r="BP144" t="s">
        <v>74</v>
      </c>
      <c r="BQ144" t="s">
        <v>74</v>
      </c>
      <c r="BR144" t="s">
        <v>103</v>
      </c>
      <c r="BS144" t="s">
        <v>2990</v>
      </c>
      <c r="BT144" t="str">
        <f>HYPERLINK("https%3A%2F%2Fwww.webofscience.com%2Fwos%2Fwoscc%2Ffull-record%2FWOS:000265667200007","View Full Record in Web of Science")</f>
        <v>View Full Record in Web of Science</v>
      </c>
    </row>
    <row r="145" spans="1:72" x14ac:dyDescent="0.15">
      <c r="A145" t="s">
        <v>72</v>
      </c>
      <c r="B145" t="s">
        <v>2991</v>
      </c>
      <c r="C145" t="s">
        <v>74</v>
      </c>
      <c r="D145" t="s">
        <v>74</v>
      </c>
      <c r="E145" t="s">
        <v>74</v>
      </c>
      <c r="F145" t="s">
        <v>2992</v>
      </c>
      <c r="G145" t="s">
        <v>74</v>
      </c>
      <c r="H145" t="s">
        <v>74</v>
      </c>
      <c r="I145" t="s">
        <v>2993</v>
      </c>
      <c r="J145" t="s">
        <v>862</v>
      </c>
      <c r="K145" t="s">
        <v>74</v>
      </c>
      <c r="L145" t="s">
        <v>74</v>
      </c>
      <c r="M145" t="s">
        <v>78</v>
      </c>
      <c r="N145" t="s">
        <v>79</v>
      </c>
      <c r="O145" t="s">
        <v>74</v>
      </c>
      <c r="P145" t="s">
        <v>74</v>
      </c>
      <c r="Q145" t="s">
        <v>74</v>
      </c>
      <c r="R145" t="s">
        <v>74</v>
      </c>
      <c r="S145" t="s">
        <v>74</v>
      </c>
      <c r="T145" t="s">
        <v>2994</v>
      </c>
      <c r="U145" t="s">
        <v>2995</v>
      </c>
      <c r="V145" t="s">
        <v>2996</v>
      </c>
      <c r="W145" t="s">
        <v>2997</v>
      </c>
      <c r="X145" t="s">
        <v>2998</v>
      </c>
      <c r="Y145" t="s">
        <v>2999</v>
      </c>
      <c r="Z145" t="s">
        <v>3000</v>
      </c>
      <c r="AA145" t="s">
        <v>3001</v>
      </c>
      <c r="AB145" t="s">
        <v>3002</v>
      </c>
      <c r="AC145" t="s">
        <v>3003</v>
      </c>
      <c r="AD145" t="s">
        <v>3004</v>
      </c>
      <c r="AE145" t="s">
        <v>3005</v>
      </c>
      <c r="AF145" t="s">
        <v>74</v>
      </c>
      <c r="AG145">
        <v>47</v>
      </c>
      <c r="AH145">
        <v>42</v>
      </c>
      <c r="AI145">
        <v>42</v>
      </c>
      <c r="AJ145">
        <v>0</v>
      </c>
      <c r="AK145">
        <v>10</v>
      </c>
      <c r="AL145" t="s">
        <v>874</v>
      </c>
      <c r="AM145" t="s">
        <v>606</v>
      </c>
      <c r="AN145" t="s">
        <v>875</v>
      </c>
      <c r="AO145" t="s">
        <v>876</v>
      </c>
      <c r="AP145" t="s">
        <v>74</v>
      </c>
      <c r="AQ145" t="s">
        <v>74</v>
      </c>
      <c r="AR145" t="s">
        <v>877</v>
      </c>
      <c r="AS145" t="s">
        <v>878</v>
      </c>
      <c r="AT145" t="s">
        <v>2986</v>
      </c>
      <c r="AU145">
        <v>2009</v>
      </c>
      <c r="AV145">
        <v>106</v>
      </c>
      <c r="AW145">
        <v>17</v>
      </c>
      <c r="AX145" t="s">
        <v>74</v>
      </c>
      <c r="AY145" t="s">
        <v>74</v>
      </c>
      <c r="AZ145" t="s">
        <v>74</v>
      </c>
      <c r="BA145" t="s">
        <v>74</v>
      </c>
      <c r="BB145">
        <v>6904</v>
      </c>
      <c r="BC145">
        <v>6909</v>
      </c>
      <c r="BD145" t="s">
        <v>74</v>
      </c>
      <c r="BE145" t="s">
        <v>3006</v>
      </c>
      <c r="BF145" t="str">
        <f>HYPERLINK("http://dx.doi.org/10.1073/pnas.0900328106","http://dx.doi.org/10.1073/pnas.0900328106")</f>
        <v>http://dx.doi.org/10.1073/pnas.0900328106</v>
      </c>
      <c r="BG145" t="s">
        <v>74</v>
      </c>
      <c r="BH145" t="s">
        <v>74</v>
      </c>
      <c r="BI145">
        <v>6</v>
      </c>
      <c r="BJ145" t="s">
        <v>790</v>
      </c>
      <c r="BK145" t="s">
        <v>100</v>
      </c>
      <c r="BL145" t="s">
        <v>791</v>
      </c>
      <c r="BM145" t="s">
        <v>3007</v>
      </c>
      <c r="BN145">
        <v>19366660</v>
      </c>
      <c r="BO145" t="s">
        <v>3008</v>
      </c>
      <c r="BP145" t="s">
        <v>74</v>
      </c>
      <c r="BQ145" t="s">
        <v>74</v>
      </c>
      <c r="BR145" t="s">
        <v>103</v>
      </c>
      <c r="BS145" t="s">
        <v>3009</v>
      </c>
      <c r="BT145" t="str">
        <f>HYPERLINK("https%3A%2F%2Fwww.webofscience.com%2Fwos%2Fwoscc%2Ffull-record%2FWOS:000265584500009","View Full Record in Web of Science")</f>
        <v>View Full Record in Web of Science</v>
      </c>
    </row>
    <row r="146" spans="1:72" x14ac:dyDescent="0.15">
      <c r="A146" t="s">
        <v>72</v>
      </c>
      <c r="B146" t="s">
        <v>3010</v>
      </c>
      <c r="C146" t="s">
        <v>74</v>
      </c>
      <c r="D146" t="s">
        <v>74</v>
      </c>
      <c r="E146" t="s">
        <v>74</v>
      </c>
      <c r="F146" t="s">
        <v>3011</v>
      </c>
      <c r="G146" t="s">
        <v>74</v>
      </c>
      <c r="H146" t="s">
        <v>74</v>
      </c>
      <c r="I146" t="s">
        <v>3012</v>
      </c>
      <c r="J146" t="s">
        <v>670</v>
      </c>
      <c r="K146" t="s">
        <v>74</v>
      </c>
      <c r="L146" t="s">
        <v>74</v>
      </c>
      <c r="M146" t="s">
        <v>78</v>
      </c>
      <c r="N146" t="s">
        <v>79</v>
      </c>
      <c r="O146" t="s">
        <v>74</v>
      </c>
      <c r="P146" t="s">
        <v>74</v>
      </c>
      <c r="Q146" t="s">
        <v>74</v>
      </c>
      <c r="R146" t="s">
        <v>74</v>
      </c>
      <c r="S146" t="s">
        <v>74</v>
      </c>
      <c r="T146" t="s">
        <v>74</v>
      </c>
      <c r="U146" t="s">
        <v>3013</v>
      </c>
      <c r="V146" t="s">
        <v>3014</v>
      </c>
      <c r="W146" t="s">
        <v>3015</v>
      </c>
      <c r="X146" t="s">
        <v>3016</v>
      </c>
      <c r="Y146" t="s">
        <v>3017</v>
      </c>
      <c r="Z146" t="s">
        <v>3018</v>
      </c>
      <c r="AA146" t="s">
        <v>74</v>
      </c>
      <c r="AB146" t="s">
        <v>74</v>
      </c>
      <c r="AC146" t="s">
        <v>74</v>
      </c>
      <c r="AD146" t="s">
        <v>74</v>
      </c>
      <c r="AE146" t="s">
        <v>74</v>
      </c>
      <c r="AF146" t="s">
        <v>74</v>
      </c>
      <c r="AG146">
        <v>42</v>
      </c>
      <c r="AH146">
        <v>23</v>
      </c>
      <c r="AI146">
        <v>26</v>
      </c>
      <c r="AJ146">
        <v>0</v>
      </c>
      <c r="AK146">
        <v>15</v>
      </c>
      <c r="AL146" t="s">
        <v>605</v>
      </c>
      <c r="AM146" t="s">
        <v>606</v>
      </c>
      <c r="AN146" t="s">
        <v>607</v>
      </c>
      <c r="AO146" t="s">
        <v>682</v>
      </c>
      <c r="AP146" t="s">
        <v>683</v>
      </c>
      <c r="AQ146" t="s">
        <v>74</v>
      </c>
      <c r="AR146" t="s">
        <v>684</v>
      </c>
      <c r="AS146" t="s">
        <v>685</v>
      </c>
      <c r="AT146" t="s">
        <v>3019</v>
      </c>
      <c r="AU146">
        <v>2009</v>
      </c>
      <c r="AV146">
        <v>114</v>
      </c>
      <c r="AW146" t="s">
        <v>74</v>
      </c>
      <c r="AX146" t="s">
        <v>74</v>
      </c>
      <c r="AY146" t="s">
        <v>74</v>
      </c>
      <c r="AZ146" t="s">
        <v>74</v>
      </c>
      <c r="BA146" t="s">
        <v>74</v>
      </c>
      <c r="BB146" t="s">
        <v>74</v>
      </c>
      <c r="BC146" t="s">
        <v>74</v>
      </c>
      <c r="BD146" t="s">
        <v>3020</v>
      </c>
      <c r="BE146" t="s">
        <v>3021</v>
      </c>
      <c r="BF146" t="str">
        <f>HYPERLINK("http://dx.doi.org/10.1029/2008JC004920","http://dx.doi.org/10.1029/2008JC004920")</f>
        <v>http://dx.doi.org/10.1029/2008JC004920</v>
      </c>
      <c r="BG146" t="s">
        <v>74</v>
      </c>
      <c r="BH146" t="s">
        <v>74</v>
      </c>
      <c r="BI146">
        <v>12</v>
      </c>
      <c r="BJ146" t="s">
        <v>689</v>
      </c>
      <c r="BK146" t="s">
        <v>100</v>
      </c>
      <c r="BL146" t="s">
        <v>689</v>
      </c>
      <c r="BM146" t="s">
        <v>3022</v>
      </c>
      <c r="BN146" t="s">
        <v>74</v>
      </c>
      <c r="BO146" t="s">
        <v>499</v>
      </c>
      <c r="BP146" t="s">
        <v>74</v>
      </c>
      <c r="BQ146" t="s">
        <v>74</v>
      </c>
      <c r="BR146" t="s">
        <v>103</v>
      </c>
      <c r="BS146" t="s">
        <v>3023</v>
      </c>
      <c r="BT146" t="str">
        <f>HYPERLINK("https%3A%2F%2Fwww.webofscience.com%2Fwos%2Fwoscc%2Ffull-record%2FWOS:000265537200004","View Full Record in Web of Science")</f>
        <v>View Full Record in Web of Science</v>
      </c>
    </row>
    <row r="147" spans="1:72" x14ac:dyDescent="0.15">
      <c r="A147" t="s">
        <v>72</v>
      </c>
      <c r="B147" t="s">
        <v>3024</v>
      </c>
      <c r="C147" t="s">
        <v>74</v>
      </c>
      <c r="D147" t="s">
        <v>74</v>
      </c>
      <c r="E147" t="s">
        <v>74</v>
      </c>
      <c r="F147" t="s">
        <v>3025</v>
      </c>
      <c r="G147" t="s">
        <v>74</v>
      </c>
      <c r="H147" t="s">
        <v>74</v>
      </c>
      <c r="I147" t="s">
        <v>3026</v>
      </c>
      <c r="J147" t="s">
        <v>670</v>
      </c>
      <c r="K147" t="s">
        <v>74</v>
      </c>
      <c r="L147" t="s">
        <v>74</v>
      </c>
      <c r="M147" t="s">
        <v>78</v>
      </c>
      <c r="N147" t="s">
        <v>79</v>
      </c>
      <c r="O147" t="s">
        <v>74</v>
      </c>
      <c r="P147" t="s">
        <v>74</v>
      </c>
      <c r="Q147" t="s">
        <v>74</v>
      </c>
      <c r="R147" t="s">
        <v>74</v>
      </c>
      <c r="S147" t="s">
        <v>74</v>
      </c>
      <c r="T147" t="s">
        <v>74</v>
      </c>
      <c r="U147" t="s">
        <v>3027</v>
      </c>
      <c r="V147" t="s">
        <v>3028</v>
      </c>
      <c r="W147" t="s">
        <v>3029</v>
      </c>
      <c r="X147" t="s">
        <v>3030</v>
      </c>
      <c r="Y147" t="s">
        <v>3031</v>
      </c>
      <c r="Z147" t="s">
        <v>3032</v>
      </c>
      <c r="AA147" t="s">
        <v>3033</v>
      </c>
      <c r="AB147" t="s">
        <v>3034</v>
      </c>
      <c r="AC147" t="s">
        <v>3035</v>
      </c>
      <c r="AD147" t="s">
        <v>3036</v>
      </c>
      <c r="AE147" t="s">
        <v>3037</v>
      </c>
      <c r="AF147" t="s">
        <v>74</v>
      </c>
      <c r="AG147">
        <v>61</v>
      </c>
      <c r="AH147">
        <v>44</v>
      </c>
      <c r="AI147">
        <v>47</v>
      </c>
      <c r="AJ147">
        <v>0</v>
      </c>
      <c r="AK147">
        <v>13</v>
      </c>
      <c r="AL147" t="s">
        <v>605</v>
      </c>
      <c r="AM147" t="s">
        <v>606</v>
      </c>
      <c r="AN147" t="s">
        <v>607</v>
      </c>
      <c r="AO147" t="s">
        <v>682</v>
      </c>
      <c r="AP147" t="s">
        <v>683</v>
      </c>
      <c r="AQ147" t="s">
        <v>74</v>
      </c>
      <c r="AR147" t="s">
        <v>684</v>
      </c>
      <c r="AS147" t="s">
        <v>685</v>
      </c>
      <c r="AT147" t="s">
        <v>3019</v>
      </c>
      <c r="AU147">
        <v>2009</v>
      </c>
      <c r="AV147">
        <v>114</v>
      </c>
      <c r="AW147" t="s">
        <v>74</v>
      </c>
      <c r="AX147" t="s">
        <v>74</v>
      </c>
      <c r="AY147" t="s">
        <v>74</v>
      </c>
      <c r="AZ147" t="s">
        <v>74</v>
      </c>
      <c r="BA147" t="s">
        <v>74</v>
      </c>
      <c r="BB147" t="s">
        <v>74</v>
      </c>
      <c r="BC147" t="s">
        <v>74</v>
      </c>
      <c r="BD147" t="s">
        <v>3038</v>
      </c>
      <c r="BE147" t="s">
        <v>3039</v>
      </c>
      <c r="BF147" t="str">
        <f>HYPERLINK("http://dx.doi.org/10.1029/2008JC004995","http://dx.doi.org/10.1029/2008JC004995")</f>
        <v>http://dx.doi.org/10.1029/2008JC004995</v>
      </c>
      <c r="BG147" t="s">
        <v>74</v>
      </c>
      <c r="BH147" t="s">
        <v>74</v>
      </c>
      <c r="BI147">
        <v>18</v>
      </c>
      <c r="BJ147" t="s">
        <v>689</v>
      </c>
      <c r="BK147" t="s">
        <v>100</v>
      </c>
      <c r="BL147" t="s">
        <v>689</v>
      </c>
      <c r="BM147" t="s">
        <v>3022</v>
      </c>
      <c r="BN147" t="s">
        <v>74</v>
      </c>
      <c r="BO147" t="s">
        <v>74</v>
      </c>
      <c r="BP147" t="s">
        <v>74</v>
      </c>
      <c r="BQ147" t="s">
        <v>74</v>
      </c>
      <c r="BR147" t="s">
        <v>103</v>
      </c>
      <c r="BS147" t="s">
        <v>3040</v>
      </c>
      <c r="BT147" t="str">
        <f>HYPERLINK("https%3A%2F%2Fwww.webofscience.com%2Fwos%2Fwoscc%2Ffull-record%2FWOS:000265537200006","View Full Record in Web of Science")</f>
        <v>View Full Record in Web of Science</v>
      </c>
    </row>
    <row r="148" spans="1:72" x14ac:dyDescent="0.15">
      <c r="A148" t="s">
        <v>72</v>
      </c>
      <c r="B148" t="s">
        <v>3041</v>
      </c>
      <c r="C148" t="s">
        <v>74</v>
      </c>
      <c r="D148" t="s">
        <v>74</v>
      </c>
      <c r="E148" t="s">
        <v>74</v>
      </c>
      <c r="F148" t="s">
        <v>3042</v>
      </c>
      <c r="G148" t="s">
        <v>74</v>
      </c>
      <c r="H148" t="s">
        <v>74</v>
      </c>
      <c r="I148" t="s">
        <v>3043</v>
      </c>
      <c r="J148" t="s">
        <v>3044</v>
      </c>
      <c r="K148" t="s">
        <v>74</v>
      </c>
      <c r="L148" t="s">
        <v>74</v>
      </c>
      <c r="M148" t="s">
        <v>78</v>
      </c>
      <c r="N148" t="s">
        <v>79</v>
      </c>
      <c r="O148" t="s">
        <v>74</v>
      </c>
      <c r="P148" t="s">
        <v>74</v>
      </c>
      <c r="Q148" t="s">
        <v>74</v>
      </c>
      <c r="R148" t="s">
        <v>74</v>
      </c>
      <c r="S148" t="s">
        <v>74</v>
      </c>
      <c r="T148" t="s">
        <v>3045</v>
      </c>
      <c r="U148" t="s">
        <v>3046</v>
      </c>
      <c r="V148" t="s">
        <v>3047</v>
      </c>
      <c r="W148" t="s">
        <v>3048</v>
      </c>
      <c r="X148" t="s">
        <v>3049</v>
      </c>
      <c r="Y148" t="s">
        <v>3050</v>
      </c>
      <c r="Z148" t="s">
        <v>3051</v>
      </c>
      <c r="AA148" t="s">
        <v>3052</v>
      </c>
      <c r="AB148" t="s">
        <v>3053</v>
      </c>
      <c r="AC148" t="s">
        <v>74</v>
      </c>
      <c r="AD148" t="s">
        <v>74</v>
      </c>
      <c r="AE148" t="s">
        <v>74</v>
      </c>
      <c r="AF148" t="s">
        <v>74</v>
      </c>
      <c r="AG148">
        <v>21</v>
      </c>
      <c r="AH148">
        <v>48</v>
      </c>
      <c r="AI148">
        <v>60</v>
      </c>
      <c r="AJ148">
        <v>0</v>
      </c>
      <c r="AK148">
        <v>14</v>
      </c>
      <c r="AL148" t="s">
        <v>3054</v>
      </c>
      <c r="AM148" t="s">
        <v>2924</v>
      </c>
      <c r="AN148" t="s">
        <v>3055</v>
      </c>
      <c r="AO148" t="s">
        <v>3056</v>
      </c>
      <c r="AP148" t="s">
        <v>3057</v>
      </c>
      <c r="AQ148" t="s">
        <v>74</v>
      </c>
      <c r="AR148" t="s">
        <v>3058</v>
      </c>
      <c r="AS148" t="s">
        <v>3059</v>
      </c>
      <c r="AT148" t="s">
        <v>3060</v>
      </c>
      <c r="AU148">
        <v>2009</v>
      </c>
      <c r="AV148">
        <v>5</v>
      </c>
      <c r="AW148">
        <v>2</v>
      </c>
      <c r="AX148" t="s">
        <v>74</v>
      </c>
      <c r="AY148" t="s">
        <v>74</v>
      </c>
      <c r="AZ148" t="s">
        <v>74</v>
      </c>
      <c r="BA148" t="s">
        <v>74</v>
      </c>
      <c r="BB148">
        <v>252</v>
      </c>
      <c r="BC148">
        <v>257</v>
      </c>
      <c r="BD148" t="s">
        <v>74</v>
      </c>
      <c r="BE148" t="s">
        <v>3061</v>
      </c>
      <c r="BF148" t="str">
        <f>HYPERLINK("http://dx.doi.org/10.1098/rsbl.2008.0643","http://dx.doi.org/10.1098/rsbl.2008.0643")</f>
        <v>http://dx.doi.org/10.1098/rsbl.2008.0643</v>
      </c>
      <c r="BG148" t="s">
        <v>74</v>
      </c>
      <c r="BH148" t="s">
        <v>74</v>
      </c>
      <c r="BI148">
        <v>6</v>
      </c>
      <c r="BJ148" t="s">
        <v>3062</v>
      </c>
      <c r="BK148" t="s">
        <v>100</v>
      </c>
      <c r="BL148" t="s">
        <v>3063</v>
      </c>
      <c r="BM148" t="s">
        <v>3064</v>
      </c>
      <c r="BN148">
        <v>19147444</v>
      </c>
      <c r="BO148" t="s">
        <v>3065</v>
      </c>
      <c r="BP148" t="s">
        <v>74</v>
      </c>
      <c r="BQ148" t="s">
        <v>74</v>
      </c>
      <c r="BR148" t="s">
        <v>103</v>
      </c>
      <c r="BS148" t="s">
        <v>3066</v>
      </c>
      <c r="BT148" t="str">
        <f>HYPERLINK("https%3A%2F%2Fwww.webofscience.com%2Fwos%2Fwoscc%2Ffull-record%2FWOS:000264371900032","View Full Record in Web of Science")</f>
        <v>View Full Record in Web of Science</v>
      </c>
    </row>
    <row r="149" spans="1:72" x14ac:dyDescent="0.15">
      <c r="A149" t="s">
        <v>72</v>
      </c>
      <c r="B149" t="s">
        <v>3067</v>
      </c>
      <c r="C149" t="s">
        <v>74</v>
      </c>
      <c r="D149" t="s">
        <v>74</v>
      </c>
      <c r="E149" t="s">
        <v>74</v>
      </c>
      <c r="F149" t="s">
        <v>3068</v>
      </c>
      <c r="G149" t="s">
        <v>74</v>
      </c>
      <c r="H149" t="s">
        <v>74</v>
      </c>
      <c r="I149" t="s">
        <v>3069</v>
      </c>
      <c r="J149" t="s">
        <v>645</v>
      </c>
      <c r="K149" t="s">
        <v>74</v>
      </c>
      <c r="L149" t="s">
        <v>74</v>
      </c>
      <c r="M149" t="s">
        <v>78</v>
      </c>
      <c r="N149" t="s">
        <v>79</v>
      </c>
      <c r="O149" t="s">
        <v>74</v>
      </c>
      <c r="P149" t="s">
        <v>74</v>
      </c>
      <c r="Q149" t="s">
        <v>74</v>
      </c>
      <c r="R149" t="s">
        <v>74</v>
      </c>
      <c r="S149" t="s">
        <v>74</v>
      </c>
      <c r="T149" t="s">
        <v>74</v>
      </c>
      <c r="U149" t="s">
        <v>3070</v>
      </c>
      <c r="V149" t="s">
        <v>3071</v>
      </c>
      <c r="W149" t="s">
        <v>3072</v>
      </c>
      <c r="X149" t="s">
        <v>3073</v>
      </c>
      <c r="Y149" t="s">
        <v>3074</v>
      </c>
      <c r="Z149" t="s">
        <v>3075</v>
      </c>
      <c r="AA149" t="s">
        <v>3076</v>
      </c>
      <c r="AB149" t="s">
        <v>3077</v>
      </c>
      <c r="AC149" t="s">
        <v>3078</v>
      </c>
      <c r="AD149" t="s">
        <v>3079</v>
      </c>
      <c r="AE149" t="s">
        <v>3080</v>
      </c>
      <c r="AF149" t="s">
        <v>74</v>
      </c>
      <c r="AG149">
        <v>16</v>
      </c>
      <c r="AH149">
        <v>7</v>
      </c>
      <c r="AI149">
        <v>7</v>
      </c>
      <c r="AJ149">
        <v>0</v>
      </c>
      <c r="AK149">
        <v>10</v>
      </c>
      <c r="AL149" t="s">
        <v>605</v>
      </c>
      <c r="AM149" t="s">
        <v>606</v>
      </c>
      <c r="AN149" t="s">
        <v>607</v>
      </c>
      <c r="AO149" t="s">
        <v>657</v>
      </c>
      <c r="AP149" t="s">
        <v>658</v>
      </c>
      <c r="AQ149" t="s">
        <v>74</v>
      </c>
      <c r="AR149" t="s">
        <v>659</v>
      </c>
      <c r="AS149" t="s">
        <v>660</v>
      </c>
      <c r="AT149" t="s">
        <v>3060</v>
      </c>
      <c r="AU149">
        <v>2009</v>
      </c>
      <c r="AV149">
        <v>36</v>
      </c>
      <c r="AW149" t="s">
        <v>74</v>
      </c>
      <c r="AX149" t="s">
        <v>74</v>
      </c>
      <c r="AY149" t="s">
        <v>74</v>
      </c>
      <c r="AZ149" t="s">
        <v>74</v>
      </c>
      <c r="BA149" t="s">
        <v>74</v>
      </c>
      <c r="BB149" t="s">
        <v>74</v>
      </c>
      <c r="BC149" t="s">
        <v>74</v>
      </c>
      <c r="BD149" t="s">
        <v>3081</v>
      </c>
      <c r="BE149" t="s">
        <v>3082</v>
      </c>
      <c r="BF149" t="str">
        <f>HYPERLINK("http://dx.doi.org/10.1029/2008GL036976","http://dx.doi.org/10.1029/2008GL036976")</f>
        <v>http://dx.doi.org/10.1029/2008GL036976</v>
      </c>
      <c r="BG149" t="s">
        <v>74</v>
      </c>
      <c r="BH149" t="s">
        <v>74</v>
      </c>
      <c r="BI149">
        <v>6</v>
      </c>
      <c r="BJ149" t="s">
        <v>496</v>
      </c>
      <c r="BK149" t="s">
        <v>100</v>
      </c>
      <c r="BL149" t="s">
        <v>497</v>
      </c>
      <c r="BM149" t="s">
        <v>3083</v>
      </c>
      <c r="BN149" t="s">
        <v>74</v>
      </c>
      <c r="BO149" t="s">
        <v>499</v>
      </c>
      <c r="BP149" t="s">
        <v>74</v>
      </c>
      <c r="BQ149" t="s">
        <v>74</v>
      </c>
      <c r="BR149" t="s">
        <v>103</v>
      </c>
      <c r="BS149" t="s">
        <v>3084</v>
      </c>
      <c r="BT149" t="str">
        <f>HYPERLINK("https%3A%2F%2Fwww.webofscience.com%2Fwos%2Fwoscc%2Ffull-record%2FWOS:000265533800003","View Full Record in Web of Science")</f>
        <v>View Full Record in Web of Science</v>
      </c>
    </row>
    <row r="150" spans="1:72" x14ac:dyDescent="0.15">
      <c r="A150" t="s">
        <v>72</v>
      </c>
      <c r="B150" t="s">
        <v>3085</v>
      </c>
      <c r="C150" t="s">
        <v>74</v>
      </c>
      <c r="D150" t="s">
        <v>74</v>
      </c>
      <c r="E150" t="s">
        <v>74</v>
      </c>
      <c r="F150" t="s">
        <v>3086</v>
      </c>
      <c r="G150" t="s">
        <v>74</v>
      </c>
      <c r="H150" t="s">
        <v>74</v>
      </c>
      <c r="I150" t="s">
        <v>3087</v>
      </c>
      <c r="J150" t="s">
        <v>645</v>
      </c>
      <c r="K150" t="s">
        <v>74</v>
      </c>
      <c r="L150" t="s">
        <v>74</v>
      </c>
      <c r="M150" t="s">
        <v>78</v>
      </c>
      <c r="N150" t="s">
        <v>79</v>
      </c>
      <c r="O150" t="s">
        <v>74</v>
      </c>
      <c r="P150" t="s">
        <v>74</v>
      </c>
      <c r="Q150" t="s">
        <v>74</v>
      </c>
      <c r="R150" t="s">
        <v>74</v>
      </c>
      <c r="S150" t="s">
        <v>74</v>
      </c>
      <c r="T150" t="s">
        <v>74</v>
      </c>
      <c r="U150" t="s">
        <v>3088</v>
      </c>
      <c r="V150" t="s">
        <v>3089</v>
      </c>
      <c r="W150" t="s">
        <v>3090</v>
      </c>
      <c r="X150" t="s">
        <v>3091</v>
      </c>
      <c r="Y150" t="s">
        <v>3092</v>
      </c>
      <c r="Z150" t="s">
        <v>3093</v>
      </c>
      <c r="AA150" t="s">
        <v>3094</v>
      </c>
      <c r="AB150" t="s">
        <v>3095</v>
      </c>
      <c r="AC150" t="s">
        <v>3096</v>
      </c>
      <c r="AD150" t="s">
        <v>1593</v>
      </c>
      <c r="AE150" t="s">
        <v>74</v>
      </c>
      <c r="AF150" t="s">
        <v>74</v>
      </c>
      <c r="AG150">
        <v>21</v>
      </c>
      <c r="AH150">
        <v>365</v>
      </c>
      <c r="AI150">
        <v>407</v>
      </c>
      <c r="AJ150">
        <v>2</v>
      </c>
      <c r="AK150">
        <v>95</v>
      </c>
      <c r="AL150" t="s">
        <v>605</v>
      </c>
      <c r="AM150" t="s">
        <v>606</v>
      </c>
      <c r="AN150" t="s">
        <v>607</v>
      </c>
      <c r="AO150" t="s">
        <v>657</v>
      </c>
      <c r="AP150" t="s">
        <v>658</v>
      </c>
      <c r="AQ150" t="s">
        <v>74</v>
      </c>
      <c r="AR150" t="s">
        <v>659</v>
      </c>
      <c r="AS150" t="s">
        <v>660</v>
      </c>
      <c r="AT150" t="s">
        <v>3060</v>
      </c>
      <c r="AU150">
        <v>2009</v>
      </c>
      <c r="AV150">
        <v>36</v>
      </c>
      <c r="AW150" t="s">
        <v>74</v>
      </c>
      <c r="AX150" t="s">
        <v>74</v>
      </c>
      <c r="AY150" t="s">
        <v>74</v>
      </c>
      <c r="AZ150" t="s">
        <v>74</v>
      </c>
      <c r="BA150" t="s">
        <v>74</v>
      </c>
      <c r="BB150" t="s">
        <v>74</v>
      </c>
      <c r="BC150" t="s">
        <v>74</v>
      </c>
      <c r="BD150" t="s">
        <v>3097</v>
      </c>
      <c r="BE150" t="s">
        <v>3098</v>
      </c>
      <c r="BF150" t="str">
        <f>HYPERLINK("http://dx.doi.org/10.1029/2009GL037524","http://dx.doi.org/10.1029/2009GL037524")</f>
        <v>http://dx.doi.org/10.1029/2009GL037524</v>
      </c>
      <c r="BG150" t="s">
        <v>74</v>
      </c>
      <c r="BH150" t="s">
        <v>74</v>
      </c>
      <c r="BI150">
        <v>5</v>
      </c>
      <c r="BJ150" t="s">
        <v>496</v>
      </c>
      <c r="BK150" t="s">
        <v>100</v>
      </c>
      <c r="BL150" t="s">
        <v>497</v>
      </c>
      <c r="BM150" t="s">
        <v>3083</v>
      </c>
      <c r="BN150" t="s">
        <v>74</v>
      </c>
      <c r="BO150" t="s">
        <v>287</v>
      </c>
      <c r="BP150" t="s">
        <v>74</v>
      </c>
      <c r="BQ150" t="s">
        <v>74</v>
      </c>
      <c r="BR150" t="s">
        <v>103</v>
      </c>
      <c r="BS150" t="s">
        <v>3099</v>
      </c>
      <c r="BT150" t="str">
        <f>HYPERLINK("https%3A%2F%2Fwww.webofscience.com%2Fwos%2Fwoscc%2Ffull-record%2FWOS:000265533800005","View Full Record in Web of Science")</f>
        <v>View Full Record in Web of Science</v>
      </c>
    </row>
    <row r="151" spans="1:72" x14ac:dyDescent="0.15">
      <c r="A151" t="s">
        <v>72</v>
      </c>
      <c r="B151" t="s">
        <v>3100</v>
      </c>
      <c r="C151" t="s">
        <v>74</v>
      </c>
      <c r="D151" t="s">
        <v>74</v>
      </c>
      <c r="E151" t="s">
        <v>74</v>
      </c>
      <c r="F151" t="s">
        <v>3101</v>
      </c>
      <c r="G151" t="s">
        <v>74</v>
      </c>
      <c r="H151" t="s">
        <v>74</v>
      </c>
      <c r="I151" t="s">
        <v>3102</v>
      </c>
      <c r="J151" t="s">
        <v>3103</v>
      </c>
      <c r="K151" t="s">
        <v>74</v>
      </c>
      <c r="L151" t="s">
        <v>74</v>
      </c>
      <c r="M151" t="s">
        <v>78</v>
      </c>
      <c r="N151" t="s">
        <v>79</v>
      </c>
      <c r="O151" t="s">
        <v>74</v>
      </c>
      <c r="P151" t="s">
        <v>74</v>
      </c>
      <c r="Q151" t="s">
        <v>74</v>
      </c>
      <c r="R151" t="s">
        <v>74</v>
      </c>
      <c r="S151" t="s">
        <v>74</v>
      </c>
      <c r="T151" t="s">
        <v>74</v>
      </c>
      <c r="U151" t="s">
        <v>3104</v>
      </c>
      <c r="V151" t="s">
        <v>3105</v>
      </c>
      <c r="W151" t="s">
        <v>74</v>
      </c>
      <c r="X151" t="s">
        <v>74</v>
      </c>
      <c r="Y151" t="s">
        <v>3106</v>
      </c>
      <c r="Z151" t="s">
        <v>3107</v>
      </c>
      <c r="AA151" t="s">
        <v>74</v>
      </c>
      <c r="AB151" t="s">
        <v>3108</v>
      </c>
      <c r="AC151" t="s">
        <v>74</v>
      </c>
      <c r="AD151" t="s">
        <v>74</v>
      </c>
      <c r="AE151" t="s">
        <v>74</v>
      </c>
      <c r="AF151" t="s">
        <v>74</v>
      </c>
      <c r="AG151">
        <v>46</v>
      </c>
      <c r="AH151">
        <v>49</v>
      </c>
      <c r="AI151">
        <v>61</v>
      </c>
      <c r="AJ151">
        <v>0</v>
      </c>
      <c r="AK151">
        <v>39</v>
      </c>
      <c r="AL151" t="s">
        <v>3109</v>
      </c>
      <c r="AM151" t="s">
        <v>3110</v>
      </c>
      <c r="AN151" t="s">
        <v>3111</v>
      </c>
      <c r="AO151" t="s">
        <v>3112</v>
      </c>
      <c r="AP151" t="s">
        <v>74</v>
      </c>
      <c r="AQ151" t="s">
        <v>74</v>
      </c>
      <c r="AR151" t="s">
        <v>3103</v>
      </c>
      <c r="AS151" t="s">
        <v>3113</v>
      </c>
      <c r="AT151" t="s">
        <v>3060</v>
      </c>
      <c r="AU151">
        <v>2009</v>
      </c>
      <c r="AV151">
        <v>4</v>
      </c>
      <c r="AW151">
        <v>4</v>
      </c>
      <c r="AX151" t="s">
        <v>74</v>
      </c>
      <c r="AY151" t="s">
        <v>74</v>
      </c>
      <c r="AZ151" t="s">
        <v>74</v>
      </c>
      <c r="BA151" t="s">
        <v>74</v>
      </c>
      <c r="BB151" t="s">
        <v>74</v>
      </c>
      <c r="BC151" t="s">
        <v>74</v>
      </c>
      <c r="BD151" t="s">
        <v>3114</v>
      </c>
      <c r="BE151" t="s">
        <v>3115</v>
      </c>
      <c r="BF151" t="str">
        <f>HYPERLINK("http://dx.doi.org/10.1371/journal.pone.0005252","http://dx.doi.org/10.1371/journal.pone.0005252")</f>
        <v>http://dx.doi.org/10.1371/journal.pone.0005252</v>
      </c>
      <c r="BG151" t="s">
        <v>74</v>
      </c>
      <c r="BH151" t="s">
        <v>74</v>
      </c>
      <c r="BI151">
        <v>9</v>
      </c>
      <c r="BJ151" t="s">
        <v>790</v>
      </c>
      <c r="BK151" t="s">
        <v>100</v>
      </c>
      <c r="BL151" t="s">
        <v>791</v>
      </c>
      <c r="BM151" t="s">
        <v>3116</v>
      </c>
      <c r="BN151">
        <v>19390570</v>
      </c>
      <c r="BO151" t="s">
        <v>3117</v>
      </c>
      <c r="BP151" t="s">
        <v>74</v>
      </c>
      <c r="BQ151" t="s">
        <v>74</v>
      </c>
      <c r="BR151" t="s">
        <v>103</v>
      </c>
      <c r="BS151" t="s">
        <v>3118</v>
      </c>
      <c r="BT151" t="str">
        <f>HYPERLINK("https%3A%2F%2Fwww.webofscience.com%2Fwos%2Fwoscc%2Ffull-record%2FWOS:000265514200002","View Full Record in Web of Science")</f>
        <v>View Full Record in Web of Science</v>
      </c>
    </row>
    <row r="152" spans="1:72" x14ac:dyDescent="0.15">
      <c r="A152" t="s">
        <v>72</v>
      </c>
      <c r="B152" t="s">
        <v>3119</v>
      </c>
      <c r="C152" t="s">
        <v>74</v>
      </c>
      <c r="D152" t="s">
        <v>74</v>
      </c>
      <c r="E152" t="s">
        <v>74</v>
      </c>
      <c r="F152" t="s">
        <v>3120</v>
      </c>
      <c r="G152" t="s">
        <v>74</v>
      </c>
      <c r="H152" t="s">
        <v>74</v>
      </c>
      <c r="I152" t="s">
        <v>3121</v>
      </c>
      <c r="J152" t="s">
        <v>3122</v>
      </c>
      <c r="K152" t="s">
        <v>74</v>
      </c>
      <c r="L152" t="s">
        <v>74</v>
      </c>
      <c r="M152" t="s">
        <v>78</v>
      </c>
      <c r="N152" t="s">
        <v>79</v>
      </c>
      <c r="O152" t="s">
        <v>74</v>
      </c>
      <c r="P152" t="s">
        <v>74</v>
      </c>
      <c r="Q152" t="s">
        <v>74</v>
      </c>
      <c r="R152" t="s">
        <v>74</v>
      </c>
      <c r="S152" t="s">
        <v>74</v>
      </c>
      <c r="T152" t="s">
        <v>3123</v>
      </c>
      <c r="U152" t="s">
        <v>3124</v>
      </c>
      <c r="V152" t="s">
        <v>3125</v>
      </c>
      <c r="W152" t="s">
        <v>3126</v>
      </c>
      <c r="X152" t="s">
        <v>3127</v>
      </c>
      <c r="Y152" t="s">
        <v>3128</v>
      </c>
      <c r="Z152" t="s">
        <v>3129</v>
      </c>
      <c r="AA152" t="s">
        <v>3130</v>
      </c>
      <c r="AB152" t="s">
        <v>3131</v>
      </c>
      <c r="AC152" t="s">
        <v>3132</v>
      </c>
      <c r="AD152" t="s">
        <v>3132</v>
      </c>
      <c r="AE152" t="s">
        <v>3133</v>
      </c>
      <c r="AF152" t="s">
        <v>74</v>
      </c>
      <c r="AG152">
        <v>79</v>
      </c>
      <c r="AH152">
        <v>74</v>
      </c>
      <c r="AI152">
        <v>80</v>
      </c>
      <c r="AJ152">
        <v>0</v>
      </c>
      <c r="AK152">
        <v>70</v>
      </c>
      <c r="AL152" t="s">
        <v>3054</v>
      </c>
      <c r="AM152" t="s">
        <v>2924</v>
      </c>
      <c r="AN152" t="s">
        <v>3055</v>
      </c>
      <c r="AO152" t="s">
        <v>3134</v>
      </c>
      <c r="AP152" t="s">
        <v>74</v>
      </c>
      <c r="AQ152" t="s">
        <v>74</v>
      </c>
      <c r="AR152" t="s">
        <v>3135</v>
      </c>
      <c r="AS152" t="s">
        <v>3136</v>
      </c>
      <c r="AT152" t="s">
        <v>3137</v>
      </c>
      <c r="AU152">
        <v>2009</v>
      </c>
      <c r="AV152">
        <v>276</v>
      </c>
      <c r="AW152">
        <v>1661</v>
      </c>
      <c r="AX152" t="s">
        <v>74</v>
      </c>
      <c r="AY152" t="s">
        <v>74</v>
      </c>
      <c r="AZ152" t="s">
        <v>74</v>
      </c>
      <c r="BA152" t="s">
        <v>74</v>
      </c>
      <c r="BB152">
        <v>1459</v>
      </c>
      <c r="BC152">
        <v>1468</v>
      </c>
      <c r="BD152" t="s">
        <v>74</v>
      </c>
      <c r="BE152" t="s">
        <v>3138</v>
      </c>
      <c r="BF152" t="str">
        <f>HYPERLINK("http://dx.doi.org/10.1098/rspb.2008.1240","http://dx.doi.org/10.1098/rspb.2008.1240")</f>
        <v>http://dx.doi.org/10.1098/rspb.2008.1240</v>
      </c>
      <c r="BG152" t="s">
        <v>74</v>
      </c>
      <c r="BH152" t="s">
        <v>74</v>
      </c>
      <c r="BI152">
        <v>10</v>
      </c>
      <c r="BJ152" t="s">
        <v>3062</v>
      </c>
      <c r="BK152" t="s">
        <v>100</v>
      </c>
      <c r="BL152" t="s">
        <v>3063</v>
      </c>
      <c r="BM152" t="s">
        <v>3139</v>
      </c>
      <c r="BN152">
        <v>19324817</v>
      </c>
      <c r="BO152" t="s">
        <v>217</v>
      </c>
      <c r="BP152" t="s">
        <v>74</v>
      </c>
      <c r="BQ152" t="s">
        <v>74</v>
      </c>
      <c r="BR152" t="s">
        <v>103</v>
      </c>
      <c r="BS152" t="s">
        <v>3140</v>
      </c>
      <c r="BT152" t="str">
        <f>HYPERLINK("https%3A%2F%2Fwww.webofscience.com%2Fwos%2Fwoscc%2Ffull-record%2FWOS:000264351900010","View Full Record in Web of Science")</f>
        <v>View Full Record in Web of Science</v>
      </c>
    </row>
    <row r="153" spans="1:72" x14ac:dyDescent="0.15">
      <c r="A153" t="s">
        <v>72</v>
      </c>
      <c r="B153" t="s">
        <v>3141</v>
      </c>
      <c r="C153" t="s">
        <v>74</v>
      </c>
      <c r="D153" t="s">
        <v>74</v>
      </c>
      <c r="E153" t="s">
        <v>74</v>
      </c>
      <c r="F153" t="s">
        <v>3142</v>
      </c>
      <c r="G153" t="s">
        <v>74</v>
      </c>
      <c r="H153" t="s">
        <v>74</v>
      </c>
      <c r="I153" t="s">
        <v>3143</v>
      </c>
      <c r="J153" t="s">
        <v>645</v>
      </c>
      <c r="K153" t="s">
        <v>74</v>
      </c>
      <c r="L153" t="s">
        <v>74</v>
      </c>
      <c r="M153" t="s">
        <v>78</v>
      </c>
      <c r="N153" t="s">
        <v>79</v>
      </c>
      <c r="O153" t="s">
        <v>74</v>
      </c>
      <c r="P153" t="s">
        <v>74</v>
      </c>
      <c r="Q153" t="s">
        <v>74</v>
      </c>
      <c r="R153" t="s">
        <v>74</v>
      </c>
      <c r="S153" t="s">
        <v>74</v>
      </c>
      <c r="T153" t="s">
        <v>74</v>
      </c>
      <c r="U153" t="s">
        <v>3144</v>
      </c>
      <c r="V153" t="s">
        <v>3145</v>
      </c>
      <c r="W153" t="s">
        <v>3146</v>
      </c>
      <c r="X153" t="s">
        <v>3147</v>
      </c>
      <c r="Y153" t="s">
        <v>3148</v>
      </c>
      <c r="Z153" t="s">
        <v>3149</v>
      </c>
      <c r="AA153" t="s">
        <v>3150</v>
      </c>
      <c r="AB153" t="s">
        <v>3151</v>
      </c>
      <c r="AC153" t="s">
        <v>3152</v>
      </c>
      <c r="AD153" t="s">
        <v>3153</v>
      </c>
      <c r="AE153" t="s">
        <v>3154</v>
      </c>
      <c r="AF153" t="s">
        <v>74</v>
      </c>
      <c r="AG153">
        <v>26</v>
      </c>
      <c r="AH153">
        <v>30</v>
      </c>
      <c r="AI153">
        <v>35</v>
      </c>
      <c r="AJ153">
        <v>0</v>
      </c>
      <c r="AK153">
        <v>19</v>
      </c>
      <c r="AL153" t="s">
        <v>605</v>
      </c>
      <c r="AM153" t="s">
        <v>606</v>
      </c>
      <c r="AN153" t="s">
        <v>607</v>
      </c>
      <c r="AO153" t="s">
        <v>657</v>
      </c>
      <c r="AP153" t="s">
        <v>658</v>
      </c>
      <c r="AQ153" t="s">
        <v>74</v>
      </c>
      <c r="AR153" t="s">
        <v>659</v>
      </c>
      <c r="AS153" t="s">
        <v>660</v>
      </c>
      <c r="AT153" t="s">
        <v>3155</v>
      </c>
      <c r="AU153">
        <v>2009</v>
      </c>
      <c r="AV153">
        <v>36</v>
      </c>
      <c r="AW153" t="s">
        <v>74</v>
      </c>
      <c r="AX153" t="s">
        <v>74</v>
      </c>
      <c r="AY153" t="s">
        <v>74</v>
      </c>
      <c r="AZ153" t="s">
        <v>74</v>
      </c>
      <c r="BA153" t="s">
        <v>74</v>
      </c>
      <c r="BB153" t="s">
        <v>74</v>
      </c>
      <c r="BC153" t="s">
        <v>74</v>
      </c>
      <c r="BD153" t="s">
        <v>3156</v>
      </c>
      <c r="BE153" t="s">
        <v>3157</v>
      </c>
      <c r="BF153" t="str">
        <f>HYPERLINK("http://dx.doi.org/10.1029/2008GL036924","http://dx.doi.org/10.1029/2008GL036924")</f>
        <v>http://dx.doi.org/10.1029/2008GL036924</v>
      </c>
      <c r="BG153" t="s">
        <v>74</v>
      </c>
      <c r="BH153" t="s">
        <v>74</v>
      </c>
      <c r="BI153">
        <v>5</v>
      </c>
      <c r="BJ153" t="s">
        <v>496</v>
      </c>
      <c r="BK153" t="s">
        <v>100</v>
      </c>
      <c r="BL153" t="s">
        <v>497</v>
      </c>
      <c r="BM153" t="s">
        <v>3158</v>
      </c>
      <c r="BN153" t="s">
        <v>74</v>
      </c>
      <c r="BO153" t="s">
        <v>3159</v>
      </c>
      <c r="BP153" t="s">
        <v>74</v>
      </c>
      <c r="BQ153" t="s">
        <v>74</v>
      </c>
      <c r="BR153" t="s">
        <v>103</v>
      </c>
      <c r="BS153" t="s">
        <v>3160</v>
      </c>
      <c r="BT153" t="str">
        <f>HYPERLINK("https%3A%2F%2Fwww.webofscience.com%2Fwos%2Fwoscc%2Ffull-record%2FWOS:000265533400001","View Full Record in Web of Science")</f>
        <v>View Full Record in Web of Science</v>
      </c>
    </row>
    <row r="154" spans="1:72" x14ac:dyDescent="0.15">
      <c r="A154" t="s">
        <v>72</v>
      </c>
      <c r="B154" t="s">
        <v>3161</v>
      </c>
      <c r="C154" t="s">
        <v>74</v>
      </c>
      <c r="D154" t="s">
        <v>74</v>
      </c>
      <c r="E154" t="s">
        <v>74</v>
      </c>
      <c r="F154" t="s">
        <v>3162</v>
      </c>
      <c r="G154" t="s">
        <v>74</v>
      </c>
      <c r="H154" t="s">
        <v>74</v>
      </c>
      <c r="I154" t="s">
        <v>3163</v>
      </c>
      <c r="J154" t="s">
        <v>593</v>
      </c>
      <c r="K154" t="s">
        <v>74</v>
      </c>
      <c r="L154" t="s">
        <v>74</v>
      </c>
      <c r="M154" t="s">
        <v>78</v>
      </c>
      <c r="N154" t="s">
        <v>79</v>
      </c>
      <c r="O154" t="s">
        <v>74</v>
      </c>
      <c r="P154" t="s">
        <v>74</v>
      </c>
      <c r="Q154" t="s">
        <v>74</v>
      </c>
      <c r="R154" t="s">
        <v>74</v>
      </c>
      <c r="S154" t="s">
        <v>74</v>
      </c>
      <c r="T154" t="s">
        <v>74</v>
      </c>
      <c r="U154" t="s">
        <v>3164</v>
      </c>
      <c r="V154" t="s">
        <v>3165</v>
      </c>
      <c r="W154" t="s">
        <v>3166</v>
      </c>
      <c r="X154" t="s">
        <v>3167</v>
      </c>
      <c r="Y154" t="s">
        <v>3168</v>
      </c>
      <c r="Z154" t="s">
        <v>3169</v>
      </c>
      <c r="AA154" t="s">
        <v>3170</v>
      </c>
      <c r="AB154" t="s">
        <v>3171</v>
      </c>
      <c r="AC154" t="s">
        <v>3172</v>
      </c>
      <c r="AD154" t="s">
        <v>3173</v>
      </c>
      <c r="AE154" t="s">
        <v>3174</v>
      </c>
      <c r="AF154" t="s">
        <v>74</v>
      </c>
      <c r="AG154">
        <v>49</v>
      </c>
      <c r="AH154">
        <v>18</v>
      </c>
      <c r="AI154">
        <v>20</v>
      </c>
      <c r="AJ154">
        <v>0</v>
      </c>
      <c r="AK154">
        <v>7</v>
      </c>
      <c r="AL154" t="s">
        <v>605</v>
      </c>
      <c r="AM154" t="s">
        <v>606</v>
      </c>
      <c r="AN154" t="s">
        <v>607</v>
      </c>
      <c r="AO154" t="s">
        <v>608</v>
      </c>
      <c r="AP154" t="s">
        <v>609</v>
      </c>
      <c r="AQ154" t="s">
        <v>74</v>
      </c>
      <c r="AR154" t="s">
        <v>610</v>
      </c>
      <c r="AS154" t="s">
        <v>611</v>
      </c>
      <c r="AT154" t="s">
        <v>3175</v>
      </c>
      <c r="AU154">
        <v>2009</v>
      </c>
      <c r="AV154">
        <v>114</v>
      </c>
      <c r="AW154" t="s">
        <v>74</v>
      </c>
      <c r="AX154" t="s">
        <v>74</v>
      </c>
      <c r="AY154" t="s">
        <v>74</v>
      </c>
      <c r="AZ154" t="s">
        <v>74</v>
      </c>
      <c r="BA154" t="s">
        <v>74</v>
      </c>
      <c r="BB154" t="s">
        <v>74</v>
      </c>
      <c r="BC154" t="s">
        <v>74</v>
      </c>
      <c r="BD154" t="s">
        <v>3176</v>
      </c>
      <c r="BE154" t="s">
        <v>3177</v>
      </c>
      <c r="BF154" t="str">
        <f>HYPERLINK("http://dx.doi.org/10.1029/2008JA013944","http://dx.doi.org/10.1029/2008JA013944")</f>
        <v>http://dx.doi.org/10.1029/2008JA013944</v>
      </c>
      <c r="BG154" t="s">
        <v>74</v>
      </c>
      <c r="BH154" t="s">
        <v>74</v>
      </c>
      <c r="BI154">
        <v>13</v>
      </c>
      <c r="BJ154" t="s">
        <v>285</v>
      </c>
      <c r="BK154" t="s">
        <v>100</v>
      </c>
      <c r="BL154" t="s">
        <v>285</v>
      </c>
      <c r="BM154" t="s">
        <v>3178</v>
      </c>
      <c r="BN154" t="s">
        <v>74</v>
      </c>
      <c r="BO154" t="s">
        <v>74</v>
      </c>
      <c r="BP154" t="s">
        <v>74</v>
      </c>
      <c r="BQ154" t="s">
        <v>74</v>
      </c>
      <c r="BR154" t="s">
        <v>103</v>
      </c>
      <c r="BS154" t="s">
        <v>3179</v>
      </c>
      <c r="BT154" t="str">
        <f>HYPERLINK("https%3A%2F%2Fwww.webofscience.com%2Fwos%2Fwoscc%2Ffull-record%2FWOS:000265332200004","View Full Record in Web of Science")</f>
        <v>View Full Record in Web of Science</v>
      </c>
    </row>
    <row r="155" spans="1:72" x14ac:dyDescent="0.15">
      <c r="A155" t="s">
        <v>72</v>
      </c>
      <c r="B155" t="s">
        <v>3180</v>
      </c>
      <c r="C155" t="s">
        <v>74</v>
      </c>
      <c r="D155" t="s">
        <v>74</v>
      </c>
      <c r="E155" t="s">
        <v>74</v>
      </c>
      <c r="F155" t="s">
        <v>3181</v>
      </c>
      <c r="G155" t="s">
        <v>74</v>
      </c>
      <c r="H155" t="s">
        <v>74</v>
      </c>
      <c r="I155" t="s">
        <v>3182</v>
      </c>
      <c r="J155" t="s">
        <v>772</v>
      </c>
      <c r="K155" t="s">
        <v>74</v>
      </c>
      <c r="L155" t="s">
        <v>74</v>
      </c>
      <c r="M155" t="s">
        <v>78</v>
      </c>
      <c r="N155" t="s">
        <v>79</v>
      </c>
      <c r="O155" t="s">
        <v>74</v>
      </c>
      <c r="P155" t="s">
        <v>74</v>
      </c>
      <c r="Q155" t="s">
        <v>74</v>
      </c>
      <c r="R155" t="s">
        <v>74</v>
      </c>
      <c r="S155" t="s">
        <v>74</v>
      </c>
      <c r="T155" t="s">
        <v>74</v>
      </c>
      <c r="U155" t="s">
        <v>3183</v>
      </c>
      <c r="V155" t="s">
        <v>3184</v>
      </c>
      <c r="W155" t="s">
        <v>3185</v>
      </c>
      <c r="X155" t="s">
        <v>3186</v>
      </c>
      <c r="Y155" t="s">
        <v>3187</v>
      </c>
      <c r="Z155" t="s">
        <v>3188</v>
      </c>
      <c r="AA155" t="s">
        <v>3189</v>
      </c>
      <c r="AB155" t="s">
        <v>3190</v>
      </c>
      <c r="AC155" t="s">
        <v>3191</v>
      </c>
      <c r="AD155" t="s">
        <v>3192</v>
      </c>
      <c r="AE155" t="s">
        <v>3193</v>
      </c>
      <c r="AF155" t="s">
        <v>74</v>
      </c>
      <c r="AG155">
        <v>32</v>
      </c>
      <c r="AH155">
        <v>189</v>
      </c>
      <c r="AI155">
        <v>230</v>
      </c>
      <c r="AJ155">
        <v>6</v>
      </c>
      <c r="AK155">
        <v>136</v>
      </c>
      <c r="AL155" t="s">
        <v>784</v>
      </c>
      <c r="AM155" t="s">
        <v>606</v>
      </c>
      <c r="AN155" t="s">
        <v>785</v>
      </c>
      <c r="AO155" t="s">
        <v>786</v>
      </c>
      <c r="AP155" t="s">
        <v>787</v>
      </c>
      <c r="AQ155" t="s">
        <v>74</v>
      </c>
      <c r="AR155" t="s">
        <v>772</v>
      </c>
      <c r="AS155" t="s">
        <v>788</v>
      </c>
      <c r="AT155" t="s">
        <v>3194</v>
      </c>
      <c r="AU155">
        <v>2009</v>
      </c>
      <c r="AV155">
        <v>324</v>
      </c>
      <c r="AW155">
        <v>5925</v>
      </c>
      <c r="AX155" t="s">
        <v>74</v>
      </c>
      <c r="AY155" t="s">
        <v>74</v>
      </c>
      <c r="AZ155" t="s">
        <v>74</v>
      </c>
      <c r="BA155" t="s">
        <v>74</v>
      </c>
      <c r="BB155">
        <v>397</v>
      </c>
      <c r="BC155">
        <v>400</v>
      </c>
      <c r="BD155" t="s">
        <v>74</v>
      </c>
      <c r="BE155" t="s">
        <v>3195</v>
      </c>
      <c r="BF155" t="str">
        <f>HYPERLINK("http://dx.doi.org/10.1126/science.1167350","http://dx.doi.org/10.1126/science.1167350")</f>
        <v>http://dx.doi.org/10.1126/science.1167350</v>
      </c>
      <c r="BG155" t="s">
        <v>74</v>
      </c>
      <c r="BH155" t="s">
        <v>74</v>
      </c>
      <c r="BI155">
        <v>4</v>
      </c>
      <c r="BJ155" t="s">
        <v>790</v>
      </c>
      <c r="BK155" t="s">
        <v>100</v>
      </c>
      <c r="BL155" t="s">
        <v>791</v>
      </c>
      <c r="BM155" t="s">
        <v>3196</v>
      </c>
      <c r="BN155">
        <v>19372431</v>
      </c>
      <c r="BO155" t="s">
        <v>74</v>
      </c>
      <c r="BP155" t="s">
        <v>74</v>
      </c>
      <c r="BQ155" t="s">
        <v>74</v>
      </c>
      <c r="BR155" t="s">
        <v>103</v>
      </c>
      <c r="BS155" t="s">
        <v>3197</v>
      </c>
      <c r="BT155" t="str">
        <f>HYPERLINK("https%3A%2F%2Fwww.webofscience.com%2Fwos%2Fwoscc%2Ffull-record%2FWOS:000265221600045","View Full Record in Web of Science")</f>
        <v>View Full Record in Web of Science</v>
      </c>
    </row>
    <row r="156" spans="1:72" x14ac:dyDescent="0.15">
      <c r="A156" t="s">
        <v>72</v>
      </c>
      <c r="B156" t="s">
        <v>3198</v>
      </c>
      <c r="C156" t="s">
        <v>74</v>
      </c>
      <c r="D156" t="s">
        <v>74</v>
      </c>
      <c r="E156" t="s">
        <v>74</v>
      </c>
      <c r="F156" t="s">
        <v>3199</v>
      </c>
      <c r="G156" t="s">
        <v>74</v>
      </c>
      <c r="H156" t="s">
        <v>74</v>
      </c>
      <c r="I156" t="s">
        <v>3200</v>
      </c>
      <c r="J156" t="s">
        <v>820</v>
      </c>
      <c r="K156" t="s">
        <v>74</v>
      </c>
      <c r="L156" t="s">
        <v>74</v>
      </c>
      <c r="M156" t="s">
        <v>78</v>
      </c>
      <c r="N156" t="s">
        <v>79</v>
      </c>
      <c r="O156" t="s">
        <v>74</v>
      </c>
      <c r="P156" t="s">
        <v>74</v>
      </c>
      <c r="Q156" t="s">
        <v>74</v>
      </c>
      <c r="R156" t="s">
        <v>74</v>
      </c>
      <c r="S156" t="s">
        <v>74</v>
      </c>
      <c r="T156" t="s">
        <v>74</v>
      </c>
      <c r="U156" t="s">
        <v>3201</v>
      </c>
      <c r="V156" t="s">
        <v>3202</v>
      </c>
      <c r="W156" t="s">
        <v>3203</v>
      </c>
      <c r="X156" t="s">
        <v>3204</v>
      </c>
      <c r="Y156" t="s">
        <v>3205</v>
      </c>
      <c r="Z156" t="s">
        <v>3206</v>
      </c>
      <c r="AA156" t="s">
        <v>3207</v>
      </c>
      <c r="AB156" t="s">
        <v>3208</v>
      </c>
      <c r="AC156" t="s">
        <v>3209</v>
      </c>
      <c r="AD156" t="s">
        <v>1490</v>
      </c>
      <c r="AE156" t="s">
        <v>74</v>
      </c>
      <c r="AF156" t="s">
        <v>74</v>
      </c>
      <c r="AG156">
        <v>70</v>
      </c>
      <c r="AH156">
        <v>36</v>
      </c>
      <c r="AI156">
        <v>43</v>
      </c>
      <c r="AJ156">
        <v>0</v>
      </c>
      <c r="AK156">
        <v>32</v>
      </c>
      <c r="AL156" t="s">
        <v>605</v>
      </c>
      <c r="AM156" t="s">
        <v>606</v>
      </c>
      <c r="AN156" t="s">
        <v>607</v>
      </c>
      <c r="AO156" t="s">
        <v>831</v>
      </c>
      <c r="AP156" t="s">
        <v>832</v>
      </c>
      <c r="AQ156" t="s">
        <v>74</v>
      </c>
      <c r="AR156" t="s">
        <v>833</v>
      </c>
      <c r="AS156" t="s">
        <v>834</v>
      </c>
      <c r="AT156" t="s">
        <v>3210</v>
      </c>
      <c r="AU156">
        <v>2009</v>
      </c>
      <c r="AV156">
        <v>114</v>
      </c>
      <c r="AW156" t="s">
        <v>74</v>
      </c>
      <c r="AX156" t="s">
        <v>74</v>
      </c>
      <c r="AY156" t="s">
        <v>74</v>
      </c>
      <c r="AZ156" t="s">
        <v>74</v>
      </c>
      <c r="BA156" t="s">
        <v>74</v>
      </c>
      <c r="BB156" t="s">
        <v>74</v>
      </c>
      <c r="BC156" t="s">
        <v>74</v>
      </c>
      <c r="BD156" t="s">
        <v>3211</v>
      </c>
      <c r="BE156" t="s">
        <v>3212</v>
      </c>
      <c r="BF156" t="str">
        <f>HYPERLINK("http://dx.doi.org/10.1029/2008JD011215","http://dx.doi.org/10.1029/2008JD011215")</f>
        <v>http://dx.doi.org/10.1029/2008JD011215</v>
      </c>
      <c r="BG156" t="s">
        <v>74</v>
      </c>
      <c r="BH156" t="s">
        <v>74</v>
      </c>
      <c r="BI156">
        <v>9</v>
      </c>
      <c r="BJ156" t="s">
        <v>398</v>
      </c>
      <c r="BK156" t="s">
        <v>100</v>
      </c>
      <c r="BL156" t="s">
        <v>398</v>
      </c>
      <c r="BM156" t="s">
        <v>3213</v>
      </c>
      <c r="BN156" t="s">
        <v>74</v>
      </c>
      <c r="BO156" t="s">
        <v>839</v>
      </c>
      <c r="BP156" t="s">
        <v>74</v>
      </c>
      <c r="BQ156" t="s">
        <v>74</v>
      </c>
      <c r="BR156" t="s">
        <v>103</v>
      </c>
      <c r="BS156" t="s">
        <v>3214</v>
      </c>
      <c r="BT156" t="str">
        <f>HYPERLINK("https%3A%2F%2Fwww.webofscience.com%2Fwos%2Fwoscc%2Ffull-record%2FWOS:000265329200003","View Full Record in Web of Science")</f>
        <v>View Full Record in Web of Science</v>
      </c>
    </row>
    <row r="157" spans="1:72" x14ac:dyDescent="0.15">
      <c r="A157" t="s">
        <v>72</v>
      </c>
      <c r="B157" t="s">
        <v>3215</v>
      </c>
      <c r="C157" t="s">
        <v>74</v>
      </c>
      <c r="D157" t="s">
        <v>74</v>
      </c>
      <c r="E157" t="s">
        <v>74</v>
      </c>
      <c r="F157" t="s">
        <v>3216</v>
      </c>
      <c r="G157" t="s">
        <v>74</v>
      </c>
      <c r="H157" t="s">
        <v>74</v>
      </c>
      <c r="I157" t="s">
        <v>3217</v>
      </c>
      <c r="J157" t="s">
        <v>3218</v>
      </c>
      <c r="K157" t="s">
        <v>74</v>
      </c>
      <c r="L157" t="s">
        <v>74</v>
      </c>
      <c r="M157" t="s">
        <v>78</v>
      </c>
      <c r="N157" t="s">
        <v>720</v>
      </c>
      <c r="O157" t="s">
        <v>74</v>
      </c>
      <c r="P157" t="s">
        <v>74</v>
      </c>
      <c r="Q157" t="s">
        <v>74</v>
      </c>
      <c r="R157" t="s">
        <v>74</v>
      </c>
      <c r="S157" t="s">
        <v>74</v>
      </c>
      <c r="T157" t="s">
        <v>74</v>
      </c>
      <c r="U157" t="s">
        <v>74</v>
      </c>
      <c r="V157" t="s">
        <v>74</v>
      </c>
      <c r="W157" t="s">
        <v>3219</v>
      </c>
      <c r="X157" t="s">
        <v>3220</v>
      </c>
      <c r="Y157" t="s">
        <v>3221</v>
      </c>
      <c r="Z157" t="s">
        <v>3222</v>
      </c>
      <c r="AA157" t="s">
        <v>3223</v>
      </c>
      <c r="AB157" t="s">
        <v>3224</v>
      </c>
      <c r="AC157" t="s">
        <v>74</v>
      </c>
      <c r="AD157" t="s">
        <v>74</v>
      </c>
      <c r="AE157" t="s">
        <v>74</v>
      </c>
      <c r="AF157" t="s">
        <v>74</v>
      </c>
      <c r="AG157">
        <v>1</v>
      </c>
      <c r="AH157">
        <v>5</v>
      </c>
      <c r="AI157">
        <v>6</v>
      </c>
      <c r="AJ157">
        <v>0</v>
      </c>
      <c r="AK157">
        <v>6</v>
      </c>
      <c r="AL157" t="s">
        <v>3225</v>
      </c>
      <c r="AM157" t="s">
        <v>2924</v>
      </c>
      <c r="AN157" t="s">
        <v>3226</v>
      </c>
      <c r="AO157" t="s">
        <v>3227</v>
      </c>
      <c r="AP157" t="s">
        <v>74</v>
      </c>
      <c r="AQ157" t="s">
        <v>74</v>
      </c>
      <c r="AR157" t="s">
        <v>3218</v>
      </c>
      <c r="AS157" t="s">
        <v>3228</v>
      </c>
      <c r="AT157" t="s">
        <v>3210</v>
      </c>
      <c r="AU157">
        <v>2009</v>
      </c>
      <c r="AV157">
        <v>458</v>
      </c>
      <c r="AW157">
        <v>7240</v>
      </c>
      <c r="AX157" t="s">
        <v>74</v>
      </c>
      <c r="AY157" t="s">
        <v>74</v>
      </c>
      <c r="AZ157" t="s">
        <v>74</v>
      </c>
      <c r="BA157" t="s">
        <v>74</v>
      </c>
      <c r="BB157">
        <v>830</v>
      </c>
      <c r="BC157">
        <v>830</v>
      </c>
      <c r="BD157" t="s">
        <v>74</v>
      </c>
      <c r="BE157" t="s">
        <v>3229</v>
      </c>
      <c r="BF157" t="str">
        <f>HYPERLINK("http://dx.doi.org/10.1038/458830b","http://dx.doi.org/10.1038/458830b")</f>
        <v>http://dx.doi.org/10.1038/458830b</v>
      </c>
      <c r="BG157" t="s">
        <v>74</v>
      </c>
      <c r="BH157" t="s">
        <v>74</v>
      </c>
      <c r="BI157">
        <v>1</v>
      </c>
      <c r="BJ157" t="s">
        <v>790</v>
      </c>
      <c r="BK157" t="s">
        <v>100</v>
      </c>
      <c r="BL157" t="s">
        <v>791</v>
      </c>
      <c r="BM157" t="s">
        <v>3230</v>
      </c>
      <c r="BN157">
        <v>19370008</v>
      </c>
      <c r="BO157" t="s">
        <v>499</v>
      </c>
      <c r="BP157" t="s">
        <v>74</v>
      </c>
      <c r="BQ157" t="s">
        <v>74</v>
      </c>
      <c r="BR157" t="s">
        <v>103</v>
      </c>
      <c r="BS157" t="s">
        <v>3231</v>
      </c>
      <c r="BT157" t="str">
        <f>HYPERLINK("https%3A%2F%2Fwww.webofscience.com%2Fwos%2Fwoscc%2Ffull-record%2FWOS:000265182500016","View Full Record in Web of Science")</f>
        <v>View Full Record in Web of Science</v>
      </c>
    </row>
    <row r="158" spans="1:72" x14ac:dyDescent="0.15">
      <c r="A158" t="s">
        <v>72</v>
      </c>
      <c r="B158" t="s">
        <v>3232</v>
      </c>
      <c r="C158" t="s">
        <v>74</v>
      </c>
      <c r="D158" t="s">
        <v>74</v>
      </c>
      <c r="E158" t="s">
        <v>74</v>
      </c>
      <c r="F158" t="s">
        <v>3233</v>
      </c>
      <c r="G158" t="s">
        <v>74</v>
      </c>
      <c r="H158" t="s">
        <v>74</v>
      </c>
      <c r="I158" t="s">
        <v>3234</v>
      </c>
      <c r="J158" t="s">
        <v>515</v>
      </c>
      <c r="K158" t="s">
        <v>74</v>
      </c>
      <c r="L158" t="s">
        <v>74</v>
      </c>
      <c r="M158" t="s">
        <v>78</v>
      </c>
      <c r="N158" t="s">
        <v>79</v>
      </c>
      <c r="O158" t="s">
        <v>74</v>
      </c>
      <c r="P158" t="s">
        <v>74</v>
      </c>
      <c r="Q158" t="s">
        <v>74</v>
      </c>
      <c r="R158" t="s">
        <v>74</v>
      </c>
      <c r="S158" t="s">
        <v>74</v>
      </c>
      <c r="T158" t="s">
        <v>3235</v>
      </c>
      <c r="U158" t="s">
        <v>3236</v>
      </c>
      <c r="V158" t="s">
        <v>3237</v>
      </c>
      <c r="W158" t="s">
        <v>3238</v>
      </c>
      <c r="X158" t="s">
        <v>3239</v>
      </c>
      <c r="Y158" t="s">
        <v>3240</v>
      </c>
      <c r="Z158" t="s">
        <v>3241</v>
      </c>
      <c r="AA158" t="s">
        <v>3242</v>
      </c>
      <c r="AB158" t="s">
        <v>3243</v>
      </c>
      <c r="AC158" t="s">
        <v>3244</v>
      </c>
      <c r="AD158" t="s">
        <v>3245</v>
      </c>
      <c r="AE158" t="s">
        <v>3246</v>
      </c>
      <c r="AF158" t="s">
        <v>74</v>
      </c>
      <c r="AG158">
        <v>43</v>
      </c>
      <c r="AH158">
        <v>213</v>
      </c>
      <c r="AI158">
        <v>242</v>
      </c>
      <c r="AJ158">
        <v>3</v>
      </c>
      <c r="AK158">
        <v>52</v>
      </c>
      <c r="AL158" t="s">
        <v>553</v>
      </c>
      <c r="AM158" t="s">
        <v>252</v>
      </c>
      <c r="AN158" t="s">
        <v>554</v>
      </c>
      <c r="AO158" t="s">
        <v>527</v>
      </c>
      <c r="AP158" t="s">
        <v>528</v>
      </c>
      <c r="AQ158" t="s">
        <v>74</v>
      </c>
      <c r="AR158" t="s">
        <v>529</v>
      </c>
      <c r="AS158" t="s">
        <v>530</v>
      </c>
      <c r="AT158" t="s">
        <v>3247</v>
      </c>
      <c r="AU158">
        <v>2009</v>
      </c>
      <c r="AV158">
        <v>280</v>
      </c>
      <c r="AW158" t="s">
        <v>532</v>
      </c>
      <c r="AX158" t="s">
        <v>74</v>
      </c>
      <c r="AY158" t="s">
        <v>74</v>
      </c>
      <c r="AZ158" t="s">
        <v>74</v>
      </c>
      <c r="BA158" t="s">
        <v>74</v>
      </c>
      <c r="BB158">
        <v>51</v>
      </c>
      <c r="BC158">
        <v>60</v>
      </c>
      <c r="BD158" t="s">
        <v>74</v>
      </c>
      <c r="BE158" t="s">
        <v>3248</v>
      </c>
      <c r="BF158" t="str">
        <f>HYPERLINK("http://dx.doi.org/10.1016/j.epsl.2008.12.027","http://dx.doi.org/10.1016/j.epsl.2008.12.027")</f>
        <v>http://dx.doi.org/10.1016/j.epsl.2008.12.027</v>
      </c>
      <c r="BG158" t="s">
        <v>74</v>
      </c>
      <c r="BH158" t="s">
        <v>74</v>
      </c>
      <c r="BI158">
        <v>10</v>
      </c>
      <c r="BJ158" t="s">
        <v>534</v>
      </c>
      <c r="BK158" t="s">
        <v>100</v>
      </c>
      <c r="BL158" t="s">
        <v>534</v>
      </c>
      <c r="BM158" t="s">
        <v>3249</v>
      </c>
      <c r="BN158" t="s">
        <v>74</v>
      </c>
      <c r="BO158" t="s">
        <v>74</v>
      </c>
      <c r="BP158" t="s">
        <v>74</v>
      </c>
      <c r="BQ158" t="s">
        <v>74</v>
      </c>
      <c r="BR158" t="s">
        <v>103</v>
      </c>
      <c r="BS158" t="s">
        <v>3250</v>
      </c>
      <c r="BT158" t="str">
        <f>HYPERLINK("https%3A%2F%2Fwww.webofscience.com%2Fwos%2Fwoscc%2Ffull-record%2FWOS:000265594800003","View Full Record in Web of Science")</f>
        <v>View Full Record in Web of Science</v>
      </c>
    </row>
    <row r="159" spans="1:72" x14ac:dyDescent="0.15">
      <c r="A159" t="s">
        <v>72</v>
      </c>
      <c r="B159" t="s">
        <v>3251</v>
      </c>
      <c r="C159" t="s">
        <v>74</v>
      </c>
      <c r="D159" t="s">
        <v>74</v>
      </c>
      <c r="E159" t="s">
        <v>74</v>
      </c>
      <c r="F159" t="s">
        <v>3252</v>
      </c>
      <c r="G159" t="s">
        <v>74</v>
      </c>
      <c r="H159" t="s">
        <v>74</v>
      </c>
      <c r="I159" t="s">
        <v>3253</v>
      </c>
      <c r="J159" t="s">
        <v>515</v>
      </c>
      <c r="K159" t="s">
        <v>74</v>
      </c>
      <c r="L159" t="s">
        <v>74</v>
      </c>
      <c r="M159" t="s">
        <v>78</v>
      </c>
      <c r="N159" t="s">
        <v>79</v>
      </c>
      <c r="O159" t="s">
        <v>74</v>
      </c>
      <c r="P159" t="s">
        <v>74</v>
      </c>
      <c r="Q159" t="s">
        <v>74</v>
      </c>
      <c r="R159" t="s">
        <v>74</v>
      </c>
      <c r="S159" t="s">
        <v>74</v>
      </c>
      <c r="T159" t="s">
        <v>3254</v>
      </c>
      <c r="U159" t="s">
        <v>3255</v>
      </c>
      <c r="V159" t="s">
        <v>3256</v>
      </c>
      <c r="W159" t="s">
        <v>3257</v>
      </c>
      <c r="X159" t="s">
        <v>3258</v>
      </c>
      <c r="Y159" t="s">
        <v>3259</v>
      </c>
      <c r="Z159" t="s">
        <v>3260</v>
      </c>
      <c r="AA159" t="s">
        <v>74</v>
      </c>
      <c r="AB159" t="s">
        <v>3261</v>
      </c>
      <c r="AC159" t="s">
        <v>3262</v>
      </c>
      <c r="AD159" t="s">
        <v>3263</v>
      </c>
      <c r="AE159" t="s">
        <v>3264</v>
      </c>
      <c r="AF159" t="s">
        <v>74</v>
      </c>
      <c r="AG159">
        <v>65</v>
      </c>
      <c r="AH159">
        <v>126</v>
      </c>
      <c r="AI159">
        <v>131</v>
      </c>
      <c r="AJ159">
        <v>5</v>
      </c>
      <c r="AK159">
        <v>43</v>
      </c>
      <c r="AL159" t="s">
        <v>553</v>
      </c>
      <c r="AM159" t="s">
        <v>252</v>
      </c>
      <c r="AN159" t="s">
        <v>554</v>
      </c>
      <c r="AO159" t="s">
        <v>527</v>
      </c>
      <c r="AP159" t="s">
        <v>528</v>
      </c>
      <c r="AQ159" t="s">
        <v>74</v>
      </c>
      <c r="AR159" t="s">
        <v>529</v>
      </c>
      <c r="AS159" t="s">
        <v>530</v>
      </c>
      <c r="AT159" t="s">
        <v>3247</v>
      </c>
      <c r="AU159">
        <v>2009</v>
      </c>
      <c r="AV159">
        <v>280</v>
      </c>
      <c r="AW159" t="s">
        <v>532</v>
      </c>
      <c r="AX159" t="s">
        <v>74</v>
      </c>
      <c r="AY159" t="s">
        <v>74</v>
      </c>
      <c r="AZ159" t="s">
        <v>74</v>
      </c>
      <c r="BA159" t="s">
        <v>74</v>
      </c>
      <c r="BB159">
        <v>118</v>
      </c>
      <c r="BC159">
        <v>127</v>
      </c>
      <c r="BD159" t="s">
        <v>74</v>
      </c>
      <c r="BE159" t="s">
        <v>3265</v>
      </c>
      <c r="BF159" t="str">
        <f>HYPERLINK("http://dx.doi.org/10.1016/j.epsl.2009.01.026","http://dx.doi.org/10.1016/j.epsl.2009.01.026")</f>
        <v>http://dx.doi.org/10.1016/j.epsl.2009.01.026</v>
      </c>
      <c r="BG159" t="s">
        <v>74</v>
      </c>
      <c r="BH159" t="s">
        <v>74</v>
      </c>
      <c r="BI159">
        <v>10</v>
      </c>
      <c r="BJ159" t="s">
        <v>534</v>
      </c>
      <c r="BK159" t="s">
        <v>100</v>
      </c>
      <c r="BL159" t="s">
        <v>534</v>
      </c>
      <c r="BM159" t="s">
        <v>3249</v>
      </c>
      <c r="BN159" t="s">
        <v>74</v>
      </c>
      <c r="BO159" t="s">
        <v>74</v>
      </c>
      <c r="BP159" t="s">
        <v>74</v>
      </c>
      <c r="BQ159" t="s">
        <v>74</v>
      </c>
      <c r="BR159" t="s">
        <v>103</v>
      </c>
      <c r="BS159" t="s">
        <v>3266</v>
      </c>
      <c r="BT159" t="str">
        <f>HYPERLINK("https%3A%2F%2Fwww.webofscience.com%2Fwos%2Fwoscc%2Ffull-record%2FWOS:000265594800009","View Full Record in Web of Science")</f>
        <v>View Full Record in Web of Science</v>
      </c>
    </row>
    <row r="160" spans="1:72" x14ac:dyDescent="0.15">
      <c r="A160" t="s">
        <v>72</v>
      </c>
      <c r="B160" t="s">
        <v>3267</v>
      </c>
      <c r="C160" t="s">
        <v>74</v>
      </c>
      <c r="D160" t="s">
        <v>74</v>
      </c>
      <c r="E160" t="s">
        <v>74</v>
      </c>
      <c r="F160" t="s">
        <v>3268</v>
      </c>
      <c r="G160" t="s">
        <v>74</v>
      </c>
      <c r="H160" t="s">
        <v>74</v>
      </c>
      <c r="I160" t="s">
        <v>3269</v>
      </c>
      <c r="J160" t="s">
        <v>515</v>
      </c>
      <c r="K160" t="s">
        <v>74</v>
      </c>
      <c r="L160" t="s">
        <v>74</v>
      </c>
      <c r="M160" t="s">
        <v>78</v>
      </c>
      <c r="N160" t="s">
        <v>79</v>
      </c>
      <c r="O160" t="s">
        <v>74</v>
      </c>
      <c r="P160" t="s">
        <v>74</v>
      </c>
      <c r="Q160" t="s">
        <v>74</v>
      </c>
      <c r="R160" t="s">
        <v>74</v>
      </c>
      <c r="S160" t="s">
        <v>74</v>
      </c>
      <c r="T160" t="s">
        <v>3270</v>
      </c>
      <c r="U160" t="s">
        <v>3271</v>
      </c>
      <c r="V160" t="s">
        <v>3272</v>
      </c>
      <c r="W160" t="s">
        <v>3273</v>
      </c>
      <c r="X160" t="s">
        <v>3274</v>
      </c>
      <c r="Y160" t="s">
        <v>3275</v>
      </c>
      <c r="Z160" t="s">
        <v>3276</v>
      </c>
      <c r="AA160" t="s">
        <v>3277</v>
      </c>
      <c r="AB160" t="s">
        <v>3278</v>
      </c>
      <c r="AC160" t="s">
        <v>3279</v>
      </c>
      <c r="AD160" t="s">
        <v>3280</v>
      </c>
      <c r="AE160" t="s">
        <v>3281</v>
      </c>
      <c r="AF160" t="s">
        <v>74</v>
      </c>
      <c r="AG160">
        <v>40</v>
      </c>
      <c r="AH160">
        <v>58</v>
      </c>
      <c r="AI160">
        <v>64</v>
      </c>
      <c r="AJ160">
        <v>0</v>
      </c>
      <c r="AK160">
        <v>20</v>
      </c>
      <c r="AL160" t="s">
        <v>251</v>
      </c>
      <c r="AM160" t="s">
        <v>252</v>
      </c>
      <c r="AN160" t="s">
        <v>253</v>
      </c>
      <c r="AO160" t="s">
        <v>527</v>
      </c>
      <c r="AP160" t="s">
        <v>528</v>
      </c>
      <c r="AQ160" t="s">
        <v>74</v>
      </c>
      <c r="AR160" t="s">
        <v>529</v>
      </c>
      <c r="AS160" t="s">
        <v>530</v>
      </c>
      <c r="AT160" t="s">
        <v>3247</v>
      </c>
      <c r="AU160">
        <v>2009</v>
      </c>
      <c r="AV160">
        <v>280</v>
      </c>
      <c r="AW160" t="s">
        <v>532</v>
      </c>
      <c r="AX160" t="s">
        <v>74</v>
      </c>
      <c r="AY160" t="s">
        <v>74</v>
      </c>
      <c r="AZ160" t="s">
        <v>74</v>
      </c>
      <c r="BA160" t="s">
        <v>74</v>
      </c>
      <c r="BB160">
        <v>220</v>
      </c>
      <c r="BC160">
        <v>228</v>
      </c>
      <c r="BD160" t="s">
        <v>74</v>
      </c>
      <c r="BE160" t="s">
        <v>3282</v>
      </c>
      <c r="BF160" t="str">
        <f>HYPERLINK("http://dx.doi.org/10.1016/j.epsl.2009.01.037","http://dx.doi.org/10.1016/j.epsl.2009.01.037")</f>
        <v>http://dx.doi.org/10.1016/j.epsl.2009.01.037</v>
      </c>
      <c r="BG160" t="s">
        <v>74</v>
      </c>
      <c r="BH160" t="s">
        <v>74</v>
      </c>
      <c r="BI160">
        <v>9</v>
      </c>
      <c r="BJ160" t="s">
        <v>534</v>
      </c>
      <c r="BK160" t="s">
        <v>100</v>
      </c>
      <c r="BL160" t="s">
        <v>534</v>
      </c>
      <c r="BM160" t="s">
        <v>3249</v>
      </c>
      <c r="BN160" t="s">
        <v>74</v>
      </c>
      <c r="BO160" t="s">
        <v>499</v>
      </c>
      <c r="BP160" t="s">
        <v>74</v>
      </c>
      <c r="BQ160" t="s">
        <v>74</v>
      </c>
      <c r="BR160" t="s">
        <v>103</v>
      </c>
      <c r="BS160" t="s">
        <v>3283</v>
      </c>
      <c r="BT160" t="str">
        <f>HYPERLINK("https%3A%2F%2Fwww.webofscience.com%2Fwos%2Fwoscc%2Ffull-record%2FWOS:000265594800020","View Full Record in Web of Science")</f>
        <v>View Full Record in Web of Science</v>
      </c>
    </row>
    <row r="161" spans="1:72" x14ac:dyDescent="0.15">
      <c r="A161" t="s">
        <v>72</v>
      </c>
      <c r="B161" t="s">
        <v>3284</v>
      </c>
      <c r="C161" t="s">
        <v>74</v>
      </c>
      <c r="D161" t="s">
        <v>74</v>
      </c>
      <c r="E161" t="s">
        <v>74</v>
      </c>
      <c r="F161" t="s">
        <v>3285</v>
      </c>
      <c r="G161" t="s">
        <v>74</v>
      </c>
      <c r="H161" t="s">
        <v>74</v>
      </c>
      <c r="I161" t="s">
        <v>3286</v>
      </c>
      <c r="J161" t="s">
        <v>515</v>
      </c>
      <c r="K161" t="s">
        <v>74</v>
      </c>
      <c r="L161" t="s">
        <v>74</v>
      </c>
      <c r="M161" t="s">
        <v>78</v>
      </c>
      <c r="N161" t="s">
        <v>79</v>
      </c>
      <c r="O161" t="s">
        <v>74</v>
      </c>
      <c r="P161" t="s">
        <v>74</v>
      </c>
      <c r="Q161" t="s">
        <v>74</v>
      </c>
      <c r="R161" t="s">
        <v>74</v>
      </c>
      <c r="S161" t="s">
        <v>74</v>
      </c>
      <c r="T161" t="s">
        <v>3287</v>
      </c>
      <c r="U161" t="s">
        <v>3288</v>
      </c>
      <c r="V161" t="s">
        <v>3289</v>
      </c>
      <c r="W161" t="s">
        <v>3290</v>
      </c>
      <c r="X161" t="s">
        <v>3291</v>
      </c>
      <c r="Y161" t="s">
        <v>3292</v>
      </c>
      <c r="Z161" t="s">
        <v>3293</v>
      </c>
      <c r="AA161" t="s">
        <v>3294</v>
      </c>
      <c r="AB161" t="s">
        <v>3295</v>
      </c>
      <c r="AC161" t="s">
        <v>3296</v>
      </c>
      <c r="AD161" t="s">
        <v>3297</v>
      </c>
      <c r="AE161" t="s">
        <v>3298</v>
      </c>
      <c r="AF161" t="s">
        <v>74</v>
      </c>
      <c r="AG161">
        <v>68</v>
      </c>
      <c r="AH161">
        <v>104</v>
      </c>
      <c r="AI161">
        <v>121</v>
      </c>
      <c r="AJ161">
        <v>2</v>
      </c>
      <c r="AK161">
        <v>43</v>
      </c>
      <c r="AL161" t="s">
        <v>553</v>
      </c>
      <c r="AM161" t="s">
        <v>252</v>
      </c>
      <c r="AN161" t="s">
        <v>554</v>
      </c>
      <c r="AO161" t="s">
        <v>527</v>
      </c>
      <c r="AP161" t="s">
        <v>528</v>
      </c>
      <c r="AQ161" t="s">
        <v>74</v>
      </c>
      <c r="AR161" t="s">
        <v>529</v>
      </c>
      <c r="AS161" t="s">
        <v>530</v>
      </c>
      <c r="AT161" t="s">
        <v>3247</v>
      </c>
      <c r="AU161">
        <v>2009</v>
      </c>
      <c r="AV161">
        <v>280</v>
      </c>
      <c r="AW161" t="s">
        <v>532</v>
      </c>
      <c r="AX161" t="s">
        <v>74</v>
      </c>
      <c r="AY161" t="s">
        <v>74</v>
      </c>
      <c r="AZ161" t="s">
        <v>74</v>
      </c>
      <c r="BA161" t="s">
        <v>74</v>
      </c>
      <c r="BB161">
        <v>285</v>
      </c>
      <c r="BC161">
        <v>295</v>
      </c>
      <c r="BD161" t="s">
        <v>74</v>
      </c>
      <c r="BE161" t="s">
        <v>3299</v>
      </c>
      <c r="BF161" t="str">
        <f>HYPERLINK("http://dx.doi.org/10.1016/j.epsl.2009.01.042","http://dx.doi.org/10.1016/j.epsl.2009.01.042")</f>
        <v>http://dx.doi.org/10.1016/j.epsl.2009.01.042</v>
      </c>
      <c r="BG161" t="s">
        <v>74</v>
      </c>
      <c r="BH161" t="s">
        <v>74</v>
      </c>
      <c r="BI161">
        <v>11</v>
      </c>
      <c r="BJ161" t="s">
        <v>534</v>
      </c>
      <c r="BK161" t="s">
        <v>100</v>
      </c>
      <c r="BL161" t="s">
        <v>534</v>
      </c>
      <c r="BM161" t="s">
        <v>3249</v>
      </c>
      <c r="BN161" t="s">
        <v>74</v>
      </c>
      <c r="BO161" t="s">
        <v>74</v>
      </c>
      <c r="BP161" t="s">
        <v>74</v>
      </c>
      <c r="BQ161" t="s">
        <v>74</v>
      </c>
      <c r="BR161" t="s">
        <v>103</v>
      </c>
      <c r="BS161" t="s">
        <v>3300</v>
      </c>
      <c r="BT161" t="str">
        <f>HYPERLINK("https%3A%2F%2Fwww.webofscience.com%2Fwos%2Fwoscc%2Ffull-record%2FWOS:000265594800027","View Full Record in Web of Science")</f>
        <v>View Full Record in Web of Science</v>
      </c>
    </row>
    <row r="162" spans="1:72" x14ac:dyDescent="0.15">
      <c r="A162" t="s">
        <v>72</v>
      </c>
      <c r="B162" t="s">
        <v>3301</v>
      </c>
      <c r="C162" t="s">
        <v>74</v>
      </c>
      <c r="D162" t="s">
        <v>74</v>
      </c>
      <c r="E162" t="s">
        <v>74</v>
      </c>
      <c r="F162" t="s">
        <v>3302</v>
      </c>
      <c r="G162" t="s">
        <v>74</v>
      </c>
      <c r="H162" t="s">
        <v>74</v>
      </c>
      <c r="I162" t="s">
        <v>3303</v>
      </c>
      <c r="J162" t="s">
        <v>3304</v>
      </c>
      <c r="K162" t="s">
        <v>74</v>
      </c>
      <c r="L162" t="s">
        <v>74</v>
      </c>
      <c r="M162" t="s">
        <v>78</v>
      </c>
      <c r="N162" t="s">
        <v>79</v>
      </c>
      <c r="O162" t="s">
        <v>74</v>
      </c>
      <c r="P162" t="s">
        <v>74</v>
      </c>
      <c r="Q162" t="s">
        <v>74</v>
      </c>
      <c r="R162" t="s">
        <v>74</v>
      </c>
      <c r="S162" t="s">
        <v>74</v>
      </c>
      <c r="T162" t="s">
        <v>3305</v>
      </c>
      <c r="U162" t="s">
        <v>3306</v>
      </c>
      <c r="V162" t="s">
        <v>3307</v>
      </c>
      <c r="W162" t="s">
        <v>3308</v>
      </c>
      <c r="X162" t="s">
        <v>3309</v>
      </c>
      <c r="Y162" t="s">
        <v>3310</v>
      </c>
      <c r="Z162" t="s">
        <v>3311</v>
      </c>
      <c r="AA162" t="s">
        <v>3312</v>
      </c>
      <c r="AB162" t="s">
        <v>3313</v>
      </c>
      <c r="AC162" t="s">
        <v>3314</v>
      </c>
      <c r="AD162" t="s">
        <v>3315</v>
      </c>
      <c r="AE162" t="s">
        <v>3316</v>
      </c>
      <c r="AF162" t="s">
        <v>74</v>
      </c>
      <c r="AG162">
        <v>59</v>
      </c>
      <c r="AH162">
        <v>32</v>
      </c>
      <c r="AI162">
        <v>36</v>
      </c>
      <c r="AJ162">
        <v>0</v>
      </c>
      <c r="AK162">
        <v>25</v>
      </c>
      <c r="AL162" t="s">
        <v>251</v>
      </c>
      <c r="AM162" t="s">
        <v>252</v>
      </c>
      <c r="AN162" t="s">
        <v>253</v>
      </c>
      <c r="AO162" t="s">
        <v>3317</v>
      </c>
      <c r="AP162" t="s">
        <v>3318</v>
      </c>
      <c r="AQ162" t="s">
        <v>74</v>
      </c>
      <c r="AR162" t="s">
        <v>3319</v>
      </c>
      <c r="AS162" t="s">
        <v>3320</v>
      </c>
      <c r="AT162" t="s">
        <v>3247</v>
      </c>
      <c r="AU162">
        <v>2009</v>
      </c>
      <c r="AV162">
        <v>259</v>
      </c>
      <c r="AW162" t="s">
        <v>532</v>
      </c>
      <c r="AX162" t="s">
        <v>74</v>
      </c>
      <c r="AY162" t="s">
        <v>74</v>
      </c>
      <c r="AZ162" t="s">
        <v>74</v>
      </c>
      <c r="BA162" t="s">
        <v>74</v>
      </c>
      <c r="BB162">
        <v>59</v>
      </c>
      <c r="BC162">
        <v>72</v>
      </c>
      <c r="BD162" t="s">
        <v>74</v>
      </c>
      <c r="BE162" t="s">
        <v>3321</v>
      </c>
      <c r="BF162" t="str">
        <f>HYPERLINK("http://dx.doi.org/10.1016/j.margeo.2008.12.011","http://dx.doi.org/10.1016/j.margeo.2008.12.011")</f>
        <v>http://dx.doi.org/10.1016/j.margeo.2008.12.011</v>
      </c>
      <c r="BG162" t="s">
        <v>74</v>
      </c>
      <c r="BH162" t="s">
        <v>74</v>
      </c>
      <c r="BI162">
        <v>14</v>
      </c>
      <c r="BJ162" t="s">
        <v>3322</v>
      </c>
      <c r="BK162" t="s">
        <v>100</v>
      </c>
      <c r="BL162" t="s">
        <v>3323</v>
      </c>
      <c r="BM162" t="s">
        <v>3324</v>
      </c>
      <c r="BN162" t="s">
        <v>74</v>
      </c>
      <c r="BO162" t="s">
        <v>74</v>
      </c>
      <c r="BP162" t="s">
        <v>74</v>
      </c>
      <c r="BQ162" t="s">
        <v>74</v>
      </c>
      <c r="BR162" t="s">
        <v>103</v>
      </c>
      <c r="BS162" t="s">
        <v>3325</v>
      </c>
      <c r="BT162" t="str">
        <f>HYPERLINK("https%3A%2F%2Fwww.webofscience.com%2Fwos%2Fwoscc%2Ffull-record%2FWOS:000265206500005","View Full Record in Web of Science")</f>
        <v>View Full Record in Web of Science</v>
      </c>
    </row>
    <row r="163" spans="1:72" x14ac:dyDescent="0.15">
      <c r="A163" t="s">
        <v>72</v>
      </c>
      <c r="B163" t="s">
        <v>3326</v>
      </c>
      <c r="C163" t="s">
        <v>74</v>
      </c>
      <c r="D163" t="s">
        <v>74</v>
      </c>
      <c r="E163" t="s">
        <v>74</v>
      </c>
      <c r="F163" t="s">
        <v>3327</v>
      </c>
      <c r="G163" t="s">
        <v>74</v>
      </c>
      <c r="H163" t="s">
        <v>74</v>
      </c>
      <c r="I163" t="s">
        <v>3328</v>
      </c>
      <c r="J163" t="s">
        <v>3329</v>
      </c>
      <c r="K163" t="s">
        <v>74</v>
      </c>
      <c r="L163" t="s">
        <v>74</v>
      </c>
      <c r="M163" t="s">
        <v>78</v>
      </c>
      <c r="N163" t="s">
        <v>79</v>
      </c>
      <c r="O163" t="s">
        <v>74</v>
      </c>
      <c r="P163" t="s">
        <v>74</v>
      </c>
      <c r="Q163" t="s">
        <v>74</v>
      </c>
      <c r="R163" t="s">
        <v>74</v>
      </c>
      <c r="S163" t="s">
        <v>74</v>
      </c>
      <c r="T163" t="s">
        <v>3330</v>
      </c>
      <c r="U163" t="s">
        <v>3331</v>
      </c>
      <c r="V163" t="s">
        <v>3332</v>
      </c>
      <c r="W163" t="s">
        <v>3333</v>
      </c>
      <c r="X163" t="s">
        <v>3334</v>
      </c>
      <c r="Y163" t="s">
        <v>3335</v>
      </c>
      <c r="Z163" t="s">
        <v>3336</v>
      </c>
      <c r="AA163" t="s">
        <v>3337</v>
      </c>
      <c r="AB163" t="s">
        <v>3338</v>
      </c>
      <c r="AC163" t="s">
        <v>3339</v>
      </c>
      <c r="AD163" t="s">
        <v>3340</v>
      </c>
      <c r="AE163" t="s">
        <v>3341</v>
      </c>
      <c r="AF163" t="s">
        <v>74</v>
      </c>
      <c r="AG163">
        <v>60</v>
      </c>
      <c r="AH163">
        <v>7</v>
      </c>
      <c r="AI163">
        <v>9</v>
      </c>
      <c r="AJ163">
        <v>0</v>
      </c>
      <c r="AK163">
        <v>8</v>
      </c>
      <c r="AL163" t="s">
        <v>553</v>
      </c>
      <c r="AM163" t="s">
        <v>252</v>
      </c>
      <c r="AN163" t="s">
        <v>554</v>
      </c>
      <c r="AO163" t="s">
        <v>3342</v>
      </c>
      <c r="AP163" t="s">
        <v>3343</v>
      </c>
      <c r="AQ163" t="s">
        <v>74</v>
      </c>
      <c r="AR163" t="s">
        <v>3344</v>
      </c>
      <c r="AS163" t="s">
        <v>3345</v>
      </c>
      <c r="AT163" t="s">
        <v>3247</v>
      </c>
      <c r="AU163">
        <v>2009</v>
      </c>
      <c r="AV163">
        <v>216</v>
      </c>
      <c r="AW163" t="s">
        <v>3346</v>
      </c>
      <c r="AX163" t="s">
        <v>74</v>
      </c>
      <c r="AY163" t="s">
        <v>74</v>
      </c>
      <c r="AZ163" t="s">
        <v>74</v>
      </c>
      <c r="BA163" t="s">
        <v>74</v>
      </c>
      <c r="BB163">
        <v>91</v>
      </c>
      <c r="BC163">
        <v>103</v>
      </c>
      <c r="BD163" t="s">
        <v>74</v>
      </c>
      <c r="BE163" t="s">
        <v>3347</v>
      </c>
      <c r="BF163" t="str">
        <f>HYPERLINK("http://dx.doi.org/10.1016/j.sedgeo.2009.02.001","http://dx.doi.org/10.1016/j.sedgeo.2009.02.001")</f>
        <v>http://dx.doi.org/10.1016/j.sedgeo.2009.02.001</v>
      </c>
      <c r="BG163" t="s">
        <v>74</v>
      </c>
      <c r="BH163" t="s">
        <v>74</v>
      </c>
      <c r="BI163">
        <v>13</v>
      </c>
      <c r="BJ163" t="s">
        <v>497</v>
      </c>
      <c r="BK163" t="s">
        <v>100</v>
      </c>
      <c r="BL163" t="s">
        <v>497</v>
      </c>
      <c r="BM163" t="s">
        <v>3348</v>
      </c>
      <c r="BN163" t="s">
        <v>74</v>
      </c>
      <c r="BO163" t="s">
        <v>74</v>
      </c>
      <c r="BP163" t="s">
        <v>74</v>
      </c>
      <c r="BQ163" t="s">
        <v>74</v>
      </c>
      <c r="BR163" t="s">
        <v>103</v>
      </c>
      <c r="BS163" t="s">
        <v>3349</v>
      </c>
      <c r="BT163" t="str">
        <f>HYPERLINK("https%3A%2F%2Fwww.webofscience.com%2Fwos%2Fwoscc%2Ffull-record%2FWOS:000267731000003","View Full Record in Web of Science")</f>
        <v>View Full Record in Web of Science</v>
      </c>
    </row>
    <row r="164" spans="1:72" x14ac:dyDescent="0.15">
      <c r="A164" t="s">
        <v>72</v>
      </c>
      <c r="B164" t="s">
        <v>3350</v>
      </c>
      <c r="C164" t="s">
        <v>74</v>
      </c>
      <c r="D164" t="s">
        <v>74</v>
      </c>
      <c r="E164" t="s">
        <v>74</v>
      </c>
      <c r="F164" t="s">
        <v>3351</v>
      </c>
      <c r="G164" t="s">
        <v>74</v>
      </c>
      <c r="H164" t="s">
        <v>74</v>
      </c>
      <c r="I164" t="s">
        <v>3352</v>
      </c>
      <c r="J164" t="s">
        <v>1017</v>
      </c>
      <c r="K164" t="s">
        <v>74</v>
      </c>
      <c r="L164" t="s">
        <v>74</v>
      </c>
      <c r="M164" t="s">
        <v>78</v>
      </c>
      <c r="N164" t="s">
        <v>79</v>
      </c>
      <c r="O164" t="s">
        <v>74</v>
      </c>
      <c r="P164" t="s">
        <v>74</v>
      </c>
      <c r="Q164" t="s">
        <v>74</v>
      </c>
      <c r="R164" t="s">
        <v>74</v>
      </c>
      <c r="S164" t="s">
        <v>74</v>
      </c>
      <c r="T164" t="s">
        <v>74</v>
      </c>
      <c r="U164" t="s">
        <v>3353</v>
      </c>
      <c r="V164" t="s">
        <v>3354</v>
      </c>
      <c r="W164" t="s">
        <v>3355</v>
      </c>
      <c r="X164" t="s">
        <v>3356</v>
      </c>
      <c r="Y164" t="s">
        <v>3357</v>
      </c>
      <c r="Z164" t="s">
        <v>3358</v>
      </c>
      <c r="AA164" t="s">
        <v>3359</v>
      </c>
      <c r="AB164" t="s">
        <v>3360</v>
      </c>
      <c r="AC164" t="s">
        <v>3361</v>
      </c>
      <c r="AD164" t="s">
        <v>3362</v>
      </c>
      <c r="AE164" t="s">
        <v>3363</v>
      </c>
      <c r="AF164" t="s">
        <v>74</v>
      </c>
      <c r="AG164">
        <v>33</v>
      </c>
      <c r="AH164">
        <v>39</v>
      </c>
      <c r="AI164">
        <v>40</v>
      </c>
      <c r="AJ164">
        <v>0</v>
      </c>
      <c r="AK164">
        <v>10</v>
      </c>
      <c r="AL164" t="s">
        <v>605</v>
      </c>
      <c r="AM164" t="s">
        <v>606</v>
      </c>
      <c r="AN164" t="s">
        <v>607</v>
      </c>
      <c r="AO164" t="s">
        <v>1028</v>
      </c>
      <c r="AP164" t="s">
        <v>1029</v>
      </c>
      <c r="AQ164" t="s">
        <v>74</v>
      </c>
      <c r="AR164" t="s">
        <v>1030</v>
      </c>
      <c r="AS164" t="s">
        <v>1031</v>
      </c>
      <c r="AT164" t="s">
        <v>3364</v>
      </c>
      <c r="AU164">
        <v>2009</v>
      </c>
      <c r="AV164">
        <v>114</v>
      </c>
      <c r="AW164" t="s">
        <v>74</v>
      </c>
      <c r="AX164" t="s">
        <v>74</v>
      </c>
      <c r="AY164" t="s">
        <v>74</v>
      </c>
      <c r="AZ164" t="s">
        <v>74</v>
      </c>
      <c r="BA164" t="s">
        <v>74</v>
      </c>
      <c r="BB164" t="s">
        <v>74</v>
      </c>
      <c r="BC164" t="s">
        <v>74</v>
      </c>
      <c r="BD164" t="s">
        <v>3365</v>
      </c>
      <c r="BE164" t="s">
        <v>3366</v>
      </c>
      <c r="BF164" t="str">
        <f>HYPERLINK("http://dx.doi.org/10.1029/2008JF001025","http://dx.doi.org/10.1029/2008JF001025")</f>
        <v>http://dx.doi.org/10.1029/2008JF001025</v>
      </c>
      <c r="BG164" t="s">
        <v>74</v>
      </c>
      <c r="BH164" t="s">
        <v>74</v>
      </c>
      <c r="BI164">
        <v>17</v>
      </c>
      <c r="BJ164" t="s">
        <v>496</v>
      </c>
      <c r="BK164" t="s">
        <v>100</v>
      </c>
      <c r="BL164" t="s">
        <v>497</v>
      </c>
      <c r="BM164" t="s">
        <v>3367</v>
      </c>
      <c r="BN164" t="s">
        <v>74</v>
      </c>
      <c r="BO164" t="s">
        <v>1012</v>
      </c>
      <c r="BP164" t="s">
        <v>74</v>
      </c>
      <c r="BQ164" t="s">
        <v>74</v>
      </c>
      <c r="BR164" t="s">
        <v>103</v>
      </c>
      <c r="BS164" t="s">
        <v>3368</v>
      </c>
      <c r="BT164" t="str">
        <f>HYPERLINK("https%3A%2F%2Fwww.webofscience.com%2Fwos%2Fwoscc%2Ffull-record%2FWOS:000265330100001","View Full Record in Web of Science")</f>
        <v>View Full Record in Web of Science</v>
      </c>
    </row>
    <row r="165" spans="1:72" x14ac:dyDescent="0.15">
      <c r="A165" t="s">
        <v>72</v>
      </c>
      <c r="B165" t="s">
        <v>3369</v>
      </c>
      <c r="C165" t="s">
        <v>74</v>
      </c>
      <c r="D165" t="s">
        <v>74</v>
      </c>
      <c r="E165" t="s">
        <v>74</v>
      </c>
      <c r="F165" t="s">
        <v>3370</v>
      </c>
      <c r="G165" t="s">
        <v>74</v>
      </c>
      <c r="H165" t="s">
        <v>74</v>
      </c>
      <c r="I165" t="s">
        <v>3371</v>
      </c>
      <c r="J165" t="s">
        <v>862</v>
      </c>
      <c r="K165" t="s">
        <v>74</v>
      </c>
      <c r="L165" t="s">
        <v>74</v>
      </c>
      <c r="M165" t="s">
        <v>78</v>
      </c>
      <c r="N165" t="s">
        <v>79</v>
      </c>
      <c r="O165" t="s">
        <v>74</v>
      </c>
      <c r="P165" t="s">
        <v>74</v>
      </c>
      <c r="Q165" t="s">
        <v>74</v>
      </c>
      <c r="R165" t="s">
        <v>74</v>
      </c>
      <c r="S165" t="s">
        <v>74</v>
      </c>
      <c r="T165" t="s">
        <v>3372</v>
      </c>
      <c r="U165" t="s">
        <v>3373</v>
      </c>
      <c r="V165" t="s">
        <v>3374</v>
      </c>
      <c r="W165" t="s">
        <v>3375</v>
      </c>
      <c r="X165" t="s">
        <v>3376</v>
      </c>
      <c r="Y165" t="s">
        <v>3377</v>
      </c>
      <c r="Z165" t="s">
        <v>3378</v>
      </c>
      <c r="AA165" t="s">
        <v>74</v>
      </c>
      <c r="AB165" t="s">
        <v>74</v>
      </c>
      <c r="AC165" t="s">
        <v>3379</v>
      </c>
      <c r="AD165" t="s">
        <v>3380</v>
      </c>
      <c r="AE165" t="s">
        <v>3381</v>
      </c>
      <c r="AF165" t="s">
        <v>74</v>
      </c>
      <c r="AG165">
        <v>27</v>
      </c>
      <c r="AH165">
        <v>14</v>
      </c>
      <c r="AI165">
        <v>15</v>
      </c>
      <c r="AJ165">
        <v>0</v>
      </c>
      <c r="AK165">
        <v>13</v>
      </c>
      <c r="AL165" t="s">
        <v>874</v>
      </c>
      <c r="AM165" t="s">
        <v>606</v>
      </c>
      <c r="AN165" t="s">
        <v>875</v>
      </c>
      <c r="AO165" t="s">
        <v>876</v>
      </c>
      <c r="AP165" t="s">
        <v>74</v>
      </c>
      <c r="AQ165" t="s">
        <v>74</v>
      </c>
      <c r="AR165" t="s">
        <v>877</v>
      </c>
      <c r="AS165" t="s">
        <v>878</v>
      </c>
      <c r="AT165" t="s">
        <v>3364</v>
      </c>
      <c r="AU165">
        <v>2009</v>
      </c>
      <c r="AV165">
        <v>106</v>
      </c>
      <c r="AW165">
        <v>15</v>
      </c>
      <c r="AX165" t="s">
        <v>74</v>
      </c>
      <c r="AY165" t="s">
        <v>74</v>
      </c>
      <c r="AZ165" t="s">
        <v>74</v>
      </c>
      <c r="BA165" t="s">
        <v>74</v>
      </c>
      <c r="BB165">
        <v>6192</v>
      </c>
      <c r="BC165">
        <v>6196</v>
      </c>
      <c r="BD165" t="s">
        <v>74</v>
      </c>
      <c r="BE165" t="s">
        <v>3382</v>
      </c>
      <c r="BF165" t="str">
        <f>HYPERLINK("http://dx.doi.org/10.1073/pnas.0901321106","http://dx.doi.org/10.1073/pnas.0901321106")</f>
        <v>http://dx.doi.org/10.1073/pnas.0901321106</v>
      </c>
      <c r="BG165" t="s">
        <v>74</v>
      </c>
      <c r="BH165" t="s">
        <v>74</v>
      </c>
      <c r="BI165">
        <v>5</v>
      </c>
      <c r="BJ165" t="s">
        <v>790</v>
      </c>
      <c r="BK165" t="s">
        <v>100</v>
      </c>
      <c r="BL165" t="s">
        <v>791</v>
      </c>
      <c r="BM165" t="s">
        <v>3383</v>
      </c>
      <c r="BN165">
        <v>19325127</v>
      </c>
      <c r="BO165" t="s">
        <v>217</v>
      </c>
      <c r="BP165" t="s">
        <v>74</v>
      </c>
      <c r="BQ165" t="s">
        <v>74</v>
      </c>
      <c r="BR165" t="s">
        <v>103</v>
      </c>
      <c r="BS165" t="s">
        <v>3384</v>
      </c>
      <c r="BT165" t="str">
        <f>HYPERLINK("https%3A%2F%2Fwww.webofscience.com%2Fwos%2Fwoscc%2Ffull-record%2FWOS:000265174600031","View Full Record in Web of Science")</f>
        <v>View Full Record in Web of Science</v>
      </c>
    </row>
    <row r="166" spans="1:72" x14ac:dyDescent="0.15">
      <c r="A166" t="s">
        <v>72</v>
      </c>
      <c r="B166" t="s">
        <v>3385</v>
      </c>
      <c r="C166" t="s">
        <v>74</v>
      </c>
      <c r="D166" t="s">
        <v>74</v>
      </c>
      <c r="E166" t="s">
        <v>74</v>
      </c>
      <c r="F166" t="s">
        <v>3386</v>
      </c>
      <c r="G166" t="s">
        <v>74</v>
      </c>
      <c r="H166" t="s">
        <v>74</v>
      </c>
      <c r="I166" t="s">
        <v>3387</v>
      </c>
      <c r="J166" t="s">
        <v>887</v>
      </c>
      <c r="K166" t="s">
        <v>74</v>
      </c>
      <c r="L166" t="s">
        <v>74</v>
      </c>
      <c r="M166" t="s">
        <v>78</v>
      </c>
      <c r="N166" t="s">
        <v>79</v>
      </c>
      <c r="O166" t="s">
        <v>74</v>
      </c>
      <c r="P166" t="s">
        <v>74</v>
      </c>
      <c r="Q166" t="s">
        <v>74</v>
      </c>
      <c r="R166" t="s">
        <v>74</v>
      </c>
      <c r="S166" t="s">
        <v>74</v>
      </c>
      <c r="T166" t="s">
        <v>3388</v>
      </c>
      <c r="U166" t="s">
        <v>3389</v>
      </c>
      <c r="V166" t="s">
        <v>3390</v>
      </c>
      <c r="W166" t="s">
        <v>3391</v>
      </c>
      <c r="X166" t="s">
        <v>3392</v>
      </c>
      <c r="Y166" t="s">
        <v>3393</v>
      </c>
      <c r="Z166" t="s">
        <v>3394</v>
      </c>
      <c r="AA166" t="s">
        <v>3395</v>
      </c>
      <c r="AB166" t="s">
        <v>3396</v>
      </c>
      <c r="AC166" t="s">
        <v>74</v>
      </c>
      <c r="AD166" t="s">
        <v>74</v>
      </c>
      <c r="AE166" t="s">
        <v>74</v>
      </c>
      <c r="AF166" t="s">
        <v>74</v>
      </c>
      <c r="AG166">
        <v>59</v>
      </c>
      <c r="AH166">
        <v>29</v>
      </c>
      <c r="AI166">
        <v>30</v>
      </c>
      <c r="AJ166">
        <v>0</v>
      </c>
      <c r="AK166">
        <v>7</v>
      </c>
      <c r="AL166" t="s">
        <v>900</v>
      </c>
      <c r="AM166" t="s">
        <v>901</v>
      </c>
      <c r="AN166" t="s">
        <v>902</v>
      </c>
      <c r="AO166" t="s">
        <v>903</v>
      </c>
      <c r="AP166" t="s">
        <v>904</v>
      </c>
      <c r="AQ166" t="s">
        <v>74</v>
      </c>
      <c r="AR166" t="s">
        <v>887</v>
      </c>
      <c r="AS166" t="s">
        <v>905</v>
      </c>
      <c r="AT166" t="s">
        <v>3364</v>
      </c>
      <c r="AU166">
        <v>2009</v>
      </c>
      <c r="AV166" t="s">
        <v>74</v>
      </c>
      <c r="AW166">
        <v>2072</v>
      </c>
      <c r="AX166" t="s">
        <v>74</v>
      </c>
      <c r="AY166" t="s">
        <v>74</v>
      </c>
      <c r="AZ166" t="s">
        <v>74</v>
      </c>
      <c r="BA166" t="s">
        <v>74</v>
      </c>
      <c r="BB166">
        <v>1</v>
      </c>
      <c r="BC166">
        <v>30</v>
      </c>
      <c r="BD166" t="s">
        <v>74</v>
      </c>
      <c r="BE166" t="s">
        <v>74</v>
      </c>
      <c r="BF166" t="s">
        <v>74</v>
      </c>
      <c r="BG166" t="s">
        <v>74</v>
      </c>
      <c r="BH166" t="s">
        <v>74</v>
      </c>
      <c r="BI166">
        <v>30</v>
      </c>
      <c r="BJ166" t="s">
        <v>908</v>
      </c>
      <c r="BK166" t="s">
        <v>100</v>
      </c>
      <c r="BL166" t="s">
        <v>908</v>
      </c>
      <c r="BM166" t="s">
        <v>3397</v>
      </c>
      <c r="BN166" t="s">
        <v>74</v>
      </c>
      <c r="BO166" t="s">
        <v>74</v>
      </c>
      <c r="BP166" t="s">
        <v>74</v>
      </c>
      <c r="BQ166" t="s">
        <v>74</v>
      </c>
      <c r="BR166" t="s">
        <v>103</v>
      </c>
      <c r="BS166" t="s">
        <v>3398</v>
      </c>
      <c r="BT166" t="str">
        <f>HYPERLINK("https%3A%2F%2Fwww.webofscience.com%2Fwos%2Fwoscc%2Ffull-record%2FWOS:000265188400001","View Full Record in Web of Science")</f>
        <v>View Full Record in Web of Science</v>
      </c>
    </row>
    <row r="167" spans="1:72" x14ac:dyDescent="0.15">
      <c r="A167" t="s">
        <v>72</v>
      </c>
      <c r="B167" t="s">
        <v>3399</v>
      </c>
      <c r="C167" t="s">
        <v>74</v>
      </c>
      <c r="D167" t="s">
        <v>74</v>
      </c>
      <c r="E167" t="s">
        <v>74</v>
      </c>
      <c r="F167" t="s">
        <v>3400</v>
      </c>
      <c r="G167" t="s">
        <v>74</v>
      </c>
      <c r="H167" t="s">
        <v>74</v>
      </c>
      <c r="I167" t="s">
        <v>3401</v>
      </c>
      <c r="J167" t="s">
        <v>820</v>
      </c>
      <c r="K167" t="s">
        <v>74</v>
      </c>
      <c r="L167" t="s">
        <v>74</v>
      </c>
      <c r="M167" t="s">
        <v>78</v>
      </c>
      <c r="N167" t="s">
        <v>79</v>
      </c>
      <c r="O167" t="s">
        <v>74</v>
      </c>
      <c r="P167" t="s">
        <v>74</v>
      </c>
      <c r="Q167" t="s">
        <v>74</v>
      </c>
      <c r="R167" t="s">
        <v>74</v>
      </c>
      <c r="S167" t="s">
        <v>74</v>
      </c>
      <c r="T167" t="s">
        <v>74</v>
      </c>
      <c r="U167" t="s">
        <v>3402</v>
      </c>
      <c r="V167" t="s">
        <v>3403</v>
      </c>
      <c r="W167" t="s">
        <v>3404</v>
      </c>
      <c r="X167" t="s">
        <v>3405</v>
      </c>
      <c r="Y167" t="s">
        <v>3406</v>
      </c>
      <c r="Z167" t="s">
        <v>3407</v>
      </c>
      <c r="AA167" t="s">
        <v>3408</v>
      </c>
      <c r="AB167" t="s">
        <v>3409</v>
      </c>
      <c r="AC167" t="s">
        <v>74</v>
      </c>
      <c r="AD167" t="s">
        <v>74</v>
      </c>
      <c r="AE167" t="s">
        <v>74</v>
      </c>
      <c r="AF167" t="s">
        <v>74</v>
      </c>
      <c r="AG167">
        <v>33</v>
      </c>
      <c r="AH167">
        <v>11</v>
      </c>
      <c r="AI167">
        <v>15</v>
      </c>
      <c r="AJ167">
        <v>1</v>
      </c>
      <c r="AK167">
        <v>7</v>
      </c>
      <c r="AL167" t="s">
        <v>605</v>
      </c>
      <c r="AM167" t="s">
        <v>606</v>
      </c>
      <c r="AN167" t="s">
        <v>607</v>
      </c>
      <c r="AO167" t="s">
        <v>831</v>
      </c>
      <c r="AP167" t="s">
        <v>74</v>
      </c>
      <c r="AQ167" t="s">
        <v>74</v>
      </c>
      <c r="AR167" t="s">
        <v>833</v>
      </c>
      <c r="AS167" t="s">
        <v>834</v>
      </c>
      <c r="AT167" t="s">
        <v>3410</v>
      </c>
      <c r="AU167">
        <v>2009</v>
      </c>
      <c r="AV167">
        <v>114</v>
      </c>
      <c r="AW167" t="s">
        <v>74</v>
      </c>
      <c r="AX167" t="s">
        <v>74</v>
      </c>
      <c r="AY167" t="s">
        <v>74</v>
      </c>
      <c r="AZ167" t="s">
        <v>74</v>
      </c>
      <c r="BA167" t="s">
        <v>74</v>
      </c>
      <c r="BB167" t="s">
        <v>74</v>
      </c>
      <c r="BC167" t="s">
        <v>74</v>
      </c>
      <c r="BD167" t="s">
        <v>3411</v>
      </c>
      <c r="BE167" t="s">
        <v>3412</v>
      </c>
      <c r="BF167" t="str">
        <f>HYPERLINK("http://dx.doi.org/10.1029/2008JD010658","http://dx.doi.org/10.1029/2008JD010658")</f>
        <v>http://dx.doi.org/10.1029/2008JD010658</v>
      </c>
      <c r="BG167" t="s">
        <v>74</v>
      </c>
      <c r="BH167" t="s">
        <v>74</v>
      </c>
      <c r="BI167">
        <v>21</v>
      </c>
      <c r="BJ167" t="s">
        <v>398</v>
      </c>
      <c r="BK167" t="s">
        <v>100</v>
      </c>
      <c r="BL167" t="s">
        <v>398</v>
      </c>
      <c r="BM167" t="s">
        <v>3413</v>
      </c>
      <c r="BN167" t="s">
        <v>74</v>
      </c>
      <c r="BO167" t="s">
        <v>74</v>
      </c>
      <c r="BP167" t="s">
        <v>74</v>
      </c>
      <c r="BQ167" t="s">
        <v>74</v>
      </c>
      <c r="BR167" t="s">
        <v>103</v>
      </c>
      <c r="BS167" t="s">
        <v>3414</v>
      </c>
      <c r="BT167" t="str">
        <f>HYPERLINK("https%3A%2F%2Fwww.webofscience.com%2Fwos%2Fwoscc%2Ffull-record%2FWOS:000265102000001","View Full Record in Web of Science")</f>
        <v>View Full Record in Web of Science</v>
      </c>
    </row>
    <row r="168" spans="1:72" x14ac:dyDescent="0.15">
      <c r="A168" t="s">
        <v>72</v>
      </c>
      <c r="B168" t="s">
        <v>3415</v>
      </c>
      <c r="C168" t="s">
        <v>74</v>
      </c>
      <c r="D168" t="s">
        <v>74</v>
      </c>
      <c r="E168" t="s">
        <v>74</v>
      </c>
      <c r="F168" t="s">
        <v>3416</v>
      </c>
      <c r="G168" t="s">
        <v>74</v>
      </c>
      <c r="H168" t="s">
        <v>74</v>
      </c>
      <c r="I168" t="s">
        <v>3417</v>
      </c>
      <c r="J168" t="s">
        <v>862</v>
      </c>
      <c r="K168" t="s">
        <v>74</v>
      </c>
      <c r="L168" t="s">
        <v>74</v>
      </c>
      <c r="M168" t="s">
        <v>78</v>
      </c>
      <c r="N168" t="s">
        <v>79</v>
      </c>
      <c r="O168" t="s">
        <v>74</v>
      </c>
      <c r="P168" t="s">
        <v>74</v>
      </c>
      <c r="Q168" t="s">
        <v>74</v>
      </c>
      <c r="R168" t="s">
        <v>74</v>
      </c>
      <c r="S168" t="s">
        <v>74</v>
      </c>
      <c r="T168" t="s">
        <v>3418</v>
      </c>
      <c r="U168" t="s">
        <v>3419</v>
      </c>
      <c r="V168" t="s">
        <v>3420</v>
      </c>
      <c r="W168" t="s">
        <v>3421</v>
      </c>
      <c r="X168" t="s">
        <v>3422</v>
      </c>
      <c r="Y168" t="s">
        <v>3423</v>
      </c>
      <c r="Z168" t="s">
        <v>3424</v>
      </c>
      <c r="AA168" t="s">
        <v>3425</v>
      </c>
      <c r="AB168" t="s">
        <v>3426</v>
      </c>
      <c r="AC168" t="s">
        <v>3427</v>
      </c>
      <c r="AD168" t="s">
        <v>3428</v>
      </c>
      <c r="AE168" t="s">
        <v>3429</v>
      </c>
      <c r="AF168" t="s">
        <v>74</v>
      </c>
      <c r="AG168">
        <v>54</v>
      </c>
      <c r="AH168">
        <v>241</v>
      </c>
      <c r="AI168">
        <v>250</v>
      </c>
      <c r="AJ168">
        <v>1</v>
      </c>
      <c r="AK168">
        <v>61</v>
      </c>
      <c r="AL168" t="s">
        <v>874</v>
      </c>
      <c r="AM168" t="s">
        <v>606</v>
      </c>
      <c r="AN168" t="s">
        <v>875</v>
      </c>
      <c r="AO168" t="s">
        <v>876</v>
      </c>
      <c r="AP168" t="s">
        <v>74</v>
      </c>
      <c r="AQ168" t="s">
        <v>74</v>
      </c>
      <c r="AR168" t="s">
        <v>877</v>
      </c>
      <c r="AS168" t="s">
        <v>878</v>
      </c>
      <c r="AT168" t="s">
        <v>3430</v>
      </c>
      <c r="AU168">
        <v>2009</v>
      </c>
      <c r="AV168">
        <v>106</v>
      </c>
      <c r="AW168">
        <v>14</v>
      </c>
      <c r="AX168" t="s">
        <v>74</v>
      </c>
      <c r="AY168" t="s">
        <v>74</v>
      </c>
      <c r="AZ168" t="s">
        <v>74</v>
      </c>
      <c r="BA168" t="s">
        <v>74</v>
      </c>
      <c r="BB168">
        <v>5487</v>
      </c>
      <c r="BC168">
        <v>5492</v>
      </c>
      <c r="BD168" t="s">
        <v>74</v>
      </c>
      <c r="BE168" t="s">
        <v>3431</v>
      </c>
      <c r="BF168" t="str">
        <f>HYPERLINK("http://dx.doi.org/10.1073/pnas.0811618106","http://dx.doi.org/10.1073/pnas.0811618106")</f>
        <v>http://dx.doi.org/10.1073/pnas.0811618106</v>
      </c>
      <c r="BG168" t="s">
        <v>74</v>
      </c>
      <c r="BH168" t="s">
        <v>74</v>
      </c>
      <c r="BI168">
        <v>6</v>
      </c>
      <c r="BJ168" t="s">
        <v>790</v>
      </c>
      <c r="BK168" t="s">
        <v>100</v>
      </c>
      <c r="BL168" t="s">
        <v>791</v>
      </c>
      <c r="BM168" t="s">
        <v>3432</v>
      </c>
      <c r="BN168">
        <v>19289826</v>
      </c>
      <c r="BO168" t="s">
        <v>217</v>
      </c>
      <c r="BP168" t="s">
        <v>74</v>
      </c>
      <c r="BQ168" t="s">
        <v>74</v>
      </c>
      <c r="BR168" t="s">
        <v>103</v>
      </c>
      <c r="BS168" t="s">
        <v>3433</v>
      </c>
      <c r="BT168" t="str">
        <f>HYPERLINK("https%3A%2F%2Fwww.webofscience.com%2Fwos%2Fwoscc%2Ffull-record%2FWOS:000264967500008","View Full Record in Web of Science")</f>
        <v>View Full Record in Web of Science</v>
      </c>
    </row>
    <row r="169" spans="1:72" x14ac:dyDescent="0.15">
      <c r="A169" t="s">
        <v>72</v>
      </c>
      <c r="B169" t="s">
        <v>3434</v>
      </c>
      <c r="C169" t="s">
        <v>74</v>
      </c>
      <c r="D169" t="s">
        <v>74</v>
      </c>
      <c r="E169" t="s">
        <v>74</v>
      </c>
      <c r="F169" t="s">
        <v>3435</v>
      </c>
      <c r="G169" t="s">
        <v>74</v>
      </c>
      <c r="H169" t="s">
        <v>74</v>
      </c>
      <c r="I169" t="s">
        <v>3436</v>
      </c>
      <c r="J169" t="s">
        <v>3122</v>
      </c>
      <c r="K169" t="s">
        <v>74</v>
      </c>
      <c r="L169" t="s">
        <v>74</v>
      </c>
      <c r="M169" t="s">
        <v>78</v>
      </c>
      <c r="N169" t="s">
        <v>79</v>
      </c>
      <c r="O169" t="s">
        <v>74</v>
      </c>
      <c r="P169" t="s">
        <v>74</v>
      </c>
      <c r="Q169" t="s">
        <v>74</v>
      </c>
      <c r="R169" t="s">
        <v>74</v>
      </c>
      <c r="S169" t="s">
        <v>74</v>
      </c>
      <c r="T169" t="s">
        <v>3437</v>
      </c>
      <c r="U169" t="s">
        <v>3438</v>
      </c>
      <c r="V169" t="s">
        <v>3439</v>
      </c>
      <c r="W169" t="s">
        <v>3440</v>
      </c>
      <c r="X169" t="s">
        <v>3441</v>
      </c>
      <c r="Y169" t="s">
        <v>3442</v>
      </c>
      <c r="Z169" t="s">
        <v>3443</v>
      </c>
      <c r="AA169" t="s">
        <v>3444</v>
      </c>
      <c r="AB169" t="s">
        <v>3445</v>
      </c>
      <c r="AC169" t="s">
        <v>3446</v>
      </c>
      <c r="AD169" t="s">
        <v>3447</v>
      </c>
      <c r="AE169" t="s">
        <v>74</v>
      </c>
      <c r="AF169" t="s">
        <v>74</v>
      </c>
      <c r="AG169">
        <v>26</v>
      </c>
      <c r="AH169">
        <v>190</v>
      </c>
      <c r="AI169">
        <v>205</v>
      </c>
      <c r="AJ169">
        <v>1</v>
      </c>
      <c r="AK169">
        <v>129</v>
      </c>
      <c r="AL169" t="s">
        <v>3054</v>
      </c>
      <c r="AM169" t="s">
        <v>2924</v>
      </c>
      <c r="AN169" t="s">
        <v>3055</v>
      </c>
      <c r="AO169" t="s">
        <v>3134</v>
      </c>
      <c r="AP169" t="s">
        <v>3448</v>
      </c>
      <c r="AQ169" t="s">
        <v>74</v>
      </c>
      <c r="AR169" t="s">
        <v>3135</v>
      </c>
      <c r="AS169" t="s">
        <v>3136</v>
      </c>
      <c r="AT169" t="s">
        <v>3430</v>
      </c>
      <c r="AU169">
        <v>2009</v>
      </c>
      <c r="AV169">
        <v>276</v>
      </c>
      <c r="AW169">
        <v>1660</v>
      </c>
      <c r="AX169" t="s">
        <v>74</v>
      </c>
      <c r="AY169" t="s">
        <v>74</v>
      </c>
      <c r="AZ169" t="s">
        <v>74</v>
      </c>
      <c r="BA169" t="s">
        <v>74</v>
      </c>
      <c r="BB169">
        <v>1215</v>
      </c>
      <c r="BC169">
        <v>1223</v>
      </c>
      <c r="BD169" t="s">
        <v>74</v>
      </c>
      <c r="BE169" t="s">
        <v>3449</v>
      </c>
      <c r="BF169" t="str">
        <f>HYPERLINK("http://dx.doi.org/10.1098/rspb.2008.1577","http://dx.doi.org/10.1098/rspb.2008.1577")</f>
        <v>http://dx.doi.org/10.1098/rspb.2008.1577</v>
      </c>
      <c r="BG169" t="s">
        <v>74</v>
      </c>
      <c r="BH169" t="s">
        <v>74</v>
      </c>
      <c r="BI169">
        <v>9</v>
      </c>
      <c r="BJ169" t="s">
        <v>3062</v>
      </c>
      <c r="BK169" t="s">
        <v>100</v>
      </c>
      <c r="BL169" t="s">
        <v>3063</v>
      </c>
      <c r="BM169" t="s">
        <v>3450</v>
      </c>
      <c r="BN169">
        <v>19141421</v>
      </c>
      <c r="BO169" t="s">
        <v>217</v>
      </c>
      <c r="BP169" t="s">
        <v>74</v>
      </c>
      <c r="BQ169" t="s">
        <v>74</v>
      </c>
      <c r="BR169" t="s">
        <v>103</v>
      </c>
      <c r="BS169" t="s">
        <v>3451</v>
      </c>
      <c r="BT169" t="str">
        <f>HYPERLINK("https%3A%2F%2Fwww.webofscience.com%2Fwos%2Fwoscc%2Ffull-record%2FWOS:000264351800004","View Full Record in Web of Science")</f>
        <v>View Full Record in Web of Science</v>
      </c>
    </row>
    <row r="170" spans="1:72" x14ac:dyDescent="0.15">
      <c r="A170" t="s">
        <v>72</v>
      </c>
      <c r="B170" t="s">
        <v>3452</v>
      </c>
      <c r="C170" t="s">
        <v>74</v>
      </c>
      <c r="D170" t="s">
        <v>74</v>
      </c>
      <c r="E170" t="s">
        <v>74</v>
      </c>
      <c r="F170" t="s">
        <v>3453</v>
      </c>
      <c r="G170" t="s">
        <v>74</v>
      </c>
      <c r="H170" t="s">
        <v>74</v>
      </c>
      <c r="I170" t="s">
        <v>3454</v>
      </c>
      <c r="J170" t="s">
        <v>3122</v>
      </c>
      <c r="K170" t="s">
        <v>74</v>
      </c>
      <c r="L170" t="s">
        <v>74</v>
      </c>
      <c r="M170" t="s">
        <v>78</v>
      </c>
      <c r="N170" t="s">
        <v>79</v>
      </c>
      <c r="O170" t="s">
        <v>74</v>
      </c>
      <c r="P170" t="s">
        <v>74</v>
      </c>
      <c r="Q170" t="s">
        <v>74</v>
      </c>
      <c r="R170" t="s">
        <v>74</v>
      </c>
      <c r="S170" t="s">
        <v>74</v>
      </c>
      <c r="T170" t="s">
        <v>3455</v>
      </c>
      <c r="U170" t="s">
        <v>3456</v>
      </c>
      <c r="V170" t="s">
        <v>3457</v>
      </c>
      <c r="W170" t="s">
        <v>3458</v>
      </c>
      <c r="X170" t="s">
        <v>3459</v>
      </c>
      <c r="Y170" t="s">
        <v>3460</v>
      </c>
      <c r="Z170" t="s">
        <v>3461</v>
      </c>
      <c r="AA170" t="s">
        <v>3462</v>
      </c>
      <c r="AB170" t="s">
        <v>3463</v>
      </c>
      <c r="AC170" t="s">
        <v>3464</v>
      </c>
      <c r="AD170" t="s">
        <v>1490</v>
      </c>
      <c r="AE170" t="s">
        <v>74</v>
      </c>
      <c r="AF170" t="s">
        <v>74</v>
      </c>
      <c r="AG170">
        <v>42</v>
      </c>
      <c r="AH170">
        <v>122</v>
      </c>
      <c r="AI170">
        <v>154</v>
      </c>
      <c r="AJ170">
        <v>5</v>
      </c>
      <c r="AK170">
        <v>95</v>
      </c>
      <c r="AL170" t="s">
        <v>3054</v>
      </c>
      <c r="AM170" t="s">
        <v>2924</v>
      </c>
      <c r="AN170" t="s">
        <v>3055</v>
      </c>
      <c r="AO170" t="s">
        <v>3134</v>
      </c>
      <c r="AP170" t="s">
        <v>3465</v>
      </c>
      <c r="AQ170" t="s">
        <v>74</v>
      </c>
      <c r="AR170" t="s">
        <v>3135</v>
      </c>
      <c r="AS170" t="s">
        <v>3136</v>
      </c>
      <c r="AT170" t="s">
        <v>3430</v>
      </c>
      <c r="AU170">
        <v>2009</v>
      </c>
      <c r="AV170">
        <v>276</v>
      </c>
      <c r="AW170">
        <v>1660</v>
      </c>
      <c r="AX170" t="s">
        <v>74</v>
      </c>
      <c r="AY170" t="s">
        <v>74</v>
      </c>
      <c r="AZ170" t="s">
        <v>74</v>
      </c>
      <c r="BA170" t="s">
        <v>74</v>
      </c>
      <c r="BB170">
        <v>1347</v>
      </c>
      <c r="BC170">
        <v>1354</v>
      </c>
      <c r="BD170" t="s">
        <v>74</v>
      </c>
      <c r="BE170" t="s">
        <v>3466</v>
      </c>
      <c r="BF170" t="str">
        <f>HYPERLINK("http://dx.doi.org/10.1098/rspb.2008.1731","http://dx.doi.org/10.1098/rspb.2008.1731")</f>
        <v>http://dx.doi.org/10.1098/rspb.2008.1731</v>
      </c>
      <c r="BG170" t="s">
        <v>74</v>
      </c>
      <c r="BH170" t="s">
        <v>74</v>
      </c>
      <c r="BI170">
        <v>8</v>
      </c>
      <c r="BJ170" t="s">
        <v>3062</v>
      </c>
      <c r="BK170" t="s">
        <v>100</v>
      </c>
      <c r="BL170" t="s">
        <v>3063</v>
      </c>
      <c r="BM170" t="s">
        <v>3450</v>
      </c>
      <c r="BN170">
        <v>19141418</v>
      </c>
      <c r="BO170" t="s">
        <v>3008</v>
      </c>
      <c r="BP170" t="s">
        <v>74</v>
      </c>
      <c r="BQ170" t="s">
        <v>74</v>
      </c>
      <c r="BR170" t="s">
        <v>103</v>
      </c>
      <c r="BS170" t="s">
        <v>3467</v>
      </c>
      <c r="BT170" t="str">
        <f>HYPERLINK("https%3A%2F%2Fwww.webofscience.com%2Fwos%2Fwoscc%2Ffull-record%2FWOS:000264351800019","View Full Record in Web of Science")</f>
        <v>View Full Record in Web of Science</v>
      </c>
    </row>
    <row r="171" spans="1:72" x14ac:dyDescent="0.15">
      <c r="A171" t="s">
        <v>72</v>
      </c>
      <c r="B171" t="s">
        <v>3468</v>
      </c>
      <c r="C171" t="s">
        <v>74</v>
      </c>
      <c r="D171" t="s">
        <v>74</v>
      </c>
      <c r="E171" t="s">
        <v>74</v>
      </c>
      <c r="F171" t="s">
        <v>3469</v>
      </c>
      <c r="G171" t="s">
        <v>74</v>
      </c>
      <c r="H171" t="s">
        <v>74</v>
      </c>
      <c r="I171" t="s">
        <v>3470</v>
      </c>
      <c r="J171" t="s">
        <v>3471</v>
      </c>
      <c r="K171" t="s">
        <v>74</v>
      </c>
      <c r="L171" t="s">
        <v>74</v>
      </c>
      <c r="M171" t="s">
        <v>78</v>
      </c>
      <c r="N171" t="s">
        <v>79</v>
      </c>
      <c r="O171" t="s">
        <v>74</v>
      </c>
      <c r="P171" t="s">
        <v>74</v>
      </c>
      <c r="Q171" t="s">
        <v>74</v>
      </c>
      <c r="R171" t="s">
        <v>74</v>
      </c>
      <c r="S171" t="s">
        <v>74</v>
      </c>
      <c r="T171" t="s">
        <v>74</v>
      </c>
      <c r="U171" t="s">
        <v>3472</v>
      </c>
      <c r="V171" t="s">
        <v>3473</v>
      </c>
      <c r="W171" t="s">
        <v>3474</v>
      </c>
      <c r="X171" t="s">
        <v>3475</v>
      </c>
      <c r="Y171" t="s">
        <v>3476</v>
      </c>
      <c r="Z171" t="s">
        <v>3477</v>
      </c>
      <c r="AA171" t="s">
        <v>3478</v>
      </c>
      <c r="AB171" t="s">
        <v>3479</v>
      </c>
      <c r="AC171" t="s">
        <v>3480</v>
      </c>
      <c r="AD171" t="s">
        <v>3481</v>
      </c>
      <c r="AE171" t="s">
        <v>3482</v>
      </c>
      <c r="AF171" t="s">
        <v>74</v>
      </c>
      <c r="AG171">
        <v>15</v>
      </c>
      <c r="AH171">
        <v>14</v>
      </c>
      <c r="AI171">
        <v>15</v>
      </c>
      <c r="AJ171">
        <v>0</v>
      </c>
      <c r="AK171">
        <v>1</v>
      </c>
      <c r="AL171" t="s">
        <v>605</v>
      </c>
      <c r="AM171" t="s">
        <v>606</v>
      </c>
      <c r="AN171" t="s">
        <v>607</v>
      </c>
      <c r="AO171" t="s">
        <v>3483</v>
      </c>
      <c r="AP171" t="s">
        <v>3484</v>
      </c>
      <c r="AQ171" t="s">
        <v>74</v>
      </c>
      <c r="AR171" t="s">
        <v>3485</v>
      </c>
      <c r="AS171" t="s">
        <v>3486</v>
      </c>
      <c r="AT171" t="s">
        <v>3430</v>
      </c>
      <c r="AU171">
        <v>2009</v>
      </c>
      <c r="AV171">
        <v>44</v>
      </c>
      <c r="AW171" t="s">
        <v>74</v>
      </c>
      <c r="AX171" t="s">
        <v>74</v>
      </c>
      <c r="AY171" t="s">
        <v>74</v>
      </c>
      <c r="AZ171" t="s">
        <v>74</v>
      </c>
      <c r="BA171" t="s">
        <v>74</v>
      </c>
      <c r="BB171" t="s">
        <v>74</v>
      </c>
      <c r="BC171" t="s">
        <v>74</v>
      </c>
      <c r="BD171" t="s">
        <v>3487</v>
      </c>
      <c r="BE171" t="s">
        <v>3488</v>
      </c>
      <c r="BF171" t="str">
        <f>HYPERLINK("http://dx.doi.org/10.1029/2008RS004001","http://dx.doi.org/10.1029/2008RS004001")</f>
        <v>http://dx.doi.org/10.1029/2008RS004001</v>
      </c>
      <c r="BG171" t="s">
        <v>74</v>
      </c>
      <c r="BH171" t="s">
        <v>74</v>
      </c>
      <c r="BI171">
        <v>11</v>
      </c>
      <c r="BJ171" t="s">
        <v>3489</v>
      </c>
      <c r="BK171" t="s">
        <v>100</v>
      </c>
      <c r="BL171" t="s">
        <v>3489</v>
      </c>
      <c r="BM171" t="s">
        <v>3490</v>
      </c>
      <c r="BN171" t="s">
        <v>74</v>
      </c>
      <c r="BO171" t="s">
        <v>1353</v>
      </c>
      <c r="BP171" t="s">
        <v>74</v>
      </c>
      <c r="BQ171" t="s">
        <v>74</v>
      </c>
      <c r="BR171" t="s">
        <v>103</v>
      </c>
      <c r="BS171" t="s">
        <v>3491</v>
      </c>
      <c r="BT171" t="str">
        <f>HYPERLINK("https%3A%2F%2Fwww.webofscience.com%2Fwos%2Fwoscc%2Ffull-record%2FWOS:000265105500001","View Full Record in Web of Science")</f>
        <v>View Full Record in Web of Science</v>
      </c>
    </row>
    <row r="172" spans="1:72" x14ac:dyDescent="0.15">
      <c r="A172" t="s">
        <v>72</v>
      </c>
      <c r="B172" t="s">
        <v>3492</v>
      </c>
      <c r="C172" t="s">
        <v>74</v>
      </c>
      <c r="D172" t="s">
        <v>74</v>
      </c>
      <c r="E172" t="s">
        <v>74</v>
      </c>
      <c r="F172" t="s">
        <v>3493</v>
      </c>
      <c r="G172" t="s">
        <v>74</v>
      </c>
      <c r="H172" t="s">
        <v>74</v>
      </c>
      <c r="I172" t="s">
        <v>3494</v>
      </c>
      <c r="J172" t="s">
        <v>593</v>
      </c>
      <c r="K172" t="s">
        <v>74</v>
      </c>
      <c r="L172" t="s">
        <v>74</v>
      </c>
      <c r="M172" t="s">
        <v>78</v>
      </c>
      <c r="N172" t="s">
        <v>79</v>
      </c>
      <c r="O172" t="s">
        <v>74</v>
      </c>
      <c r="P172" t="s">
        <v>74</v>
      </c>
      <c r="Q172" t="s">
        <v>74</v>
      </c>
      <c r="R172" t="s">
        <v>74</v>
      </c>
      <c r="S172" t="s">
        <v>74</v>
      </c>
      <c r="T172" t="s">
        <v>74</v>
      </c>
      <c r="U172" t="s">
        <v>3495</v>
      </c>
      <c r="V172" t="s">
        <v>3496</v>
      </c>
      <c r="W172" t="s">
        <v>3497</v>
      </c>
      <c r="X172" t="s">
        <v>3498</v>
      </c>
      <c r="Y172" t="s">
        <v>3499</v>
      </c>
      <c r="Z172" t="s">
        <v>3500</v>
      </c>
      <c r="AA172" t="s">
        <v>3501</v>
      </c>
      <c r="AB172" t="s">
        <v>3502</v>
      </c>
      <c r="AC172" t="s">
        <v>3503</v>
      </c>
      <c r="AD172" t="s">
        <v>3504</v>
      </c>
      <c r="AE172" t="s">
        <v>3505</v>
      </c>
      <c r="AF172" t="s">
        <v>74</v>
      </c>
      <c r="AG172">
        <v>43</v>
      </c>
      <c r="AH172">
        <v>25</v>
      </c>
      <c r="AI172">
        <v>25</v>
      </c>
      <c r="AJ172">
        <v>0</v>
      </c>
      <c r="AK172">
        <v>8</v>
      </c>
      <c r="AL172" t="s">
        <v>605</v>
      </c>
      <c r="AM172" t="s">
        <v>606</v>
      </c>
      <c r="AN172" t="s">
        <v>607</v>
      </c>
      <c r="AO172" t="s">
        <v>608</v>
      </c>
      <c r="AP172" t="s">
        <v>609</v>
      </c>
      <c r="AQ172" t="s">
        <v>74</v>
      </c>
      <c r="AR172" t="s">
        <v>610</v>
      </c>
      <c r="AS172" t="s">
        <v>611</v>
      </c>
      <c r="AT172" t="s">
        <v>3506</v>
      </c>
      <c r="AU172">
        <v>2009</v>
      </c>
      <c r="AV172">
        <v>114</v>
      </c>
      <c r="AW172" t="s">
        <v>74</v>
      </c>
      <c r="AX172" t="s">
        <v>74</v>
      </c>
      <c r="AY172" t="s">
        <v>74</v>
      </c>
      <c r="AZ172" t="s">
        <v>74</v>
      </c>
      <c r="BA172" t="s">
        <v>74</v>
      </c>
      <c r="BB172" t="s">
        <v>74</v>
      </c>
      <c r="BC172" t="s">
        <v>74</v>
      </c>
      <c r="BD172" t="s">
        <v>3507</v>
      </c>
      <c r="BE172" t="s">
        <v>3508</v>
      </c>
      <c r="BF172" t="str">
        <f>HYPERLINK("http://dx.doi.org/10.1029/2008JA013472","http://dx.doi.org/10.1029/2008JA013472")</f>
        <v>http://dx.doi.org/10.1029/2008JA013472</v>
      </c>
      <c r="BG172" t="s">
        <v>74</v>
      </c>
      <c r="BH172" t="s">
        <v>74</v>
      </c>
      <c r="BI172">
        <v>11</v>
      </c>
      <c r="BJ172" t="s">
        <v>285</v>
      </c>
      <c r="BK172" t="s">
        <v>100</v>
      </c>
      <c r="BL172" t="s">
        <v>285</v>
      </c>
      <c r="BM172" t="s">
        <v>3509</v>
      </c>
      <c r="BN172" t="s">
        <v>74</v>
      </c>
      <c r="BO172" t="s">
        <v>3510</v>
      </c>
      <c r="BP172" t="s">
        <v>74</v>
      </c>
      <c r="BQ172" t="s">
        <v>74</v>
      </c>
      <c r="BR172" t="s">
        <v>103</v>
      </c>
      <c r="BS172" t="s">
        <v>3511</v>
      </c>
      <c r="BT172" t="str">
        <f>HYPERLINK("https%3A%2F%2Fwww.webofscience.com%2Fwos%2Fwoscc%2Ffull-record%2FWOS:000264866100001","View Full Record in Web of Science")</f>
        <v>View Full Record in Web of Science</v>
      </c>
    </row>
    <row r="173" spans="1:72" x14ac:dyDescent="0.15">
      <c r="A173" t="s">
        <v>72</v>
      </c>
      <c r="B173" t="s">
        <v>3512</v>
      </c>
      <c r="C173" t="s">
        <v>74</v>
      </c>
      <c r="D173" t="s">
        <v>74</v>
      </c>
      <c r="E173" t="s">
        <v>74</v>
      </c>
      <c r="F173" t="s">
        <v>3513</v>
      </c>
      <c r="G173" t="s">
        <v>74</v>
      </c>
      <c r="H173" t="s">
        <v>74</v>
      </c>
      <c r="I173" t="s">
        <v>3514</v>
      </c>
      <c r="J173" t="s">
        <v>621</v>
      </c>
      <c r="K173" t="s">
        <v>74</v>
      </c>
      <c r="L173" t="s">
        <v>74</v>
      </c>
      <c r="M173" t="s">
        <v>78</v>
      </c>
      <c r="N173" t="s">
        <v>79</v>
      </c>
      <c r="O173" t="s">
        <v>74</v>
      </c>
      <c r="P173" t="s">
        <v>74</v>
      </c>
      <c r="Q173" t="s">
        <v>74</v>
      </c>
      <c r="R173" t="s">
        <v>74</v>
      </c>
      <c r="S173" t="s">
        <v>74</v>
      </c>
      <c r="T173" t="s">
        <v>74</v>
      </c>
      <c r="U173" t="s">
        <v>3515</v>
      </c>
      <c r="V173" t="s">
        <v>3516</v>
      </c>
      <c r="W173" t="s">
        <v>3517</v>
      </c>
      <c r="X173" t="s">
        <v>3518</v>
      </c>
      <c r="Y173" t="s">
        <v>3519</v>
      </c>
      <c r="Z173" t="s">
        <v>3520</v>
      </c>
      <c r="AA173" t="s">
        <v>3521</v>
      </c>
      <c r="AB173" t="s">
        <v>3522</v>
      </c>
      <c r="AC173" t="s">
        <v>3523</v>
      </c>
      <c r="AD173" t="s">
        <v>3524</v>
      </c>
      <c r="AE173" t="s">
        <v>3525</v>
      </c>
      <c r="AF173" t="s">
        <v>74</v>
      </c>
      <c r="AG173">
        <v>73</v>
      </c>
      <c r="AH173">
        <v>97</v>
      </c>
      <c r="AI173">
        <v>107</v>
      </c>
      <c r="AJ173">
        <v>0</v>
      </c>
      <c r="AK173">
        <v>25</v>
      </c>
      <c r="AL173" t="s">
        <v>605</v>
      </c>
      <c r="AM173" t="s">
        <v>606</v>
      </c>
      <c r="AN173" t="s">
        <v>607</v>
      </c>
      <c r="AO173" t="s">
        <v>633</v>
      </c>
      <c r="AP173" t="s">
        <v>634</v>
      </c>
      <c r="AQ173" t="s">
        <v>74</v>
      </c>
      <c r="AR173" t="s">
        <v>621</v>
      </c>
      <c r="AS173" t="s">
        <v>635</v>
      </c>
      <c r="AT173" t="s">
        <v>3506</v>
      </c>
      <c r="AU173">
        <v>2009</v>
      </c>
      <c r="AV173">
        <v>24</v>
      </c>
      <c r="AW173" t="s">
        <v>74</v>
      </c>
      <c r="AX173" t="s">
        <v>74</v>
      </c>
      <c r="AY173" t="s">
        <v>74</v>
      </c>
      <c r="AZ173" t="s">
        <v>74</v>
      </c>
      <c r="BA173" t="s">
        <v>74</v>
      </c>
      <c r="BB173" t="s">
        <v>74</v>
      </c>
      <c r="BC173" t="s">
        <v>74</v>
      </c>
      <c r="BD173" t="s">
        <v>3526</v>
      </c>
      <c r="BE173" t="s">
        <v>3527</v>
      </c>
      <c r="BF173" t="str">
        <f>HYPERLINK("http://dx.doi.org/10.1029/2008PA001659","http://dx.doi.org/10.1029/2008PA001659")</f>
        <v>http://dx.doi.org/10.1029/2008PA001659</v>
      </c>
      <c r="BG173" t="s">
        <v>74</v>
      </c>
      <c r="BH173" t="s">
        <v>74</v>
      </c>
      <c r="BI173">
        <v>13</v>
      </c>
      <c r="BJ173" t="s">
        <v>638</v>
      </c>
      <c r="BK173" t="s">
        <v>100</v>
      </c>
      <c r="BL173" t="s">
        <v>639</v>
      </c>
      <c r="BM173" t="s">
        <v>3528</v>
      </c>
      <c r="BN173" t="s">
        <v>74</v>
      </c>
      <c r="BO173" t="s">
        <v>499</v>
      </c>
      <c r="BP173" t="s">
        <v>74</v>
      </c>
      <c r="BQ173" t="s">
        <v>74</v>
      </c>
      <c r="BR173" t="s">
        <v>103</v>
      </c>
      <c r="BS173" t="s">
        <v>3529</v>
      </c>
      <c r="BT173" t="str">
        <f>HYPERLINK("https%3A%2F%2Fwww.webofscience.com%2Fwos%2Fwoscc%2Ffull-record%2FWOS:000264866500001","View Full Record in Web of Science")</f>
        <v>View Full Record in Web of Science</v>
      </c>
    </row>
    <row r="174" spans="1:72" x14ac:dyDescent="0.15">
      <c r="A174" t="s">
        <v>72</v>
      </c>
      <c r="B174" t="s">
        <v>3530</v>
      </c>
      <c r="C174" t="s">
        <v>74</v>
      </c>
      <c r="D174" t="s">
        <v>74</v>
      </c>
      <c r="E174" t="s">
        <v>74</v>
      </c>
      <c r="F174" t="s">
        <v>3531</v>
      </c>
      <c r="G174" t="s">
        <v>74</v>
      </c>
      <c r="H174" t="s">
        <v>74</v>
      </c>
      <c r="I174" t="s">
        <v>3532</v>
      </c>
      <c r="J174" t="s">
        <v>645</v>
      </c>
      <c r="K174" t="s">
        <v>74</v>
      </c>
      <c r="L174" t="s">
        <v>74</v>
      </c>
      <c r="M174" t="s">
        <v>78</v>
      </c>
      <c r="N174" t="s">
        <v>79</v>
      </c>
      <c r="O174" t="s">
        <v>74</v>
      </c>
      <c r="P174" t="s">
        <v>74</v>
      </c>
      <c r="Q174" t="s">
        <v>74</v>
      </c>
      <c r="R174" t="s">
        <v>74</v>
      </c>
      <c r="S174" t="s">
        <v>74</v>
      </c>
      <c r="T174" t="s">
        <v>74</v>
      </c>
      <c r="U174" t="s">
        <v>3533</v>
      </c>
      <c r="V174" t="s">
        <v>3534</v>
      </c>
      <c r="W174" t="s">
        <v>3535</v>
      </c>
      <c r="X174" t="s">
        <v>3536</v>
      </c>
      <c r="Y174" t="s">
        <v>3537</v>
      </c>
      <c r="Z174" t="s">
        <v>3538</v>
      </c>
      <c r="AA174" t="s">
        <v>3539</v>
      </c>
      <c r="AB174" t="s">
        <v>3540</v>
      </c>
      <c r="AC174" t="s">
        <v>3541</v>
      </c>
      <c r="AD174" t="s">
        <v>3542</v>
      </c>
      <c r="AE174" t="s">
        <v>3543</v>
      </c>
      <c r="AF174" t="s">
        <v>74</v>
      </c>
      <c r="AG174">
        <v>27</v>
      </c>
      <c r="AH174">
        <v>40</v>
      </c>
      <c r="AI174">
        <v>45</v>
      </c>
      <c r="AJ174">
        <v>0</v>
      </c>
      <c r="AK174">
        <v>15</v>
      </c>
      <c r="AL174" t="s">
        <v>605</v>
      </c>
      <c r="AM174" t="s">
        <v>606</v>
      </c>
      <c r="AN174" t="s">
        <v>607</v>
      </c>
      <c r="AO174" t="s">
        <v>657</v>
      </c>
      <c r="AP174" t="s">
        <v>658</v>
      </c>
      <c r="AQ174" t="s">
        <v>74</v>
      </c>
      <c r="AR174" t="s">
        <v>659</v>
      </c>
      <c r="AS174" t="s">
        <v>660</v>
      </c>
      <c r="AT174" t="s">
        <v>3544</v>
      </c>
      <c r="AU174">
        <v>2009</v>
      </c>
      <c r="AV174">
        <v>36</v>
      </c>
      <c r="AW174" t="s">
        <v>74</v>
      </c>
      <c r="AX174" t="s">
        <v>74</v>
      </c>
      <c r="AY174" t="s">
        <v>74</v>
      </c>
      <c r="AZ174" t="s">
        <v>74</v>
      </c>
      <c r="BA174" t="s">
        <v>74</v>
      </c>
      <c r="BB174" t="s">
        <v>74</v>
      </c>
      <c r="BC174" t="s">
        <v>74</v>
      </c>
      <c r="BD174" t="s">
        <v>3545</v>
      </c>
      <c r="BE174" t="s">
        <v>3546</v>
      </c>
      <c r="BF174" t="str">
        <f>HYPERLINK("http://dx.doi.org/10.1029/2009GL037341","http://dx.doi.org/10.1029/2009GL037341")</f>
        <v>http://dx.doi.org/10.1029/2009GL037341</v>
      </c>
      <c r="BG174" t="s">
        <v>74</v>
      </c>
      <c r="BH174" t="s">
        <v>74</v>
      </c>
      <c r="BI174">
        <v>5</v>
      </c>
      <c r="BJ174" t="s">
        <v>496</v>
      </c>
      <c r="BK174" t="s">
        <v>100</v>
      </c>
      <c r="BL174" t="s">
        <v>497</v>
      </c>
      <c r="BM174" t="s">
        <v>3547</v>
      </c>
      <c r="BN174" t="s">
        <v>74</v>
      </c>
      <c r="BO174" t="s">
        <v>3548</v>
      </c>
      <c r="BP174" t="s">
        <v>74</v>
      </c>
      <c r="BQ174" t="s">
        <v>74</v>
      </c>
      <c r="BR174" t="s">
        <v>103</v>
      </c>
      <c r="BS174" t="s">
        <v>3549</v>
      </c>
      <c r="BT174" t="str">
        <f>HYPERLINK("https%3A%2F%2Fwww.webofscience.com%2Fwos%2Fwoscc%2Ffull-record%2FWOS:000264860400005","View Full Record in Web of Science")</f>
        <v>View Full Record in Web of Science</v>
      </c>
    </row>
    <row r="175" spans="1:72" x14ac:dyDescent="0.15">
      <c r="A175" t="s">
        <v>72</v>
      </c>
      <c r="B175" t="s">
        <v>3550</v>
      </c>
      <c r="C175" t="s">
        <v>74</v>
      </c>
      <c r="D175" t="s">
        <v>74</v>
      </c>
      <c r="E175" t="s">
        <v>74</v>
      </c>
      <c r="F175" t="s">
        <v>3551</v>
      </c>
      <c r="G175" t="s">
        <v>74</v>
      </c>
      <c r="H175" t="s">
        <v>74</v>
      </c>
      <c r="I175" t="s">
        <v>3552</v>
      </c>
      <c r="J175" t="s">
        <v>645</v>
      </c>
      <c r="K175" t="s">
        <v>74</v>
      </c>
      <c r="L175" t="s">
        <v>74</v>
      </c>
      <c r="M175" t="s">
        <v>78</v>
      </c>
      <c r="N175" t="s">
        <v>79</v>
      </c>
      <c r="O175" t="s">
        <v>74</v>
      </c>
      <c r="P175" t="s">
        <v>74</v>
      </c>
      <c r="Q175" t="s">
        <v>74</v>
      </c>
      <c r="R175" t="s">
        <v>74</v>
      </c>
      <c r="S175" t="s">
        <v>74</v>
      </c>
      <c r="T175" t="s">
        <v>74</v>
      </c>
      <c r="U175" t="s">
        <v>3553</v>
      </c>
      <c r="V175" t="s">
        <v>3554</v>
      </c>
      <c r="W175" t="s">
        <v>3555</v>
      </c>
      <c r="X175" t="s">
        <v>3556</v>
      </c>
      <c r="Y175" t="s">
        <v>3557</v>
      </c>
      <c r="Z175" t="s">
        <v>3558</v>
      </c>
      <c r="AA175" t="s">
        <v>3559</v>
      </c>
      <c r="AB175" t="s">
        <v>3560</v>
      </c>
      <c r="AC175" t="s">
        <v>3561</v>
      </c>
      <c r="AD175" t="s">
        <v>3562</v>
      </c>
      <c r="AE175" t="s">
        <v>3563</v>
      </c>
      <c r="AF175" t="s">
        <v>74</v>
      </c>
      <c r="AG175">
        <v>28</v>
      </c>
      <c r="AH175">
        <v>123</v>
      </c>
      <c r="AI175">
        <v>138</v>
      </c>
      <c r="AJ175">
        <v>1</v>
      </c>
      <c r="AK175">
        <v>46</v>
      </c>
      <c r="AL175" t="s">
        <v>605</v>
      </c>
      <c r="AM175" t="s">
        <v>606</v>
      </c>
      <c r="AN175" t="s">
        <v>607</v>
      </c>
      <c r="AO175" t="s">
        <v>657</v>
      </c>
      <c r="AP175" t="s">
        <v>658</v>
      </c>
      <c r="AQ175" t="s">
        <v>74</v>
      </c>
      <c r="AR175" t="s">
        <v>659</v>
      </c>
      <c r="AS175" t="s">
        <v>660</v>
      </c>
      <c r="AT175" t="s">
        <v>3544</v>
      </c>
      <c r="AU175">
        <v>2009</v>
      </c>
      <c r="AV175">
        <v>36</v>
      </c>
      <c r="AW175" t="s">
        <v>74</v>
      </c>
      <c r="AX175" t="s">
        <v>74</v>
      </c>
      <c r="AY175" t="s">
        <v>74</v>
      </c>
      <c r="AZ175" t="s">
        <v>74</v>
      </c>
      <c r="BA175" t="s">
        <v>74</v>
      </c>
      <c r="BB175" t="s">
        <v>74</v>
      </c>
      <c r="BC175" t="s">
        <v>74</v>
      </c>
      <c r="BD175" t="s">
        <v>3564</v>
      </c>
      <c r="BE175" t="s">
        <v>3565</v>
      </c>
      <c r="BF175" t="str">
        <f>HYPERLINK("http://dx.doi.org/10.1029/2008GL037020","http://dx.doi.org/10.1029/2008GL037020")</f>
        <v>http://dx.doi.org/10.1029/2008GL037020</v>
      </c>
      <c r="BG175" t="s">
        <v>74</v>
      </c>
      <c r="BH175" t="s">
        <v>74</v>
      </c>
      <c r="BI175">
        <v>5</v>
      </c>
      <c r="BJ175" t="s">
        <v>496</v>
      </c>
      <c r="BK175" t="s">
        <v>100</v>
      </c>
      <c r="BL175" t="s">
        <v>497</v>
      </c>
      <c r="BM175" t="s">
        <v>3547</v>
      </c>
      <c r="BN175" t="s">
        <v>74</v>
      </c>
      <c r="BO175" t="s">
        <v>499</v>
      </c>
      <c r="BP175" t="s">
        <v>74</v>
      </c>
      <c r="BQ175" t="s">
        <v>74</v>
      </c>
      <c r="BR175" t="s">
        <v>103</v>
      </c>
      <c r="BS175" t="s">
        <v>3566</v>
      </c>
      <c r="BT175" t="str">
        <f>HYPERLINK("https%3A%2F%2Fwww.webofscience.com%2Fwos%2Fwoscc%2Ffull-record%2FWOS:000264860400003","View Full Record in Web of Science")</f>
        <v>View Full Record in Web of Science</v>
      </c>
    </row>
    <row r="176" spans="1:72" x14ac:dyDescent="0.15">
      <c r="A176" t="s">
        <v>72</v>
      </c>
      <c r="B176" t="s">
        <v>3567</v>
      </c>
      <c r="C176" t="s">
        <v>74</v>
      </c>
      <c r="D176" t="s">
        <v>74</v>
      </c>
      <c r="E176" t="s">
        <v>74</v>
      </c>
      <c r="F176" t="s">
        <v>3568</v>
      </c>
      <c r="G176" t="s">
        <v>74</v>
      </c>
      <c r="H176" t="s">
        <v>74</v>
      </c>
      <c r="I176" t="s">
        <v>3569</v>
      </c>
      <c r="J176" t="s">
        <v>3570</v>
      </c>
      <c r="K176" t="s">
        <v>74</v>
      </c>
      <c r="L176" t="s">
        <v>74</v>
      </c>
      <c r="M176" t="s">
        <v>78</v>
      </c>
      <c r="N176" t="s">
        <v>172</v>
      </c>
      <c r="O176" t="s">
        <v>74</v>
      </c>
      <c r="P176" t="s">
        <v>74</v>
      </c>
      <c r="Q176" t="s">
        <v>74</v>
      </c>
      <c r="R176" t="s">
        <v>74</v>
      </c>
      <c r="S176" t="s">
        <v>74</v>
      </c>
      <c r="T176" t="s">
        <v>74</v>
      </c>
      <c r="U176" t="s">
        <v>3571</v>
      </c>
      <c r="V176" t="s">
        <v>3572</v>
      </c>
      <c r="W176" t="s">
        <v>3573</v>
      </c>
      <c r="X176" t="s">
        <v>3574</v>
      </c>
      <c r="Y176" t="s">
        <v>3575</v>
      </c>
      <c r="Z176" t="s">
        <v>3576</v>
      </c>
      <c r="AA176" t="s">
        <v>74</v>
      </c>
      <c r="AB176" t="s">
        <v>74</v>
      </c>
      <c r="AC176" t="s">
        <v>74</v>
      </c>
      <c r="AD176" t="s">
        <v>74</v>
      </c>
      <c r="AE176" t="s">
        <v>74</v>
      </c>
      <c r="AF176" t="s">
        <v>74</v>
      </c>
      <c r="AG176">
        <v>194</v>
      </c>
      <c r="AH176">
        <v>200</v>
      </c>
      <c r="AI176">
        <v>226</v>
      </c>
      <c r="AJ176">
        <v>14</v>
      </c>
      <c r="AK176">
        <v>221</v>
      </c>
      <c r="AL176" t="s">
        <v>605</v>
      </c>
      <c r="AM176" t="s">
        <v>606</v>
      </c>
      <c r="AN176" t="s">
        <v>607</v>
      </c>
      <c r="AO176" t="s">
        <v>3577</v>
      </c>
      <c r="AP176" t="s">
        <v>3578</v>
      </c>
      <c r="AQ176" t="s">
        <v>74</v>
      </c>
      <c r="AR176" t="s">
        <v>3579</v>
      </c>
      <c r="AS176" t="s">
        <v>3580</v>
      </c>
      <c r="AT176" t="s">
        <v>3544</v>
      </c>
      <c r="AU176">
        <v>2009</v>
      </c>
      <c r="AV176">
        <v>23</v>
      </c>
      <c r="AW176" t="s">
        <v>74</v>
      </c>
      <c r="AX176" t="s">
        <v>74</v>
      </c>
      <c r="AY176" t="s">
        <v>74</v>
      </c>
      <c r="AZ176" t="s">
        <v>74</v>
      </c>
      <c r="BA176" t="s">
        <v>74</v>
      </c>
      <c r="BB176" t="s">
        <v>74</v>
      </c>
      <c r="BC176" t="s">
        <v>74</v>
      </c>
      <c r="BD176" t="s">
        <v>3581</v>
      </c>
      <c r="BE176" t="s">
        <v>3582</v>
      </c>
      <c r="BF176" t="str">
        <f>HYPERLINK("http://dx.doi.org/10.1029/2008GB003376","http://dx.doi.org/10.1029/2008GB003376")</f>
        <v>http://dx.doi.org/10.1029/2008GB003376</v>
      </c>
      <c r="BG176" t="s">
        <v>74</v>
      </c>
      <c r="BH176" t="s">
        <v>74</v>
      </c>
      <c r="BI176">
        <v>16</v>
      </c>
      <c r="BJ176" t="s">
        <v>3583</v>
      </c>
      <c r="BK176" t="s">
        <v>100</v>
      </c>
      <c r="BL176" t="s">
        <v>3584</v>
      </c>
      <c r="BM176" t="s">
        <v>3585</v>
      </c>
      <c r="BN176" t="s">
        <v>74</v>
      </c>
      <c r="BO176" t="s">
        <v>74</v>
      </c>
      <c r="BP176" t="s">
        <v>74</v>
      </c>
      <c r="BQ176" t="s">
        <v>74</v>
      </c>
      <c r="BR176" t="s">
        <v>103</v>
      </c>
      <c r="BS176" t="s">
        <v>3586</v>
      </c>
      <c r="BT176" t="str">
        <f>HYPERLINK("https%3A%2F%2Fwww.webofscience.com%2Fwos%2Fwoscc%2Ffull-record%2FWOS:000264860800001","View Full Record in Web of Science")</f>
        <v>View Full Record in Web of Science</v>
      </c>
    </row>
    <row r="177" spans="1:72" x14ac:dyDescent="0.15">
      <c r="A177" t="s">
        <v>72</v>
      </c>
      <c r="B177" t="s">
        <v>3587</v>
      </c>
      <c r="C177" t="s">
        <v>74</v>
      </c>
      <c r="D177" t="s">
        <v>74</v>
      </c>
      <c r="E177" t="s">
        <v>74</v>
      </c>
      <c r="F177" t="s">
        <v>3588</v>
      </c>
      <c r="G177" t="s">
        <v>74</v>
      </c>
      <c r="H177" t="s">
        <v>74</v>
      </c>
      <c r="I177" t="s">
        <v>3589</v>
      </c>
      <c r="J177" t="s">
        <v>3590</v>
      </c>
      <c r="K177" t="s">
        <v>74</v>
      </c>
      <c r="L177" t="s">
        <v>74</v>
      </c>
      <c r="M177" t="s">
        <v>78</v>
      </c>
      <c r="N177" t="s">
        <v>79</v>
      </c>
      <c r="O177" t="s">
        <v>74</v>
      </c>
      <c r="P177" t="s">
        <v>74</v>
      </c>
      <c r="Q177" t="s">
        <v>74</v>
      </c>
      <c r="R177" t="s">
        <v>74</v>
      </c>
      <c r="S177" t="s">
        <v>74</v>
      </c>
      <c r="T177" t="s">
        <v>3591</v>
      </c>
      <c r="U177" t="s">
        <v>3592</v>
      </c>
      <c r="V177" t="s">
        <v>3593</v>
      </c>
      <c r="W177" t="s">
        <v>3594</v>
      </c>
      <c r="X177" t="s">
        <v>3595</v>
      </c>
      <c r="Y177" t="s">
        <v>3596</v>
      </c>
      <c r="Z177" t="s">
        <v>3597</v>
      </c>
      <c r="AA177" t="s">
        <v>3598</v>
      </c>
      <c r="AB177" t="s">
        <v>3599</v>
      </c>
      <c r="AC177" t="s">
        <v>74</v>
      </c>
      <c r="AD177" t="s">
        <v>74</v>
      </c>
      <c r="AE177" t="s">
        <v>74</v>
      </c>
      <c r="AF177" t="s">
        <v>74</v>
      </c>
      <c r="AG177">
        <v>18</v>
      </c>
      <c r="AH177">
        <v>17</v>
      </c>
      <c r="AI177">
        <v>18</v>
      </c>
      <c r="AJ177">
        <v>0</v>
      </c>
      <c r="AK177">
        <v>13</v>
      </c>
      <c r="AL177" t="s">
        <v>3600</v>
      </c>
      <c r="AM177" t="s">
        <v>3601</v>
      </c>
      <c r="AN177" t="s">
        <v>3602</v>
      </c>
      <c r="AO177" t="s">
        <v>3603</v>
      </c>
      <c r="AP177" t="s">
        <v>74</v>
      </c>
      <c r="AQ177" t="s">
        <v>74</v>
      </c>
      <c r="AR177" t="s">
        <v>3604</v>
      </c>
      <c r="AS177" t="s">
        <v>3605</v>
      </c>
      <c r="AT177" t="s">
        <v>3544</v>
      </c>
      <c r="AU177">
        <v>2009</v>
      </c>
      <c r="AV177">
        <v>95</v>
      </c>
      <c r="AW177">
        <v>1</v>
      </c>
      <c r="AX177" t="s">
        <v>74</v>
      </c>
      <c r="AY177" t="s">
        <v>74</v>
      </c>
      <c r="AZ177" t="s">
        <v>74</v>
      </c>
      <c r="BA177" t="s">
        <v>74</v>
      </c>
      <c r="BB177">
        <v>40</v>
      </c>
      <c r="BC177">
        <v>45</v>
      </c>
      <c r="BD177" t="s">
        <v>74</v>
      </c>
      <c r="BE177" t="s">
        <v>3606</v>
      </c>
      <c r="BF177" t="str">
        <f>HYPERLINK("http://dx.doi.org/10.1016/j.jphotobiol.2008.12.008","http://dx.doi.org/10.1016/j.jphotobiol.2008.12.008")</f>
        <v>http://dx.doi.org/10.1016/j.jphotobiol.2008.12.008</v>
      </c>
      <c r="BG177" t="s">
        <v>74</v>
      </c>
      <c r="BH177" t="s">
        <v>74</v>
      </c>
      <c r="BI177">
        <v>6</v>
      </c>
      <c r="BJ177" t="s">
        <v>3607</v>
      </c>
      <c r="BK177" t="s">
        <v>100</v>
      </c>
      <c r="BL177" t="s">
        <v>3607</v>
      </c>
      <c r="BM177" t="s">
        <v>3608</v>
      </c>
      <c r="BN177">
        <v>19179091</v>
      </c>
      <c r="BO177" t="s">
        <v>74</v>
      </c>
      <c r="BP177" t="s">
        <v>74</v>
      </c>
      <c r="BQ177" t="s">
        <v>74</v>
      </c>
      <c r="BR177" t="s">
        <v>103</v>
      </c>
      <c r="BS177" t="s">
        <v>3609</v>
      </c>
      <c r="BT177" t="str">
        <f>HYPERLINK("https%3A%2F%2Fwww.webofscience.com%2Fwos%2Fwoscc%2Ffull-record%2FWOS:000264949600007","View Full Record in Web of Science")</f>
        <v>View Full Record in Web of Science</v>
      </c>
    </row>
    <row r="178" spans="1:72" x14ac:dyDescent="0.15">
      <c r="A178" t="s">
        <v>72</v>
      </c>
      <c r="B178" t="s">
        <v>3610</v>
      </c>
      <c r="C178" t="s">
        <v>74</v>
      </c>
      <c r="D178" t="s">
        <v>74</v>
      </c>
      <c r="E178" t="s">
        <v>74</v>
      </c>
      <c r="F178" t="s">
        <v>3611</v>
      </c>
      <c r="G178" t="s">
        <v>74</v>
      </c>
      <c r="H178" t="s">
        <v>74</v>
      </c>
      <c r="I178" t="s">
        <v>3612</v>
      </c>
      <c r="J178" t="s">
        <v>3613</v>
      </c>
      <c r="K178" t="s">
        <v>74</v>
      </c>
      <c r="L178" t="s">
        <v>74</v>
      </c>
      <c r="M178" t="s">
        <v>78</v>
      </c>
      <c r="N178" t="s">
        <v>79</v>
      </c>
      <c r="O178" t="s">
        <v>74</v>
      </c>
      <c r="P178" t="s">
        <v>74</v>
      </c>
      <c r="Q178" t="s">
        <v>74</v>
      </c>
      <c r="R178" t="s">
        <v>74</v>
      </c>
      <c r="S178" t="s">
        <v>74</v>
      </c>
      <c r="T178" t="s">
        <v>74</v>
      </c>
      <c r="U178" t="s">
        <v>3614</v>
      </c>
      <c r="V178" t="s">
        <v>3615</v>
      </c>
      <c r="W178" t="s">
        <v>3616</v>
      </c>
      <c r="X178" t="s">
        <v>3617</v>
      </c>
      <c r="Y178" t="s">
        <v>3618</v>
      </c>
      <c r="Z178" t="s">
        <v>3619</v>
      </c>
      <c r="AA178" t="s">
        <v>3620</v>
      </c>
      <c r="AB178" t="s">
        <v>3621</v>
      </c>
      <c r="AC178" t="s">
        <v>3622</v>
      </c>
      <c r="AD178" t="s">
        <v>3623</v>
      </c>
      <c r="AE178" t="s">
        <v>3624</v>
      </c>
      <c r="AF178" t="s">
        <v>74</v>
      </c>
      <c r="AG178">
        <v>64</v>
      </c>
      <c r="AH178">
        <v>95</v>
      </c>
      <c r="AI178">
        <v>99</v>
      </c>
      <c r="AJ178">
        <v>0</v>
      </c>
      <c r="AK178">
        <v>19</v>
      </c>
      <c r="AL178" t="s">
        <v>605</v>
      </c>
      <c r="AM178" t="s">
        <v>606</v>
      </c>
      <c r="AN178" t="s">
        <v>607</v>
      </c>
      <c r="AO178" t="s">
        <v>3625</v>
      </c>
      <c r="AP178" t="s">
        <v>74</v>
      </c>
      <c r="AQ178" t="s">
        <v>74</v>
      </c>
      <c r="AR178" t="s">
        <v>3626</v>
      </c>
      <c r="AS178" t="s">
        <v>3627</v>
      </c>
      <c r="AT178" t="s">
        <v>3544</v>
      </c>
      <c r="AU178">
        <v>2009</v>
      </c>
      <c r="AV178">
        <v>7</v>
      </c>
      <c r="AW178" t="s">
        <v>74</v>
      </c>
      <c r="AX178" t="s">
        <v>74</v>
      </c>
      <c r="AY178" t="s">
        <v>74</v>
      </c>
      <c r="AZ178" t="s">
        <v>74</v>
      </c>
      <c r="BA178" t="s">
        <v>74</v>
      </c>
      <c r="BB178" t="s">
        <v>74</v>
      </c>
      <c r="BC178" t="s">
        <v>74</v>
      </c>
      <c r="BD178" t="s">
        <v>3628</v>
      </c>
      <c r="BE178" t="s">
        <v>3629</v>
      </c>
      <c r="BF178" t="str">
        <f>HYPERLINK("http://dx.doi.org/10.1029/2008SW000412","http://dx.doi.org/10.1029/2008SW000412")</f>
        <v>http://dx.doi.org/10.1029/2008SW000412</v>
      </c>
      <c r="BG178" t="s">
        <v>74</v>
      </c>
      <c r="BH178" t="s">
        <v>74</v>
      </c>
      <c r="BI178">
        <v>15</v>
      </c>
      <c r="BJ178" t="s">
        <v>3630</v>
      </c>
      <c r="BK178" t="s">
        <v>100</v>
      </c>
      <c r="BL178" t="s">
        <v>3630</v>
      </c>
      <c r="BM178" t="s">
        <v>3631</v>
      </c>
      <c r="BN178" t="s">
        <v>74</v>
      </c>
      <c r="BO178" t="s">
        <v>217</v>
      </c>
      <c r="BP178" t="s">
        <v>74</v>
      </c>
      <c r="BQ178" t="s">
        <v>74</v>
      </c>
      <c r="BR178" t="s">
        <v>103</v>
      </c>
      <c r="BS178" t="s">
        <v>3632</v>
      </c>
      <c r="BT178" t="str">
        <f>HYPERLINK("https%3A%2F%2Fwww.webofscience.com%2Fwos%2Fwoscc%2Ffull-record%2FWOS:000264867200001","View Full Record in Web of Science")</f>
        <v>View Full Record in Web of Science</v>
      </c>
    </row>
    <row r="179" spans="1:72" x14ac:dyDescent="0.15">
      <c r="A179" t="s">
        <v>72</v>
      </c>
      <c r="B179" t="s">
        <v>3633</v>
      </c>
      <c r="C179" t="s">
        <v>74</v>
      </c>
      <c r="D179" t="s">
        <v>74</v>
      </c>
      <c r="E179" t="s">
        <v>74</v>
      </c>
      <c r="F179" t="s">
        <v>3634</v>
      </c>
      <c r="G179" t="s">
        <v>74</v>
      </c>
      <c r="H179" t="s">
        <v>74</v>
      </c>
      <c r="I179" t="s">
        <v>3635</v>
      </c>
      <c r="J179" t="s">
        <v>3636</v>
      </c>
      <c r="K179" t="s">
        <v>74</v>
      </c>
      <c r="L179" t="s">
        <v>74</v>
      </c>
      <c r="M179" t="s">
        <v>78</v>
      </c>
      <c r="N179" t="s">
        <v>79</v>
      </c>
      <c r="O179" t="s">
        <v>74</v>
      </c>
      <c r="P179" t="s">
        <v>74</v>
      </c>
      <c r="Q179" t="s">
        <v>74</v>
      </c>
      <c r="R179" t="s">
        <v>74</v>
      </c>
      <c r="S179" t="s">
        <v>74</v>
      </c>
      <c r="T179" t="s">
        <v>3637</v>
      </c>
      <c r="U179" t="s">
        <v>3638</v>
      </c>
      <c r="V179" t="s">
        <v>3639</v>
      </c>
      <c r="W179" t="s">
        <v>3640</v>
      </c>
      <c r="X179" t="s">
        <v>3641</v>
      </c>
      <c r="Y179" t="s">
        <v>3642</v>
      </c>
      <c r="Z179" t="s">
        <v>3643</v>
      </c>
      <c r="AA179" t="s">
        <v>3644</v>
      </c>
      <c r="AB179" t="s">
        <v>3645</v>
      </c>
      <c r="AC179" t="s">
        <v>3646</v>
      </c>
      <c r="AD179" t="s">
        <v>3647</v>
      </c>
      <c r="AE179" t="s">
        <v>3648</v>
      </c>
      <c r="AF179" t="s">
        <v>74</v>
      </c>
      <c r="AG179">
        <v>35</v>
      </c>
      <c r="AH179">
        <v>10</v>
      </c>
      <c r="AI179">
        <v>11</v>
      </c>
      <c r="AJ179">
        <v>0</v>
      </c>
      <c r="AK179">
        <v>6</v>
      </c>
      <c r="AL179" t="s">
        <v>3649</v>
      </c>
      <c r="AM179" t="s">
        <v>3650</v>
      </c>
      <c r="AN179" t="s">
        <v>3651</v>
      </c>
      <c r="AO179" t="s">
        <v>3652</v>
      </c>
      <c r="AP179" t="s">
        <v>74</v>
      </c>
      <c r="AQ179" t="s">
        <v>74</v>
      </c>
      <c r="AR179" t="s">
        <v>3653</v>
      </c>
      <c r="AS179" t="s">
        <v>3654</v>
      </c>
      <c r="AT179" t="s">
        <v>3655</v>
      </c>
      <c r="AU179">
        <v>2009</v>
      </c>
      <c r="AV179">
        <v>61</v>
      </c>
      <c r="AW179">
        <v>1</v>
      </c>
      <c r="AX179" t="s">
        <v>74</v>
      </c>
      <c r="AY179" t="s">
        <v>74</v>
      </c>
      <c r="AZ179" t="s">
        <v>74</v>
      </c>
      <c r="BA179" t="s">
        <v>74</v>
      </c>
      <c r="BB179">
        <v>55</v>
      </c>
      <c r="BC179">
        <v>67</v>
      </c>
      <c r="BD179" t="s">
        <v>74</v>
      </c>
      <c r="BE179" t="s">
        <v>74</v>
      </c>
      <c r="BF179" t="s">
        <v>74</v>
      </c>
      <c r="BG179" t="s">
        <v>74</v>
      </c>
      <c r="BH179" t="s">
        <v>74</v>
      </c>
      <c r="BI179">
        <v>13</v>
      </c>
      <c r="BJ179" t="s">
        <v>908</v>
      </c>
      <c r="BK179" t="s">
        <v>100</v>
      </c>
      <c r="BL179" t="s">
        <v>908</v>
      </c>
      <c r="BM179" t="s">
        <v>3656</v>
      </c>
      <c r="BN179" t="s">
        <v>74</v>
      </c>
      <c r="BO179" t="s">
        <v>74</v>
      </c>
      <c r="BP179" t="s">
        <v>74</v>
      </c>
      <c r="BQ179" t="s">
        <v>74</v>
      </c>
      <c r="BR179" t="s">
        <v>103</v>
      </c>
      <c r="BS179" t="s">
        <v>3657</v>
      </c>
      <c r="BT179" t="str">
        <f>HYPERLINK("https%3A%2F%2Fwww.webofscience.com%2Fwos%2Fwoscc%2Ffull-record%2FWOS:000266083500007","View Full Record in Web of Science")</f>
        <v>View Full Record in Web of Science</v>
      </c>
    </row>
    <row r="180" spans="1:72" x14ac:dyDescent="0.15">
      <c r="A180" t="s">
        <v>72</v>
      </c>
      <c r="B180" t="s">
        <v>3658</v>
      </c>
      <c r="C180" t="s">
        <v>74</v>
      </c>
      <c r="D180" t="s">
        <v>74</v>
      </c>
      <c r="E180" t="s">
        <v>74</v>
      </c>
      <c r="F180" t="s">
        <v>3659</v>
      </c>
      <c r="G180" t="s">
        <v>74</v>
      </c>
      <c r="H180" t="s">
        <v>74</v>
      </c>
      <c r="I180" t="s">
        <v>3660</v>
      </c>
      <c r="J180" t="s">
        <v>3661</v>
      </c>
      <c r="K180" t="s">
        <v>74</v>
      </c>
      <c r="L180" t="s">
        <v>74</v>
      </c>
      <c r="M180" t="s">
        <v>78</v>
      </c>
      <c r="N180" t="s">
        <v>79</v>
      </c>
      <c r="O180" t="s">
        <v>74</v>
      </c>
      <c r="P180" t="s">
        <v>74</v>
      </c>
      <c r="Q180" t="s">
        <v>74</v>
      </c>
      <c r="R180" t="s">
        <v>74</v>
      </c>
      <c r="S180" t="s">
        <v>74</v>
      </c>
      <c r="T180" t="s">
        <v>3662</v>
      </c>
      <c r="U180" t="s">
        <v>3663</v>
      </c>
      <c r="V180" t="s">
        <v>3664</v>
      </c>
      <c r="W180" t="s">
        <v>3665</v>
      </c>
      <c r="X180" t="s">
        <v>3666</v>
      </c>
      <c r="Y180" t="s">
        <v>3667</v>
      </c>
      <c r="Z180" t="s">
        <v>3668</v>
      </c>
      <c r="AA180" t="s">
        <v>3669</v>
      </c>
      <c r="AB180" t="s">
        <v>3670</v>
      </c>
      <c r="AC180" t="s">
        <v>3671</v>
      </c>
      <c r="AD180" t="s">
        <v>3671</v>
      </c>
      <c r="AE180" t="s">
        <v>3672</v>
      </c>
      <c r="AF180" t="s">
        <v>74</v>
      </c>
      <c r="AG180">
        <v>77</v>
      </c>
      <c r="AH180">
        <v>18</v>
      </c>
      <c r="AI180">
        <v>23</v>
      </c>
      <c r="AJ180">
        <v>1</v>
      </c>
      <c r="AK180">
        <v>28</v>
      </c>
      <c r="AL180" t="s">
        <v>1167</v>
      </c>
      <c r="AM180" t="s">
        <v>1168</v>
      </c>
      <c r="AN180" t="s">
        <v>1169</v>
      </c>
      <c r="AO180" t="s">
        <v>3673</v>
      </c>
      <c r="AP180" t="s">
        <v>3674</v>
      </c>
      <c r="AQ180" t="s">
        <v>74</v>
      </c>
      <c r="AR180" t="s">
        <v>3675</v>
      </c>
      <c r="AS180" t="s">
        <v>3676</v>
      </c>
      <c r="AT180" t="s">
        <v>3655</v>
      </c>
      <c r="AU180">
        <v>2009</v>
      </c>
      <c r="AV180">
        <v>31</v>
      </c>
      <c r="AW180">
        <v>1</v>
      </c>
      <c r="AX180" t="s">
        <v>74</v>
      </c>
      <c r="AY180" t="s">
        <v>74</v>
      </c>
      <c r="AZ180" t="s">
        <v>74</v>
      </c>
      <c r="BA180" t="s">
        <v>74</v>
      </c>
      <c r="BB180">
        <v>87</v>
      </c>
      <c r="BC180">
        <v>96</v>
      </c>
      <c r="BD180" t="s">
        <v>74</v>
      </c>
      <c r="BE180" t="s">
        <v>3677</v>
      </c>
      <c r="BF180" t="str">
        <f>HYPERLINK("http://dx.doi.org/10.2989/AJMS.2009.31.1.8.779","http://dx.doi.org/10.2989/AJMS.2009.31.1.8.779")</f>
        <v>http://dx.doi.org/10.2989/AJMS.2009.31.1.8.779</v>
      </c>
      <c r="BG180" t="s">
        <v>74</v>
      </c>
      <c r="BH180" t="s">
        <v>74</v>
      </c>
      <c r="BI180">
        <v>10</v>
      </c>
      <c r="BJ180" t="s">
        <v>448</v>
      </c>
      <c r="BK180" t="s">
        <v>100</v>
      </c>
      <c r="BL180" t="s">
        <v>448</v>
      </c>
      <c r="BM180" t="s">
        <v>3678</v>
      </c>
      <c r="BN180" t="s">
        <v>74</v>
      </c>
      <c r="BO180" t="s">
        <v>74</v>
      </c>
      <c r="BP180" t="s">
        <v>74</v>
      </c>
      <c r="BQ180" t="s">
        <v>74</v>
      </c>
      <c r="BR180" t="s">
        <v>103</v>
      </c>
      <c r="BS180" t="s">
        <v>3679</v>
      </c>
      <c r="BT180" t="str">
        <f>HYPERLINK("https%3A%2F%2Fwww.webofscience.com%2Fwos%2Fwoscc%2Ffull-record%2FWOS:000267714700008","View Full Record in Web of Science")</f>
        <v>View Full Record in Web of Science</v>
      </c>
    </row>
    <row r="181" spans="1:72" x14ac:dyDescent="0.15">
      <c r="A181" t="s">
        <v>72</v>
      </c>
      <c r="B181" t="s">
        <v>3680</v>
      </c>
      <c r="C181" t="s">
        <v>74</v>
      </c>
      <c r="D181" t="s">
        <v>74</v>
      </c>
      <c r="E181" t="s">
        <v>74</v>
      </c>
      <c r="F181" t="s">
        <v>3681</v>
      </c>
      <c r="G181" t="s">
        <v>74</v>
      </c>
      <c r="H181" t="s">
        <v>74</v>
      </c>
      <c r="I181" t="s">
        <v>3682</v>
      </c>
      <c r="J181" t="s">
        <v>3683</v>
      </c>
      <c r="K181" t="s">
        <v>74</v>
      </c>
      <c r="L181" t="s">
        <v>74</v>
      </c>
      <c r="M181" t="s">
        <v>78</v>
      </c>
      <c r="N181" t="s">
        <v>79</v>
      </c>
      <c r="O181" t="s">
        <v>74</v>
      </c>
      <c r="P181" t="s">
        <v>74</v>
      </c>
      <c r="Q181" t="s">
        <v>74</v>
      </c>
      <c r="R181" t="s">
        <v>74</v>
      </c>
      <c r="S181" t="s">
        <v>74</v>
      </c>
      <c r="T181" t="s">
        <v>74</v>
      </c>
      <c r="U181" t="s">
        <v>3684</v>
      </c>
      <c r="V181" t="s">
        <v>3685</v>
      </c>
      <c r="W181" t="s">
        <v>3686</v>
      </c>
      <c r="X181" t="s">
        <v>3687</v>
      </c>
      <c r="Y181" t="s">
        <v>3688</v>
      </c>
      <c r="Z181" t="s">
        <v>3689</v>
      </c>
      <c r="AA181" t="s">
        <v>74</v>
      </c>
      <c r="AB181" t="s">
        <v>74</v>
      </c>
      <c r="AC181" t="s">
        <v>3690</v>
      </c>
      <c r="AD181" t="s">
        <v>3691</v>
      </c>
      <c r="AE181" t="s">
        <v>3692</v>
      </c>
      <c r="AF181" t="s">
        <v>74</v>
      </c>
      <c r="AG181">
        <v>46</v>
      </c>
      <c r="AH181">
        <v>58</v>
      </c>
      <c r="AI181">
        <v>62</v>
      </c>
      <c r="AJ181">
        <v>0</v>
      </c>
      <c r="AK181">
        <v>7</v>
      </c>
      <c r="AL181" t="s">
        <v>3693</v>
      </c>
      <c r="AM181" t="s">
        <v>3694</v>
      </c>
      <c r="AN181" t="s">
        <v>3695</v>
      </c>
      <c r="AO181" t="s">
        <v>3696</v>
      </c>
      <c r="AP181" t="s">
        <v>74</v>
      </c>
      <c r="AQ181" t="s">
        <v>74</v>
      </c>
      <c r="AR181" t="s">
        <v>3697</v>
      </c>
      <c r="AS181" t="s">
        <v>3698</v>
      </c>
      <c r="AT181" t="s">
        <v>3699</v>
      </c>
      <c r="AU181">
        <v>2009</v>
      </c>
      <c r="AV181">
        <v>89</v>
      </c>
      <c r="AW181">
        <v>4</v>
      </c>
      <c r="AX181" t="s">
        <v>74</v>
      </c>
      <c r="AY181" t="s">
        <v>74</v>
      </c>
      <c r="AZ181" t="s">
        <v>74</v>
      </c>
      <c r="BA181" t="s">
        <v>74</v>
      </c>
      <c r="BB181">
        <v>1092</v>
      </c>
      <c r="BC181">
        <v>1098</v>
      </c>
      <c r="BD181" t="s">
        <v>74</v>
      </c>
      <c r="BE181" t="s">
        <v>3700</v>
      </c>
      <c r="BF181" t="str">
        <f>HYPERLINK("http://dx.doi.org/10.3945/ajcn.2008.27189","http://dx.doi.org/10.3945/ajcn.2008.27189")</f>
        <v>http://dx.doi.org/10.3945/ajcn.2008.27189</v>
      </c>
      <c r="BG181" t="s">
        <v>74</v>
      </c>
      <c r="BH181" t="s">
        <v>74</v>
      </c>
      <c r="BI181">
        <v>7</v>
      </c>
      <c r="BJ181" t="s">
        <v>3701</v>
      </c>
      <c r="BK181" t="s">
        <v>100</v>
      </c>
      <c r="BL181" t="s">
        <v>3701</v>
      </c>
      <c r="BM181" t="s">
        <v>3702</v>
      </c>
      <c r="BN181">
        <v>19225122</v>
      </c>
      <c r="BO181" t="s">
        <v>3703</v>
      </c>
      <c r="BP181" t="s">
        <v>74</v>
      </c>
      <c r="BQ181" t="s">
        <v>74</v>
      </c>
      <c r="BR181" t="s">
        <v>103</v>
      </c>
      <c r="BS181" t="s">
        <v>3704</v>
      </c>
      <c r="BT181" t="str">
        <f>HYPERLINK("https%3A%2F%2Fwww.webofscience.com%2Fwos%2Fwoscc%2Ffull-record%2FWOS:000264319200016","View Full Record in Web of Science")</f>
        <v>View Full Record in Web of Science</v>
      </c>
    </row>
    <row r="182" spans="1:72" x14ac:dyDescent="0.15">
      <c r="A182" t="s">
        <v>72</v>
      </c>
      <c r="B182" t="s">
        <v>3705</v>
      </c>
      <c r="C182" t="s">
        <v>74</v>
      </c>
      <c r="D182" t="s">
        <v>74</v>
      </c>
      <c r="E182" t="s">
        <v>74</v>
      </c>
      <c r="F182" t="s">
        <v>3706</v>
      </c>
      <c r="G182" t="s">
        <v>74</v>
      </c>
      <c r="H182" t="s">
        <v>74</v>
      </c>
      <c r="I182" t="s">
        <v>3707</v>
      </c>
      <c r="J182" t="s">
        <v>3708</v>
      </c>
      <c r="K182" t="s">
        <v>74</v>
      </c>
      <c r="L182" t="s">
        <v>74</v>
      </c>
      <c r="M182" t="s">
        <v>78</v>
      </c>
      <c r="N182" t="s">
        <v>79</v>
      </c>
      <c r="O182" t="s">
        <v>74</v>
      </c>
      <c r="P182" t="s">
        <v>74</v>
      </c>
      <c r="Q182" t="s">
        <v>74</v>
      </c>
      <c r="R182" t="s">
        <v>74</v>
      </c>
      <c r="S182" t="s">
        <v>74</v>
      </c>
      <c r="T182" t="s">
        <v>3709</v>
      </c>
      <c r="U182" t="s">
        <v>74</v>
      </c>
      <c r="V182" t="s">
        <v>3710</v>
      </c>
      <c r="W182" t="s">
        <v>3711</v>
      </c>
      <c r="X182" t="s">
        <v>3712</v>
      </c>
      <c r="Y182" t="s">
        <v>3713</v>
      </c>
      <c r="Z182" t="s">
        <v>3714</v>
      </c>
      <c r="AA182" t="s">
        <v>74</v>
      </c>
      <c r="AB182" t="s">
        <v>74</v>
      </c>
      <c r="AC182" t="s">
        <v>74</v>
      </c>
      <c r="AD182" t="s">
        <v>74</v>
      </c>
      <c r="AE182" t="s">
        <v>74</v>
      </c>
      <c r="AF182" t="s">
        <v>74</v>
      </c>
      <c r="AG182">
        <v>14</v>
      </c>
      <c r="AH182">
        <v>0</v>
      </c>
      <c r="AI182">
        <v>0</v>
      </c>
      <c r="AJ182">
        <v>0</v>
      </c>
      <c r="AK182">
        <v>2</v>
      </c>
      <c r="AL182" t="s">
        <v>3715</v>
      </c>
      <c r="AM182" t="s">
        <v>3716</v>
      </c>
      <c r="AN182" t="s">
        <v>3717</v>
      </c>
      <c r="AO182" t="s">
        <v>3718</v>
      </c>
      <c r="AP182" t="s">
        <v>3719</v>
      </c>
      <c r="AQ182" t="s">
        <v>74</v>
      </c>
      <c r="AR182" t="s">
        <v>3720</v>
      </c>
      <c r="AS182" t="s">
        <v>3721</v>
      </c>
      <c r="AT182" t="s">
        <v>3655</v>
      </c>
      <c r="AU182">
        <v>2009</v>
      </c>
      <c r="AV182">
        <v>52</v>
      </c>
      <c r="AW182">
        <v>2</v>
      </c>
      <c r="AX182" t="s">
        <v>74</v>
      </c>
      <c r="AY182" t="s">
        <v>74</v>
      </c>
      <c r="AZ182" t="s">
        <v>74</v>
      </c>
      <c r="BA182" t="s">
        <v>74</v>
      </c>
      <c r="BB182">
        <v>173</v>
      </c>
      <c r="BC182">
        <v>180</v>
      </c>
      <c r="BD182" t="s">
        <v>74</v>
      </c>
      <c r="BE182" t="s">
        <v>74</v>
      </c>
      <c r="BF182" t="s">
        <v>74</v>
      </c>
      <c r="BG182" t="s">
        <v>74</v>
      </c>
      <c r="BH182" t="s">
        <v>74</v>
      </c>
      <c r="BI182">
        <v>8</v>
      </c>
      <c r="BJ182" t="s">
        <v>534</v>
      </c>
      <c r="BK182" t="s">
        <v>100</v>
      </c>
      <c r="BL182" t="s">
        <v>534</v>
      </c>
      <c r="BM182" t="s">
        <v>3722</v>
      </c>
      <c r="BN182" t="s">
        <v>74</v>
      </c>
      <c r="BO182" t="s">
        <v>74</v>
      </c>
      <c r="BP182" t="s">
        <v>74</v>
      </c>
      <c r="BQ182" t="s">
        <v>74</v>
      </c>
      <c r="BR182" t="s">
        <v>103</v>
      </c>
      <c r="BS182" t="s">
        <v>3723</v>
      </c>
      <c r="BT182" t="str">
        <f>HYPERLINK("https%3A%2F%2Fwww.webofscience.com%2Fwos%2Fwoscc%2Ffull-record%2FWOS:000267851400007","View Full Record in Web of Science")</f>
        <v>View Full Record in Web of Science</v>
      </c>
    </row>
    <row r="183" spans="1:72" x14ac:dyDescent="0.15">
      <c r="A183" t="s">
        <v>72</v>
      </c>
      <c r="B183" t="s">
        <v>3724</v>
      </c>
      <c r="C183" t="s">
        <v>74</v>
      </c>
      <c r="D183" t="s">
        <v>74</v>
      </c>
      <c r="E183" t="s">
        <v>74</v>
      </c>
      <c r="F183" t="s">
        <v>3725</v>
      </c>
      <c r="G183" t="s">
        <v>74</v>
      </c>
      <c r="H183" t="s">
        <v>74</v>
      </c>
      <c r="I183" t="s">
        <v>3726</v>
      </c>
      <c r="J183" t="s">
        <v>3727</v>
      </c>
      <c r="K183" t="s">
        <v>74</v>
      </c>
      <c r="L183" t="s">
        <v>74</v>
      </c>
      <c r="M183" t="s">
        <v>78</v>
      </c>
      <c r="N183" t="s">
        <v>934</v>
      </c>
      <c r="O183" t="s">
        <v>74</v>
      </c>
      <c r="P183" t="s">
        <v>74</v>
      </c>
      <c r="Q183" t="s">
        <v>74</v>
      </c>
      <c r="R183" t="s">
        <v>74</v>
      </c>
      <c r="S183" t="s">
        <v>74</v>
      </c>
      <c r="T183" t="s">
        <v>74</v>
      </c>
      <c r="U183" t="s">
        <v>74</v>
      </c>
      <c r="V183" t="s">
        <v>74</v>
      </c>
      <c r="W183" t="s">
        <v>74</v>
      </c>
      <c r="X183" t="s">
        <v>74</v>
      </c>
      <c r="Y183" t="s">
        <v>74</v>
      </c>
      <c r="Z183" t="s">
        <v>74</v>
      </c>
      <c r="AA183" t="s">
        <v>74</v>
      </c>
      <c r="AB183" t="s">
        <v>74</v>
      </c>
      <c r="AC183" t="s">
        <v>74</v>
      </c>
      <c r="AD183" t="s">
        <v>74</v>
      </c>
      <c r="AE183" t="s">
        <v>74</v>
      </c>
      <c r="AF183" t="s">
        <v>74</v>
      </c>
      <c r="AG183">
        <v>0</v>
      </c>
      <c r="AH183">
        <v>0</v>
      </c>
      <c r="AI183">
        <v>0</v>
      </c>
      <c r="AJ183">
        <v>0</v>
      </c>
      <c r="AK183">
        <v>2</v>
      </c>
      <c r="AL183" t="s">
        <v>3728</v>
      </c>
      <c r="AM183" t="s">
        <v>92</v>
      </c>
      <c r="AN183" t="s">
        <v>3729</v>
      </c>
      <c r="AO183" t="s">
        <v>3730</v>
      </c>
      <c r="AP183" t="s">
        <v>74</v>
      </c>
      <c r="AQ183" t="s">
        <v>74</v>
      </c>
      <c r="AR183" t="s">
        <v>3731</v>
      </c>
      <c r="AS183" t="s">
        <v>3732</v>
      </c>
      <c r="AT183" t="s">
        <v>3655</v>
      </c>
      <c r="AU183">
        <v>2009</v>
      </c>
      <c r="AV183">
        <v>21</v>
      </c>
      <c r="AW183">
        <v>2</v>
      </c>
      <c r="AX183" t="s">
        <v>74</v>
      </c>
      <c r="AY183" t="s">
        <v>74</v>
      </c>
      <c r="AZ183" t="s">
        <v>74</v>
      </c>
      <c r="BA183" t="s">
        <v>74</v>
      </c>
      <c r="BB183">
        <v>97</v>
      </c>
      <c r="BC183">
        <v>97</v>
      </c>
      <c r="BD183" t="s">
        <v>74</v>
      </c>
      <c r="BE183" t="s">
        <v>3733</v>
      </c>
      <c r="BF183" t="str">
        <f>HYPERLINK("http://dx.doi.org/10.1017/S0954102009001850","http://dx.doi.org/10.1017/S0954102009001850")</f>
        <v>http://dx.doi.org/10.1017/S0954102009001850</v>
      </c>
      <c r="BG183" t="s">
        <v>74</v>
      </c>
      <c r="BH183" t="s">
        <v>74</v>
      </c>
      <c r="BI183">
        <v>1</v>
      </c>
      <c r="BJ183" t="s">
        <v>1927</v>
      </c>
      <c r="BK183" t="s">
        <v>100</v>
      </c>
      <c r="BL183" t="s">
        <v>1928</v>
      </c>
      <c r="BM183" t="s">
        <v>3734</v>
      </c>
      <c r="BN183" t="s">
        <v>74</v>
      </c>
      <c r="BO183" t="s">
        <v>499</v>
      </c>
      <c r="BP183" t="s">
        <v>74</v>
      </c>
      <c r="BQ183" t="s">
        <v>74</v>
      </c>
      <c r="BR183" t="s">
        <v>103</v>
      </c>
      <c r="BS183" t="s">
        <v>3735</v>
      </c>
      <c r="BT183" t="str">
        <f>HYPERLINK("https%3A%2F%2Fwww.webofscience.com%2Fwos%2Fwoscc%2Ffull-record%2FWOS:000264652200001","View Full Record in Web of Science")</f>
        <v>View Full Record in Web of Science</v>
      </c>
    </row>
    <row r="184" spans="1:72" x14ac:dyDescent="0.15">
      <c r="A184" t="s">
        <v>72</v>
      </c>
      <c r="B184" t="s">
        <v>3736</v>
      </c>
      <c r="C184" t="s">
        <v>74</v>
      </c>
      <c r="D184" t="s">
        <v>74</v>
      </c>
      <c r="E184" t="s">
        <v>74</v>
      </c>
      <c r="F184" t="s">
        <v>3737</v>
      </c>
      <c r="G184" t="s">
        <v>74</v>
      </c>
      <c r="H184" t="s">
        <v>74</v>
      </c>
      <c r="I184" t="s">
        <v>3738</v>
      </c>
      <c r="J184" t="s">
        <v>3727</v>
      </c>
      <c r="K184" t="s">
        <v>74</v>
      </c>
      <c r="L184" t="s">
        <v>74</v>
      </c>
      <c r="M184" t="s">
        <v>78</v>
      </c>
      <c r="N184" t="s">
        <v>79</v>
      </c>
      <c r="O184" t="s">
        <v>74</v>
      </c>
      <c r="P184" t="s">
        <v>74</v>
      </c>
      <c r="Q184" t="s">
        <v>74</v>
      </c>
      <c r="R184" t="s">
        <v>74</v>
      </c>
      <c r="S184" t="s">
        <v>74</v>
      </c>
      <c r="T184" t="s">
        <v>3739</v>
      </c>
      <c r="U184" t="s">
        <v>3740</v>
      </c>
      <c r="V184" t="s">
        <v>3741</v>
      </c>
      <c r="W184" t="s">
        <v>3742</v>
      </c>
      <c r="X184" t="s">
        <v>161</v>
      </c>
      <c r="Y184" t="s">
        <v>3743</v>
      </c>
      <c r="Z184" t="s">
        <v>3744</v>
      </c>
      <c r="AA184" t="s">
        <v>3745</v>
      </c>
      <c r="AB184" t="s">
        <v>3746</v>
      </c>
      <c r="AC184" t="s">
        <v>3747</v>
      </c>
      <c r="AD184" t="s">
        <v>3748</v>
      </c>
      <c r="AE184" t="s">
        <v>3749</v>
      </c>
      <c r="AF184" t="s">
        <v>74</v>
      </c>
      <c r="AG184">
        <v>98</v>
      </c>
      <c r="AH184">
        <v>66</v>
      </c>
      <c r="AI184">
        <v>72</v>
      </c>
      <c r="AJ184">
        <v>0</v>
      </c>
      <c r="AK184">
        <v>7</v>
      </c>
      <c r="AL184" t="s">
        <v>3728</v>
      </c>
      <c r="AM184" t="s">
        <v>92</v>
      </c>
      <c r="AN184" t="s">
        <v>3729</v>
      </c>
      <c r="AO184" t="s">
        <v>3730</v>
      </c>
      <c r="AP184" t="s">
        <v>3750</v>
      </c>
      <c r="AQ184" t="s">
        <v>74</v>
      </c>
      <c r="AR184" t="s">
        <v>3731</v>
      </c>
      <c r="AS184" t="s">
        <v>3732</v>
      </c>
      <c r="AT184" t="s">
        <v>3655</v>
      </c>
      <c r="AU184">
        <v>2009</v>
      </c>
      <c r="AV184">
        <v>21</v>
      </c>
      <c r="AW184">
        <v>2</v>
      </c>
      <c r="AX184" t="s">
        <v>74</v>
      </c>
      <c r="AY184" t="s">
        <v>74</v>
      </c>
      <c r="AZ184" t="s">
        <v>74</v>
      </c>
      <c r="BA184" t="s">
        <v>74</v>
      </c>
      <c r="BB184">
        <v>99</v>
      </c>
      <c r="BC184">
        <v>111</v>
      </c>
      <c r="BD184" t="s">
        <v>74</v>
      </c>
      <c r="BE184" t="s">
        <v>3751</v>
      </c>
      <c r="BF184" t="str">
        <f>HYPERLINK("http://dx.doi.org/10.1017/S095410200800151X","http://dx.doi.org/10.1017/S095410200800151X")</f>
        <v>http://dx.doi.org/10.1017/S095410200800151X</v>
      </c>
      <c r="BG184" t="s">
        <v>74</v>
      </c>
      <c r="BH184" t="s">
        <v>74</v>
      </c>
      <c r="BI184">
        <v>13</v>
      </c>
      <c r="BJ184" t="s">
        <v>1927</v>
      </c>
      <c r="BK184" t="s">
        <v>100</v>
      </c>
      <c r="BL184" t="s">
        <v>1928</v>
      </c>
      <c r="BM184" t="s">
        <v>3734</v>
      </c>
      <c r="BN184" t="s">
        <v>74</v>
      </c>
      <c r="BO184" t="s">
        <v>74</v>
      </c>
      <c r="BP184" t="s">
        <v>74</v>
      </c>
      <c r="BQ184" t="s">
        <v>74</v>
      </c>
      <c r="BR184" t="s">
        <v>103</v>
      </c>
      <c r="BS184" t="s">
        <v>3752</v>
      </c>
      <c r="BT184" t="str">
        <f>HYPERLINK("https%3A%2F%2Fwww.webofscience.com%2Fwos%2Fwoscc%2Ffull-record%2FWOS:000264652200002","View Full Record in Web of Science")</f>
        <v>View Full Record in Web of Science</v>
      </c>
    </row>
    <row r="185" spans="1:72" x14ac:dyDescent="0.15">
      <c r="A185" t="s">
        <v>72</v>
      </c>
      <c r="B185" t="s">
        <v>3753</v>
      </c>
      <c r="C185" t="s">
        <v>74</v>
      </c>
      <c r="D185" t="s">
        <v>74</v>
      </c>
      <c r="E185" t="s">
        <v>74</v>
      </c>
      <c r="F185" t="s">
        <v>3754</v>
      </c>
      <c r="G185" t="s">
        <v>74</v>
      </c>
      <c r="H185" t="s">
        <v>74</v>
      </c>
      <c r="I185" t="s">
        <v>3755</v>
      </c>
      <c r="J185" t="s">
        <v>3727</v>
      </c>
      <c r="K185" t="s">
        <v>74</v>
      </c>
      <c r="L185" t="s">
        <v>74</v>
      </c>
      <c r="M185" t="s">
        <v>78</v>
      </c>
      <c r="N185" t="s">
        <v>79</v>
      </c>
      <c r="O185" t="s">
        <v>74</v>
      </c>
      <c r="P185" t="s">
        <v>74</v>
      </c>
      <c r="Q185" t="s">
        <v>74</v>
      </c>
      <c r="R185" t="s">
        <v>74</v>
      </c>
      <c r="S185" t="s">
        <v>74</v>
      </c>
      <c r="T185" t="s">
        <v>3756</v>
      </c>
      <c r="U185" t="s">
        <v>3757</v>
      </c>
      <c r="V185" t="s">
        <v>3758</v>
      </c>
      <c r="W185" t="s">
        <v>3759</v>
      </c>
      <c r="X185" t="s">
        <v>3760</v>
      </c>
      <c r="Y185" t="s">
        <v>3761</v>
      </c>
      <c r="Z185" t="s">
        <v>3762</v>
      </c>
      <c r="AA185" t="s">
        <v>3763</v>
      </c>
      <c r="AB185" t="s">
        <v>3764</v>
      </c>
      <c r="AC185" t="s">
        <v>3765</v>
      </c>
      <c r="AD185" t="s">
        <v>3766</v>
      </c>
      <c r="AE185" t="s">
        <v>3767</v>
      </c>
      <c r="AF185" t="s">
        <v>74</v>
      </c>
      <c r="AG185">
        <v>56</v>
      </c>
      <c r="AH185">
        <v>30</v>
      </c>
      <c r="AI185">
        <v>35</v>
      </c>
      <c r="AJ185">
        <v>0</v>
      </c>
      <c r="AK185">
        <v>13</v>
      </c>
      <c r="AL185" t="s">
        <v>3728</v>
      </c>
      <c r="AM185" t="s">
        <v>92</v>
      </c>
      <c r="AN185" t="s">
        <v>3729</v>
      </c>
      <c r="AO185" t="s">
        <v>3730</v>
      </c>
      <c r="AP185" t="s">
        <v>3750</v>
      </c>
      <c r="AQ185" t="s">
        <v>74</v>
      </c>
      <c r="AR185" t="s">
        <v>3731</v>
      </c>
      <c r="AS185" t="s">
        <v>3732</v>
      </c>
      <c r="AT185" t="s">
        <v>3655</v>
      </c>
      <c r="AU185">
        <v>2009</v>
      </c>
      <c r="AV185">
        <v>21</v>
      </c>
      <c r="AW185">
        <v>2</v>
      </c>
      <c r="AX185" t="s">
        <v>74</v>
      </c>
      <c r="AY185" t="s">
        <v>74</v>
      </c>
      <c r="AZ185" t="s">
        <v>74</v>
      </c>
      <c r="BA185" t="s">
        <v>74</v>
      </c>
      <c r="BB185">
        <v>113</v>
      </c>
      <c r="BC185">
        <v>121</v>
      </c>
      <c r="BD185" t="s">
        <v>74</v>
      </c>
      <c r="BE185" t="s">
        <v>3768</v>
      </c>
      <c r="BF185" t="str">
        <f>HYPERLINK("http://dx.doi.org/10.1017/S0954102008001557","http://dx.doi.org/10.1017/S0954102008001557")</f>
        <v>http://dx.doi.org/10.1017/S0954102008001557</v>
      </c>
      <c r="BG185" t="s">
        <v>74</v>
      </c>
      <c r="BH185" t="s">
        <v>74</v>
      </c>
      <c r="BI185">
        <v>9</v>
      </c>
      <c r="BJ185" t="s">
        <v>1927</v>
      </c>
      <c r="BK185" t="s">
        <v>100</v>
      </c>
      <c r="BL185" t="s">
        <v>1928</v>
      </c>
      <c r="BM185" t="s">
        <v>3734</v>
      </c>
      <c r="BN185" t="s">
        <v>74</v>
      </c>
      <c r="BO185" t="s">
        <v>3769</v>
      </c>
      <c r="BP185" t="s">
        <v>74</v>
      </c>
      <c r="BQ185" t="s">
        <v>74</v>
      </c>
      <c r="BR185" t="s">
        <v>103</v>
      </c>
      <c r="BS185" t="s">
        <v>3770</v>
      </c>
      <c r="BT185" t="str">
        <f>HYPERLINK("https%3A%2F%2Fwww.webofscience.com%2Fwos%2Fwoscc%2Ffull-record%2FWOS:000264652200003","View Full Record in Web of Science")</f>
        <v>View Full Record in Web of Science</v>
      </c>
    </row>
    <row r="186" spans="1:72" x14ac:dyDescent="0.15">
      <c r="A186" t="s">
        <v>72</v>
      </c>
      <c r="B186" t="s">
        <v>3771</v>
      </c>
      <c r="C186" t="s">
        <v>74</v>
      </c>
      <c r="D186" t="s">
        <v>74</v>
      </c>
      <c r="E186" t="s">
        <v>74</v>
      </c>
      <c r="F186" t="s">
        <v>3772</v>
      </c>
      <c r="G186" t="s">
        <v>74</v>
      </c>
      <c r="H186" t="s">
        <v>74</v>
      </c>
      <c r="I186" t="s">
        <v>3773</v>
      </c>
      <c r="J186" t="s">
        <v>3727</v>
      </c>
      <c r="K186" t="s">
        <v>74</v>
      </c>
      <c r="L186" t="s">
        <v>74</v>
      </c>
      <c r="M186" t="s">
        <v>78</v>
      </c>
      <c r="N186" t="s">
        <v>79</v>
      </c>
      <c r="O186" t="s">
        <v>74</v>
      </c>
      <c r="P186" t="s">
        <v>74</v>
      </c>
      <c r="Q186" t="s">
        <v>74</v>
      </c>
      <c r="R186" t="s">
        <v>74</v>
      </c>
      <c r="S186" t="s">
        <v>74</v>
      </c>
      <c r="T186" t="s">
        <v>3774</v>
      </c>
      <c r="U186" t="s">
        <v>3775</v>
      </c>
      <c r="V186" t="s">
        <v>3776</v>
      </c>
      <c r="W186" t="s">
        <v>3777</v>
      </c>
      <c r="X186" t="s">
        <v>3778</v>
      </c>
      <c r="Y186" t="s">
        <v>3779</v>
      </c>
      <c r="Z186" t="s">
        <v>3780</v>
      </c>
      <c r="AA186" t="s">
        <v>3781</v>
      </c>
      <c r="AB186" t="s">
        <v>3782</v>
      </c>
      <c r="AC186" t="s">
        <v>3783</v>
      </c>
      <c r="AD186" t="s">
        <v>2716</v>
      </c>
      <c r="AE186" t="s">
        <v>3784</v>
      </c>
      <c r="AF186" t="s">
        <v>74</v>
      </c>
      <c r="AG186">
        <v>43</v>
      </c>
      <c r="AH186">
        <v>15</v>
      </c>
      <c r="AI186">
        <v>15</v>
      </c>
      <c r="AJ186">
        <v>1</v>
      </c>
      <c r="AK186">
        <v>14</v>
      </c>
      <c r="AL186" t="s">
        <v>3728</v>
      </c>
      <c r="AM186" t="s">
        <v>92</v>
      </c>
      <c r="AN186" t="s">
        <v>3729</v>
      </c>
      <c r="AO186" t="s">
        <v>3730</v>
      </c>
      <c r="AP186" t="s">
        <v>3750</v>
      </c>
      <c r="AQ186" t="s">
        <v>74</v>
      </c>
      <c r="AR186" t="s">
        <v>3731</v>
      </c>
      <c r="AS186" t="s">
        <v>3732</v>
      </c>
      <c r="AT186" t="s">
        <v>3655</v>
      </c>
      <c r="AU186">
        <v>2009</v>
      </c>
      <c r="AV186">
        <v>21</v>
      </c>
      <c r="AW186">
        <v>2</v>
      </c>
      <c r="AX186" t="s">
        <v>74</v>
      </c>
      <c r="AY186" t="s">
        <v>74</v>
      </c>
      <c r="AZ186" t="s">
        <v>74</v>
      </c>
      <c r="BA186" t="s">
        <v>74</v>
      </c>
      <c r="BB186">
        <v>123</v>
      </c>
      <c r="BC186">
        <v>129</v>
      </c>
      <c r="BD186" t="s">
        <v>74</v>
      </c>
      <c r="BE186" t="s">
        <v>3785</v>
      </c>
      <c r="BF186" t="str">
        <f>HYPERLINK("http://dx.doi.org/10.1017/S0954102008001661","http://dx.doi.org/10.1017/S0954102008001661")</f>
        <v>http://dx.doi.org/10.1017/S0954102008001661</v>
      </c>
      <c r="BG186" t="s">
        <v>74</v>
      </c>
      <c r="BH186" t="s">
        <v>74</v>
      </c>
      <c r="BI186">
        <v>7</v>
      </c>
      <c r="BJ186" t="s">
        <v>1927</v>
      </c>
      <c r="BK186" t="s">
        <v>100</v>
      </c>
      <c r="BL186" t="s">
        <v>1928</v>
      </c>
      <c r="BM186" t="s">
        <v>3734</v>
      </c>
      <c r="BN186" t="s">
        <v>74</v>
      </c>
      <c r="BO186" t="s">
        <v>74</v>
      </c>
      <c r="BP186" t="s">
        <v>74</v>
      </c>
      <c r="BQ186" t="s">
        <v>74</v>
      </c>
      <c r="BR186" t="s">
        <v>103</v>
      </c>
      <c r="BS186" t="s">
        <v>3786</v>
      </c>
      <c r="BT186" t="str">
        <f>HYPERLINK("https%3A%2F%2Fwww.webofscience.com%2Fwos%2Fwoscc%2Ffull-record%2FWOS:000264652200004","View Full Record in Web of Science")</f>
        <v>View Full Record in Web of Science</v>
      </c>
    </row>
    <row r="187" spans="1:72" x14ac:dyDescent="0.15">
      <c r="A187" t="s">
        <v>72</v>
      </c>
      <c r="B187" t="s">
        <v>3787</v>
      </c>
      <c r="C187" t="s">
        <v>74</v>
      </c>
      <c r="D187" t="s">
        <v>74</v>
      </c>
      <c r="E187" t="s">
        <v>74</v>
      </c>
      <c r="F187" t="s">
        <v>3788</v>
      </c>
      <c r="G187" t="s">
        <v>74</v>
      </c>
      <c r="H187" t="s">
        <v>74</v>
      </c>
      <c r="I187" t="s">
        <v>3789</v>
      </c>
      <c r="J187" t="s">
        <v>3727</v>
      </c>
      <c r="K187" t="s">
        <v>74</v>
      </c>
      <c r="L187" t="s">
        <v>74</v>
      </c>
      <c r="M187" t="s">
        <v>78</v>
      </c>
      <c r="N187" t="s">
        <v>79</v>
      </c>
      <c r="O187" t="s">
        <v>74</v>
      </c>
      <c r="P187" t="s">
        <v>74</v>
      </c>
      <c r="Q187" t="s">
        <v>74</v>
      </c>
      <c r="R187" t="s">
        <v>74</v>
      </c>
      <c r="S187" t="s">
        <v>74</v>
      </c>
      <c r="T187" t="s">
        <v>3790</v>
      </c>
      <c r="U187" t="s">
        <v>3791</v>
      </c>
      <c r="V187" t="s">
        <v>3792</v>
      </c>
      <c r="W187" t="s">
        <v>3793</v>
      </c>
      <c r="X187" t="s">
        <v>3794</v>
      </c>
      <c r="Y187" t="s">
        <v>3795</v>
      </c>
      <c r="Z187" t="s">
        <v>3796</v>
      </c>
      <c r="AA187" t="s">
        <v>3797</v>
      </c>
      <c r="AB187" t="s">
        <v>3798</v>
      </c>
      <c r="AC187" t="s">
        <v>3799</v>
      </c>
      <c r="AD187" t="s">
        <v>3800</v>
      </c>
      <c r="AE187" t="s">
        <v>3801</v>
      </c>
      <c r="AF187" t="s">
        <v>74</v>
      </c>
      <c r="AG187">
        <v>33</v>
      </c>
      <c r="AH187">
        <v>12</v>
      </c>
      <c r="AI187">
        <v>14</v>
      </c>
      <c r="AJ187">
        <v>0</v>
      </c>
      <c r="AK187">
        <v>13</v>
      </c>
      <c r="AL187" t="s">
        <v>3728</v>
      </c>
      <c r="AM187" t="s">
        <v>92</v>
      </c>
      <c r="AN187" t="s">
        <v>3729</v>
      </c>
      <c r="AO187" t="s">
        <v>3730</v>
      </c>
      <c r="AP187" t="s">
        <v>3750</v>
      </c>
      <c r="AQ187" t="s">
        <v>74</v>
      </c>
      <c r="AR187" t="s">
        <v>3731</v>
      </c>
      <c r="AS187" t="s">
        <v>3732</v>
      </c>
      <c r="AT187" t="s">
        <v>3655</v>
      </c>
      <c r="AU187">
        <v>2009</v>
      </c>
      <c r="AV187">
        <v>21</v>
      </c>
      <c r="AW187">
        <v>2</v>
      </c>
      <c r="AX187" t="s">
        <v>74</v>
      </c>
      <c r="AY187" t="s">
        <v>74</v>
      </c>
      <c r="AZ187" t="s">
        <v>74</v>
      </c>
      <c r="BA187" t="s">
        <v>74</v>
      </c>
      <c r="BB187">
        <v>131</v>
      </c>
      <c r="BC187">
        <v>134</v>
      </c>
      <c r="BD187" t="s">
        <v>74</v>
      </c>
      <c r="BE187" t="s">
        <v>3802</v>
      </c>
      <c r="BF187" t="str">
        <f>HYPERLINK("http://dx.doi.org/10.1017/S095410200800165X","http://dx.doi.org/10.1017/S095410200800165X")</f>
        <v>http://dx.doi.org/10.1017/S095410200800165X</v>
      </c>
      <c r="BG187" t="s">
        <v>74</v>
      </c>
      <c r="BH187" t="s">
        <v>74</v>
      </c>
      <c r="BI187">
        <v>4</v>
      </c>
      <c r="BJ187" t="s">
        <v>1927</v>
      </c>
      <c r="BK187" t="s">
        <v>100</v>
      </c>
      <c r="BL187" t="s">
        <v>1928</v>
      </c>
      <c r="BM187" t="s">
        <v>3734</v>
      </c>
      <c r="BN187" t="s">
        <v>74</v>
      </c>
      <c r="BO187" t="s">
        <v>74</v>
      </c>
      <c r="BP187" t="s">
        <v>74</v>
      </c>
      <c r="BQ187" t="s">
        <v>74</v>
      </c>
      <c r="BR187" t="s">
        <v>103</v>
      </c>
      <c r="BS187" t="s">
        <v>3803</v>
      </c>
      <c r="BT187" t="str">
        <f>HYPERLINK("https%3A%2F%2Fwww.webofscience.com%2Fwos%2Fwoscc%2Ffull-record%2FWOS:000264652200005","View Full Record in Web of Science")</f>
        <v>View Full Record in Web of Science</v>
      </c>
    </row>
    <row r="188" spans="1:72" x14ac:dyDescent="0.15">
      <c r="A188" t="s">
        <v>72</v>
      </c>
      <c r="B188" t="s">
        <v>3804</v>
      </c>
      <c r="C188" t="s">
        <v>74</v>
      </c>
      <c r="D188" t="s">
        <v>74</v>
      </c>
      <c r="E188" t="s">
        <v>74</v>
      </c>
      <c r="F188" t="s">
        <v>3805</v>
      </c>
      <c r="G188" t="s">
        <v>74</v>
      </c>
      <c r="H188" t="s">
        <v>74</v>
      </c>
      <c r="I188" t="s">
        <v>3806</v>
      </c>
      <c r="J188" t="s">
        <v>3727</v>
      </c>
      <c r="K188" t="s">
        <v>74</v>
      </c>
      <c r="L188" t="s">
        <v>74</v>
      </c>
      <c r="M188" t="s">
        <v>78</v>
      </c>
      <c r="N188" t="s">
        <v>79</v>
      </c>
      <c r="O188" t="s">
        <v>74</v>
      </c>
      <c r="P188" t="s">
        <v>74</v>
      </c>
      <c r="Q188" t="s">
        <v>74</v>
      </c>
      <c r="R188" t="s">
        <v>74</v>
      </c>
      <c r="S188" t="s">
        <v>74</v>
      </c>
      <c r="T188" t="s">
        <v>3807</v>
      </c>
      <c r="U188" t="s">
        <v>3808</v>
      </c>
      <c r="V188" t="s">
        <v>3809</v>
      </c>
      <c r="W188" t="s">
        <v>3810</v>
      </c>
      <c r="X188" t="s">
        <v>3811</v>
      </c>
      <c r="Y188" t="s">
        <v>3812</v>
      </c>
      <c r="Z188" t="s">
        <v>3813</v>
      </c>
      <c r="AA188" t="s">
        <v>74</v>
      </c>
      <c r="AB188" t="s">
        <v>3814</v>
      </c>
      <c r="AC188" t="s">
        <v>74</v>
      </c>
      <c r="AD188" t="s">
        <v>74</v>
      </c>
      <c r="AE188" t="s">
        <v>74</v>
      </c>
      <c r="AF188" t="s">
        <v>74</v>
      </c>
      <c r="AG188">
        <v>51</v>
      </c>
      <c r="AH188">
        <v>89</v>
      </c>
      <c r="AI188">
        <v>102</v>
      </c>
      <c r="AJ188">
        <v>1</v>
      </c>
      <c r="AK188">
        <v>40</v>
      </c>
      <c r="AL188" t="s">
        <v>3728</v>
      </c>
      <c r="AM188" t="s">
        <v>92</v>
      </c>
      <c r="AN188" t="s">
        <v>3729</v>
      </c>
      <c r="AO188" t="s">
        <v>3730</v>
      </c>
      <c r="AP188" t="s">
        <v>3750</v>
      </c>
      <c r="AQ188" t="s">
        <v>74</v>
      </c>
      <c r="AR188" t="s">
        <v>3731</v>
      </c>
      <c r="AS188" t="s">
        <v>3732</v>
      </c>
      <c r="AT188" t="s">
        <v>3655</v>
      </c>
      <c r="AU188">
        <v>2009</v>
      </c>
      <c r="AV188">
        <v>21</v>
      </c>
      <c r="AW188">
        <v>2</v>
      </c>
      <c r="AX188" t="s">
        <v>74</v>
      </c>
      <c r="AY188" t="s">
        <v>74</v>
      </c>
      <c r="AZ188" t="s">
        <v>74</v>
      </c>
      <c r="BA188" t="s">
        <v>74</v>
      </c>
      <c r="BB188">
        <v>135</v>
      </c>
      <c r="BC188">
        <v>148</v>
      </c>
      <c r="BD188" t="s">
        <v>74</v>
      </c>
      <c r="BE188" t="s">
        <v>3815</v>
      </c>
      <c r="BF188" t="str">
        <f>HYPERLINK("http://dx.doi.org/10.1017/S0954102008001636","http://dx.doi.org/10.1017/S0954102008001636")</f>
        <v>http://dx.doi.org/10.1017/S0954102008001636</v>
      </c>
      <c r="BG188" t="s">
        <v>74</v>
      </c>
      <c r="BH188" t="s">
        <v>74</v>
      </c>
      <c r="BI188">
        <v>14</v>
      </c>
      <c r="BJ188" t="s">
        <v>1927</v>
      </c>
      <c r="BK188" t="s">
        <v>100</v>
      </c>
      <c r="BL188" t="s">
        <v>1928</v>
      </c>
      <c r="BM188" t="s">
        <v>3734</v>
      </c>
      <c r="BN188" t="s">
        <v>74</v>
      </c>
      <c r="BO188" t="s">
        <v>1106</v>
      </c>
      <c r="BP188" t="s">
        <v>74</v>
      </c>
      <c r="BQ188" t="s">
        <v>74</v>
      </c>
      <c r="BR188" t="s">
        <v>103</v>
      </c>
      <c r="BS188" t="s">
        <v>3816</v>
      </c>
      <c r="BT188" t="str">
        <f>HYPERLINK("https%3A%2F%2Fwww.webofscience.com%2Fwos%2Fwoscc%2Ffull-record%2FWOS:000264652200006","View Full Record in Web of Science")</f>
        <v>View Full Record in Web of Science</v>
      </c>
    </row>
    <row r="189" spans="1:72" x14ac:dyDescent="0.15">
      <c r="A189" t="s">
        <v>72</v>
      </c>
      <c r="B189" t="s">
        <v>3817</v>
      </c>
      <c r="C189" t="s">
        <v>74</v>
      </c>
      <c r="D189" t="s">
        <v>74</v>
      </c>
      <c r="E189" t="s">
        <v>74</v>
      </c>
      <c r="F189" t="s">
        <v>3818</v>
      </c>
      <c r="G189" t="s">
        <v>74</v>
      </c>
      <c r="H189" t="s">
        <v>74</v>
      </c>
      <c r="I189" t="s">
        <v>3819</v>
      </c>
      <c r="J189" t="s">
        <v>3727</v>
      </c>
      <c r="K189" t="s">
        <v>74</v>
      </c>
      <c r="L189" t="s">
        <v>74</v>
      </c>
      <c r="M189" t="s">
        <v>78</v>
      </c>
      <c r="N189" t="s">
        <v>79</v>
      </c>
      <c r="O189" t="s">
        <v>74</v>
      </c>
      <c r="P189" t="s">
        <v>74</v>
      </c>
      <c r="Q189" t="s">
        <v>74</v>
      </c>
      <c r="R189" t="s">
        <v>74</v>
      </c>
      <c r="S189" t="s">
        <v>74</v>
      </c>
      <c r="T189" t="s">
        <v>74</v>
      </c>
      <c r="U189" t="s">
        <v>3820</v>
      </c>
      <c r="V189" t="s">
        <v>74</v>
      </c>
      <c r="W189" t="s">
        <v>3821</v>
      </c>
      <c r="X189" t="s">
        <v>3822</v>
      </c>
      <c r="Y189" t="s">
        <v>3823</v>
      </c>
      <c r="Z189" t="s">
        <v>3824</v>
      </c>
      <c r="AA189" t="s">
        <v>3825</v>
      </c>
      <c r="AB189" t="s">
        <v>3826</v>
      </c>
      <c r="AC189" t="s">
        <v>74</v>
      </c>
      <c r="AD189" t="s">
        <v>74</v>
      </c>
      <c r="AE189" t="s">
        <v>74</v>
      </c>
      <c r="AF189" t="s">
        <v>74</v>
      </c>
      <c r="AG189">
        <v>10</v>
      </c>
      <c r="AH189">
        <v>10</v>
      </c>
      <c r="AI189">
        <v>10</v>
      </c>
      <c r="AJ189">
        <v>0</v>
      </c>
      <c r="AK189">
        <v>9</v>
      </c>
      <c r="AL189" t="s">
        <v>3728</v>
      </c>
      <c r="AM189" t="s">
        <v>92</v>
      </c>
      <c r="AN189" t="s">
        <v>3729</v>
      </c>
      <c r="AO189" t="s">
        <v>3730</v>
      </c>
      <c r="AP189" t="s">
        <v>74</v>
      </c>
      <c r="AQ189" t="s">
        <v>74</v>
      </c>
      <c r="AR189" t="s">
        <v>3731</v>
      </c>
      <c r="AS189" t="s">
        <v>3732</v>
      </c>
      <c r="AT189" t="s">
        <v>3655</v>
      </c>
      <c r="AU189">
        <v>2009</v>
      </c>
      <c r="AV189">
        <v>21</v>
      </c>
      <c r="AW189">
        <v>2</v>
      </c>
      <c r="AX189" t="s">
        <v>74</v>
      </c>
      <c r="AY189" t="s">
        <v>74</v>
      </c>
      <c r="AZ189" t="s">
        <v>74</v>
      </c>
      <c r="BA189" t="s">
        <v>74</v>
      </c>
      <c r="BB189">
        <v>149</v>
      </c>
      <c r="BC189">
        <v>150</v>
      </c>
      <c r="BD189" t="s">
        <v>74</v>
      </c>
      <c r="BE189" t="s">
        <v>3827</v>
      </c>
      <c r="BF189" t="str">
        <f>HYPERLINK("http://dx.doi.org/10.1017/S0954102008001570","http://dx.doi.org/10.1017/S0954102008001570")</f>
        <v>http://dx.doi.org/10.1017/S0954102008001570</v>
      </c>
      <c r="BG189" t="s">
        <v>74</v>
      </c>
      <c r="BH189" t="s">
        <v>74</v>
      </c>
      <c r="BI189">
        <v>2</v>
      </c>
      <c r="BJ189" t="s">
        <v>1927</v>
      </c>
      <c r="BK189" t="s">
        <v>100</v>
      </c>
      <c r="BL189" t="s">
        <v>1928</v>
      </c>
      <c r="BM189" t="s">
        <v>3734</v>
      </c>
      <c r="BN189" t="s">
        <v>74</v>
      </c>
      <c r="BO189" t="s">
        <v>74</v>
      </c>
      <c r="BP189" t="s">
        <v>74</v>
      </c>
      <c r="BQ189" t="s">
        <v>74</v>
      </c>
      <c r="BR189" t="s">
        <v>103</v>
      </c>
      <c r="BS189" t="s">
        <v>3828</v>
      </c>
      <c r="BT189" t="str">
        <f>HYPERLINK("https%3A%2F%2Fwww.webofscience.com%2Fwos%2Fwoscc%2Ffull-record%2FWOS:000264652200007","View Full Record in Web of Science")</f>
        <v>View Full Record in Web of Science</v>
      </c>
    </row>
    <row r="190" spans="1:72" x14ac:dyDescent="0.15">
      <c r="A190" t="s">
        <v>72</v>
      </c>
      <c r="B190" t="s">
        <v>3829</v>
      </c>
      <c r="C190" t="s">
        <v>74</v>
      </c>
      <c r="D190" t="s">
        <v>74</v>
      </c>
      <c r="E190" t="s">
        <v>74</v>
      </c>
      <c r="F190" t="s">
        <v>3830</v>
      </c>
      <c r="G190" t="s">
        <v>74</v>
      </c>
      <c r="H190" t="s">
        <v>74</v>
      </c>
      <c r="I190" t="s">
        <v>3831</v>
      </c>
      <c r="J190" t="s">
        <v>3727</v>
      </c>
      <c r="K190" t="s">
        <v>74</v>
      </c>
      <c r="L190" t="s">
        <v>74</v>
      </c>
      <c r="M190" t="s">
        <v>78</v>
      </c>
      <c r="N190" t="s">
        <v>79</v>
      </c>
      <c r="O190" t="s">
        <v>74</v>
      </c>
      <c r="P190" t="s">
        <v>74</v>
      </c>
      <c r="Q190" t="s">
        <v>74</v>
      </c>
      <c r="R190" t="s">
        <v>74</v>
      </c>
      <c r="S190" t="s">
        <v>74</v>
      </c>
      <c r="T190" t="s">
        <v>74</v>
      </c>
      <c r="U190" t="s">
        <v>3832</v>
      </c>
      <c r="V190" t="s">
        <v>74</v>
      </c>
      <c r="W190" t="s">
        <v>3833</v>
      </c>
      <c r="X190" t="s">
        <v>1939</v>
      </c>
      <c r="Y190" t="s">
        <v>3834</v>
      </c>
      <c r="Z190" t="s">
        <v>3835</v>
      </c>
      <c r="AA190" t="s">
        <v>1942</v>
      </c>
      <c r="AB190" t="s">
        <v>1943</v>
      </c>
      <c r="AC190" t="s">
        <v>3836</v>
      </c>
      <c r="AD190" t="s">
        <v>2716</v>
      </c>
      <c r="AE190" t="s">
        <v>3837</v>
      </c>
      <c r="AF190" t="s">
        <v>74</v>
      </c>
      <c r="AG190">
        <v>11</v>
      </c>
      <c r="AH190">
        <v>17</v>
      </c>
      <c r="AI190">
        <v>17</v>
      </c>
      <c r="AJ190">
        <v>0</v>
      </c>
      <c r="AK190">
        <v>4</v>
      </c>
      <c r="AL190" t="s">
        <v>3728</v>
      </c>
      <c r="AM190" t="s">
        <v>92</v>
      </c>
      <c r="AN190" t="s">
        <v>3729</v>
      </c>
      <c r="AO190" t="s">
        <v>3730</v>
      </c>
      <c r="AP190" t="s">
        <v>3750</v>
      </c>
      <c r="AQ190" t="s">
        <v>74</v>
      </c>
      <c r="AR190" t="s">
        <v>3731</v>
      </c>
      <c r="AS190" t="s">
        <v>3732</v>
      </c>
      <c r="AT190" t="s">
        <v>3655</v>
      </c>
      <c r="AU190">
        <v>2009</v>
      </c>
      <c r="AV190">
        <v>21</v>
      </c>
      <c r="AW190">
        <v>2</v>
      </c>
      <c r="AX190" t="s">
        <v>74</v>
      </c>
      <c r="AY190" t="s">
        <v>74</v>
      </c>
      <c r="AZ190" t="s">
        <v>74</v>
      </c>
      <c r="BA190" t="s">
        <v>74</v>
      </c>
      <c r="BB190">
        <v>151</v>
      </c>
      <c r="BC190">
        <v>152</v>
      </c>
      <c r="BD190" t="s">
        <v>74</v>
      </c>
      <c r="BE190" t="s">
        <v>3838</v>
      </c>
      <c r="BF190" t="str">
        <f>HYPERLINK("http://dx.doi.org/10.1017/S0954102008001685","http://dx.doi.org/10.1017/S0954102008001685")</f>
        <v>http://dx.doi.org/10.1017/S0954102008001685</v>
      </c>
      <c r="BG190" t="s">
        <v>74</v>
      </c>
      <c r="BH190" t="s">
        <v>74</v>
      </c>
      <c r="BI190">
        <v>2</v>
      </c>
      <c r="BJ190" t="s">
        <v>1927</v>
      </c>
      <c r="BK190" t="s">
        <v>100</v>
      </c>
      <c r="BL190" t="s">
        <v>1928</v>
      </c>
      <c r="BM190" t="s">
        <v>3734</v>
      </c>
      <c r="BN190" t="s">
        <v>74</v>
      </c>
      <c r="BO190" t="s">
        <v>74</v>
      </c>
      <c r="BP190" t="s">
        <v>74</v>
      </c>
      <c r="BQ190" t="s">
        <v>74</v>
      </c>
      <c r="BR190" t="s">
        <v>103</v>
      </c>
      <c r="BS190" t="s">
        <v>3839</v>
      </c>
      <c r="BT190" t="str">
        <f>HYPERLINK("https%3A%2F%2Fwww.webofscience.com%2Fwos%2Fwoscc%2Ffull-record%2FWOS:000264652200008","View Full Record in Web of Science")</f>
        <v>View Full Record in Web of Science</v>
      </c>
    </row>
    <row r="191" spans="1:72" x14ac:dyDescent="0.15">
      <c r="A191" t="s">
        <v>72</v>
      </c>
      <c r="B191" t="s">
        <v>3840</v>
      </c>
      <c r="C191" t="s">
        <v>74</v>
      </c>
      <c r="D191" t="s">
        <v>74</v>
      </c>
      <c r="E191" t="s">
        <v>74</v>
      </c>
      <c r="F191" t="s">
        <v>3841</v>
      </c>
      <c r="G191" t="s">
        <v>74</v>
      </c>
      <c r="H191" t="s">
        <v>74</v>
      </c>
      <c r="I191" t="s">
        <v>3842</v>
      </c>
      <c r="J191" t="s">
        <v>3727</v>
      </c>
      <c r="K191" t="s">
        <v>74</v>
      </c>
      <c r="L191" t="s">
        <v>74</v>
      </c>
      <c r="M191" t="s">
        <v>78</v>
      </c>
      <c r="N191" t="s">
        <v>79</v>
      </c>
      <c r="O191" t="s">
        <v>74</v>
      </c>
      <c r="P191" t="s">
        <v>74</v>
      </c>
      <c r="Q191" t="s">
        <v>74</v>
      </c>
      <c r="R191" t="s">
        <v>74</v>
      </c>
      <c r="S191" t="s">
        <v>74</v>
      </c>
      <c r="T191" t="s">
        <v>3843</v>
      </c>
      <c r="U191" t="s">
        <v>3844</v>
      </c>
      <c r="V191" t="s">
        <v>3845</v>
      </c>
      <c r="W191" t="s">
        <v>3846</v>
      </c>
      <c r="X191" t="s">
        <v>3847</v>
      </c>
      <c r="Y191" t="s">
        <v>3848</v>
      </c>
      <c r="Z191" t="s">
        <v>3849</v>
      </c>
      <c r="AA191" t="s">
        <v>3850</v>
      </c>
      <c r="AB191" t="s">
        <v>3851</v>
      </c>
      <c r="AC191" t="s">
        <v>3852</v>
      </c>
      <c r="AD191" t="s">
        <v>3853</v>
      </c>
      <c r="AE191" t="s">
        <v>3854</v>
      </c>
      <c r="AF191" t="s">
        <v>74</v>
      </c>
      <c r="AG191">
        <v>47</v>
      </c>
      <c r="AH191">
        <v>33</v>
      </c>
      <c r="AI191">
        <v>33</v>
      </c>
      <c r="AJ191">
        <v>1</v>
      </c>
      <c r="AK191">
        <v>10</v>
      </c>
      <c r="AL191" t="s">
        <v>3728</v>
      </c>
      <c r="AM191" t="s">
        <v>92</v>
      </c>
      <c r="AN191" t="s">
        <v>3729</v>
      </c>
      <c r="AO191" t="s">
        <v>3730</v>
      </c>
      <c r="AP191" t="s">
        <v>3750</v>
      </c>
      <c r="AQ191" t="s">
        <v>74</v>
      </c>
      <c r="AR191" t="s">
        <v>3731</v>
      </c>
      <c r="AS191" t="s">
        <v>3732</v>
      </c>
      <c r="AT191" t="s">
        <v>3655</v>
      </c>
      <c r="AU191">
        <v>2009</v>
      </c>
      <c r="AV191">
        <v>21</v>
      </c>
      <c r="AW191">
        <v>2</v>
      </c>
      <c r="AX191" t="s">
        <v>74</v>
      </c>
      <c r="AY191" t="s">
        <v>74</v>
      </c>
      <c r="AZ191" t="s">
        <v>74</v>
      </c>
      <c r="BA191" t="s">
        <v>74</v>
      </c>
      <c r="BB191">
        <v>153</v>
      </c>
      <c r="BC191">
        <v>167</v>
      </c>
      <c r="BD191" t="s">
        <v>74</v>
      </c>
      <c r="BE191" t="s">
        <v>3855</v>
      </c>
      <c r="BF191" t="str">
        <f>HYPERLINK("http://dx.doi.org/10.1017/S0954102008001673","http://dx.doi.org/10.1017/S0954102008001673")</f>
        <v>http://dx.doi.org/10.1017/S0954102008001673</v>
      </c>
      <c r="BG191" t="s">
        <v>74</v>
      </c>
      <c r="BH191" t="s">
        <v>74</v>
      </c>
      <c r="BI191">
        <v>15</v>
      </c>
      <c r="BJ191" t="s">
        <v>1927</v>
      </c>
      <c r="BK191" t="s">
        <v>100</v>
      </c>
      <c r="BL191" t="s">
        <v>1928</v>
      </c>
      <c r="BM191" t="s">
        <v>3734</v>
      </c>
      <c r="BN191" t="s">
        <v>74</v>
      </c>
      <c r="BO191" t="s">
        <v>74</v>
      </c>
      <c r="BP191" t="s">
        <v>74</v>
      </c>
      <c r="BQ191" t="s">
        <v>74</v>
      </c>
      <c r="BR191" t="s">
        <v>103</v>
      </c>
      <c r="BS191" t="s">
        <v>3856</v>
      </c>
      <c r="BT191" t="str">
        <f>HYPERLINK("https%3A%2F%2Fwww.webofscience.com%2Fwos%2Fwoscc%2Ffull-record%2FWOS:000264652200009","View Full Record in Web of Science")</f>
        <v>View Full Record in Web of Science</v>
      </c>
    </row>
    <row r="192" spans="1:72" x14ac:dyDescent="0.15">
      <c r="A192" t="s">
        <v>72</v>
      </c>
      <c r="B192" t="s">
        <v>3857</v>
      </c>
      <c r="C192" t="s">
        <v>74</v>
      </c>
      <c r="D192" t="s">
        <v>74</v>
      </c>
      <c r="E192" t="s">
        <v>74</v>
      </c>
      <c r="F192" t="s">
        <v>3858</v>
      </c>
      <c r="G192" t="s">
        <v>74</v>
      </c>
      <c r="H192" t="s">
        <v>74</v>
      </c>
      <c r="I192" t="s">
        <v>3859</v>
      </c>
      <c r="J192" t="s">
        <v>3727</v>
      </c>
      <c r="K192" t="s">
        <v>74</v>
      </c>
      <c r="L192" t="s">
        <v>74</v>
      </c>
      <c r="M192" t="s">
        <v>78</v>
      </c>
      <c r="N192" t="s">
        <v>79</v>
      </c>
      <c r="O192" t="s">
        <v>74</v>
      </c>
      <c r="P192" t="s">
        <v>74</v>
      </c>
      <c r="Q192" t="s">
        <v>74</v>
      </c>
      <c r="R192" t="s">
        <v>74</v>
      </c>
      <c r="S192" t="s">
        <v>74</v>
      </c>
      <c r="T192" t="s">
        <v>74</v>
      </c>
      <c r="U192" t="s">
        <v>3860</v>
      </c>
      <c r="V192" t="s">
        <v>74</v>
      </c>
      <c r="W192" t="s">
        <v>3861</v>
      </c>
      <c r="X192" t="s">
        <v>3862</v>
      </c>
      <c r="Y192" t="s">
        <v>3863</v>
      </c>
      <c r="Z192" t="s">
        <v>3864</v>
      </c>
      <c r="AA192" t="s">
        <v>3865</v>
      </c>
      <c r="AB192" t="s">
        <v>3866</v>
      </c>
      <c r="AC192" t="s">
        <v>3867</v>
      </c>
      <c r="AD192" t="s">
        <v>3868</v>
      </c>
      <c r="AE192" t="s">
        <v>3869</v>
      </c>
      <c r="AF192" t="s">
        <v>74</v>
      </c>
      <c r="AG192">
        <v>11</v>
      </c>
      <c r="AH192">
        <v>6</v>
      </c>
      <c r="AI192">
        <v>8</v>
      </c>
      <c r="AJ192">
        <v>0</v>
      </c>
      <c r="AK192">
        <v>3</v>
      </c>
      <c r="AL192" t="s">
        <v>3728</v>
      </c>
      <c r="AM192" t="s">
        <v>92</v>
      </c>
      <c r="AN192" t="s">
        <v>3729</v>
      </c>
      <c r="AO192" t="s">
        <v>3730</v>
      </c>
      <c r="AP192" t="s">
        <v>3750</v>
      </c>
      <c r="AQ192" t="s">
        <v>74</v>
      </c>
      <c r="AR192" t="s">
        <v>3731</v>
      </c>
      <c r="AS192" t="s">
        <v>3732</v>
      </c>
      <c r="AT192" t="s">
        <v>3655</v>
      </c>
      <c r="AU192">
        <v>2009</v>
      </c>
      <c r="AV192">
        <v>21</v>
      </c>
      <c r="AW192">
        <v>2</v>
      </c>
      <c r="AX192" t="s">
        <v>74</v>
      </c>
      <c r="AY192" t="s">
        <v>74</v>
      </c>
      <c r="AZ192" t="s">
        <v>74</v>
      </c>
      <c r="BA192" t="s">
        <v>74</v>
      </c>
      <c r="BB192">
        <v>169</v>
      </c>
      <c r="BC192">
        <v>170</v>
      </c>
      <c r="BD192" t="s">
        <v>74</v>
      </c>
      <c r="BE192" t="s">
        <v>3870</v>
      </c>
      <c r="BF192" t="str">
        <f>HYPERLINK("http://dx.doi.org/10.1017/S0954102008001715","http://dx.doi.org/10.1017/S0954102008001715")</f>
        <v>http://dx.doi.org/10.1017/S0954102008001715</v>
      </c>
      <c r="BG192" t="s">
        <v>74</v>
      </c>
      <c r="BH192" t="s">
        <v>74</v>
      </c>
      <c r="BI192">
        <v>2</v>
      </c>
      <c r="BJ192" t="s">
        <v>1927</v>
      </c>
      <c r="BK192" t="s">
        <v>100</v>
      </c>
      <c r="BL192" t="s">
        <v>1928</v>
      </c>
      <c r="BM192" t="s">
        <v>3734</v>
      </c>
      <c r="BN192" t="s">
        <v>74</v>
      </c>
      <c r="BO192" t="s">
        <v>74</v>
      </c>
      <c r="BP192" t="s">
        <v>74</v>
      </c>
      <c r="BQ192" t="s">
        <v>74</v>
      </c>
      <c r="BR192" t="s">
        <v>103</v>
      </c>
      <c r="BS192" t="s">
        <v>3871</v>
      </c>
      <c r="BT192" t="str">
        <f>HYPERLINK("https%3A%2F%2Fwww.webofscience.com%2Fwos%2Fwoscc%2Ffull-record%2FWOS:000264652200010","View Full Record in Web of Science")</f>
        <v>View Full Record in Web of Science</v>
      </c>
    </row>
    <row r="193" spans="1:72" x14ac:dyDescent="0.15">
      <c r="A193" t="s">
        <v>72</v>
      </c>
      <c r="B193" t="s">
        <v>3872</v>
      </c>
      <c r="C193" t="s">
        <v>74</v>
      </c>
      <c r="D193" t="s">
        <v>74</v>
      </c>
      <c r="E193" t="s">
        <v>74</v>
      </c>
      <c r="F193" t="s">
        <v>3873</v>
      </c>
      <c r="G193" t="s">
        <v>74</v>
      </c>
      <c r="H193" t="s">
        <v>74</v>
      </c>
      <c r="I193" t="s">
        <v>3874</v>
      </c>
      <c r="J193" t="s">
        <v>3727</v>
      </c>
      <c r="K193" t="s">
        <v>74</v>
      </c>
      <c r="L193" t="s">
        <v>74</v>
      </c>
      <c r="M193" t="s">
        <v>78</v>
      </c>
      <c r="N193" t="s">
        <v>79</v>
      </c>
      <c r="O193" t="s">
        <v>74</v>
      </c>
      <c r="P193" t="s">
        <v>74</v>
      </c>
      <c r="Q193" t="s">
        <v>74</v>
      </c>
      <c r="R193" t="s">
        <v>74</v>
      </c>
      <c r="S193" t="s">
        <v>74</v>
      </c>
      <c r="T193" t="s">
        <v>3875</v>
      </c>
      <c r="U193" t="s">
        <v>74</v>
      </c>
      <c r="V193" t="s">
        <v>3876</v>
      </c>
      <c r="W193" t="s">
        <v>3877</v>
      </c>
      <c r="X193" t="s">
        <v>824</v>
      </c>
      <c r="Y193" t="s">
        <v>3878</v>
      </c>
      <c r="Z193" t="s">
        <v>3879</v>
      </c>
      <c r="AA193" t="s">
        <v>3880</v>
      </c>
      <c r="AB193" t="s">
        <v>3881</v>
      </c>
      <c r="AC193" t="s">
        <v>3882</v>
      </c>
      <c r="AD193" t="s">
        <v>1490</v>
      </c>
      <c r="AE193" t="s">
        <v>74</v>
      </c>
      <c r="AF193" t="s">
        <v>74</v>
      </c>
      <c r="AG193">
        <v>8</v>
      </c>
      <c r="AH193">
        <v>25</v>
      </c>
      <c r="AI193">
        <v>27</v>
      </c>
      <c r="AJ193">
        <v>0</v>
      </c>
      <c r="AK193">
        <v>12</v>
      </c>
      <c r="AL193" t="s">
        <v>3728</v>
      </c>
      <c r="AM193" t="s">
        <v>92</v>
      </c>
      <c r="AN193" t="s">
        <v>3729</v>
      </c>
      <c r="AO193" t="s">
        <v>3730</v>
      </c>
      <c r="AP193" t="s">
        <v>3750</v>
      </c>
      <c r="AQ193" t="s">
        <v>74</v>
      </c>
      <c r="AR193" t="s">
        <v>3731</v>
      </c>
      <c r="AS193" t="s">
        <v>3732</v>
      </c>
      <c r="AT193" t="s">
        <v>3655</v>
      </c>
      <c r="AU193">
        <v>2009</v>
      </c>
      <c r="AV193">
        <v>21</v>
      </c>
      <c r="AW193">
        <v>2</v>
      </c>
      <c r="AX193" t="s">
        <v>74</v>
      </c>
      <c r="AY193" t="s">
        <v>74</v>
      </c>
      <c r="AZ193" t="s">
        <v>74</v>
      </c>
      <c r="BA193" t="s">
        <v>74</v>
      </c>
      <c r="BB193">
        <v>171</v>
      </c>
      <c r="BC193">
        <v>174</v>
      </c>
      <c r="BD193" t="s">
        <v>74</v>
      </c>
      <c r="BE193" t="s">
        <v>3883</v>
      </c>
      <c r="BF193" t="str">
        <f>HYPERLINK("http://dx.doi.org/10.1017/S0954102008001703","http://dx.doi.org/10.1017/S0954102008001703")</f>
        <v>http://dx.doi.org/10.1017/S0954102008001703</v>
      </c>
      <c r="BG193" t="s">
        <v>74</v>
      </c>
      <c r="BH193" t="s">
        <v>74</v>
      </c>
      <c r="BI193">
        <v>4</v>
      </c>
      <c r="BJ193" t="s">
        <v>1927</v>
      </c>
      <c r="BK193" t="s">
        <v>100</v>
      </c>
      <c r="BL193" t="s">
        <v>1928</v>
      </c>
      <c r="BM193" t="s">
        <v>3734</v>
      </c>
      <c r="BN193" t="s">
        <v>74</v>
      </c>
      <c r="BO193" t="s">
        <v>1012</v>
      </c>
      <c r="BP193" t="s">
        <v>74</v>
      </c>
      <c r="BQ193" t="s">
        <v>74</v>
      </c>
      <c r="BR193" t="s">
        <v>103</v>
      </c>
      <c r="BS193" t="s">
        <v>3884</v>
      </c>
      <c r="BT193" t="str">
        <f>HYPERLINK("https%3A%2F%2Fwww.webofscience.com%2Fwos%2Fwoscc%2Ffull-record%2FWOS:000264652200011","View Full Record in Web of Science")</f>
        <v>View Full Record in Web of Science</v>
      </c>
    </row>
    <row r="194" spans="1:72" x14ac:dyDescent="0.15">
      <c r="A194" t="s">
        <v>72</v>
      </c>
      <c r="B194" t="s">
        <v>3885</v>
      </c>
      <c r="C194" t="s">
        <v>74</v>
      </c>
      <c r="D194" t="s">
        <v>74</v>
      </c>
      <c r="E194" t="s">
        <v>74</v>
      </c>
      <c r="F194" t="s">
        <v>3886</v>
      </c>
      <c r="G194" t="s">
        <v>74</v>
      </c>
      <c r="H194" t="s">
        <v>74</v>
      </c>
      <c r="I194" t="s">
        <v>3887</v>
      </c>
      <c r="J194" t="s">
        <v>3888</v>
      </c>
      <c r="K194" t="s">
        <v>74</v>
      </c>
      <c r="L194" t="s">
        <v>74</v>
      </c>
      <c r="M194" t="s">
        <v>78</v>
      </c>
      <c r="N194" t="s">
        <v>1437</v>
      </c>
      <c r="O194" t="s">
        <v>3889</v>
      </c>
      <c r="P194" t="s">
        <v>3890</v>
      </c>
      <c r="Q194" t="s">
        <v>3891</v>
      </c>
      <c r="R194" t="s">
        <v>74</v>
      </c>
      <c r="S194" t="s">
        <v>74</v>
      </c>
      <c r="T194" t="s">
        <v>3892</v>
      </c>
      <c r="U194" t="s">
        <v>3893</v>
      </c>
      <c r="V194" t="s">
        <v>3894</v>
      </c>
      <c r="W194" t="s">
        <v>3895</v>
      </c>
      <c r="X194" t="s">
        <v>3896</v>
      </c>
      <c r="Y194" t="s">
        <v>3897</v>
      </c>
      <c r="Z194" t="s">
        <v>3898</v>
      </c>
      <c r="AA194" t="s">
        <v>3899</v>
      </c>
      <c r="AB194" t="s">
        <v>3900</v>
      </c>
      <c r="AC194" t="s">
        <v>74</v>
      </c>
      <c r="AD194" t="s">
        <v>74</v>
      </c>
      <c r="AE194" t="s">
        <v>74</v>
      </c>
      <c r="AF194" t="s">
        <v>74</v>
      </c>
      <c r="AG194">
        <v>40</v>
      </c>
      <c r="AH194">
        <v>6</v>
      </c>
      <c r="AI194">
        <v>6</v>
      </c>
      <c r="AJ194">
        <v>0</v>
      </c>
      <c r="AK194">
        <v>2</v>
      </c>
      <c r="AL194" t="s">
        <v>91</v>
      </c>
      <c r="AM194" t="s">
        <v>374</v>
      </c>
      <c r="AN194" t="s">
        <v>375</v>
      </c>
      <c r="AO194" t="s">
        <v>3901</v>
      </c>
      <c r="AP194" t="s">
        <v>74</v>
      </c>
      <c r="AQ194" t="s">
        <v>74</v>
      </c>
      <c r="AR194" t="s">
        <v>3902</v>
      </c>
      <c r="AS194" t="s">
        <v>3903</v>
      </c>
      <c r="AT194" t="s">
        <v>3655</v>
      </c>
      <c r="AU194">
        <v>2009</v>
      </c>
      <c r="AV194">
        <v>320</v>
      </c>
      <c r="AW194" t="s">
        <v>558</v>
      </c>
      <c r="AX194" t="s">
        <v>74</v>
      </c>
      <c r="AY194" t="s">
        <v>74</v>
      </c>
      <c r="AZ194" t="s">
        <v>74</v>
      </c>
      <c r="BA194" t="s">
        <v>74</v>
      </c>
      <c r="BB194">
        <v>207</v>
      </c>
      <c r="BC194">
        <v>215</v>
      </c>
      <c r="BD194" t="s">
        <v>74</v>
      </c>
      <c r="BE194" t="s">
        <v>3904</v>
      </c>
      <c r="BF194" t="str">
        <f>HYPERLINK("http://dx.doi.org/10.1007/s10509-009-9988-7","http://dx.doi.org/10.1007/s10509-009-9988-7")</f>
        <v>http://dx.doi.org/10.1007/s10509-009-9988-7</v>
      </c>
      <c r="BG194" t="s">
        <v>74</v>
      </c>
      <c r="BH194" t="s">
        <v>74</v>
      </c>
      <c r="BI194">
        <v>9</v>
      </c>
      <c r="BJ194" t="s">
        <v>285</v>
      </c>
      <c r="BK194" t="s">
        <v>1453</v>
      </c>
      <c r="BL194" t="s">
        <v>285</v>
      </c>
      <c r="BM194" t="s">
        <v>3905</v>
      </c>
      <c r="BN194" t="s">
        <v>74</v>
      </c>
      <c r="BO194" t="s">
        <v>74</v>
      </c>
      <c r="BP194" t="s">
        <v>74</v>
      </c>
      <c r="BQ194" t="s">
        <v>74</v>
      </c>
      <c r="BR194" t="s">
        <v>103</v>
      </c>
      <c r="BS194" t="s">
        <v>3906</v>
      </c>
      <c r="BT194" t="str">
        <f>HYPERLINK("https%3A%2F%2Fwww.webofscience.com%2Fwos%2Fwoscc%2Ffull-record%2FWOS:000264174700035","View Full Record in Web of Science")</f>
        <v>View Full Record in Web of Science</v>
      </c>
    </row>
    <row r="195" spans="1:72" x14ac:dyDescent="0.15">
      <c r="A195" t="s">
        <v>72</v>
      </c>
      <c r="B195" t="s">
        <v>3907</v>
      </c>
      <c r="C195" t="s">
        <v>74</v>
      </c>
      <c r="D195" t="s">
        <v>74</v>
      </c>
      <c r="E195" t="s">
        <v>74</v>
      </c>
      <c r="F195" t="s">
        <v>3908</v>
      </c>
      <c r="G195" t="s">
        <v>74</v>
      </c>
      <c r="H195" t="s">
        <v>74</v>
      </c>
      <c r="I195" t="s">
        <v>3909</v>
      </c>
      <c r="J195" t="s">
        <v>1386</v>
      </c>
      <c r="K195" t="s">
        <v>74</v>
      </c>
      <c r="L195" t="s">
        <v>74</v>
      </c>
      <c r="M195" t="s">
        <v>78</v>
      </c>
      <c r="N195" t="s">
        <v>79</v>
      </c>
      <c r="O195" t="s">
        <v>74</v>
      </c>
      <c r="P195" t="s">
        <v>74</v>
      </c>
      <c r="Q195" t="s">
        <v>74</v>
      </c>
      <c r="R195" t="s">
        <v>74</v>
      </c>
      <c r="S195" t="s">
        <v>74</v>
      </c>
      <c r="T195" t="s">
        <v>74</v>
      </c>
      <c r="U195" t="s">
        <v>3910</v>
      </c>
      <c r="V195" t="s">
        <v>3911</v>
      </c>
      <c r="W195" t="s">
        <v>3912</v>
      </c>
      <c r="X195" t="s">
        <v>3913</v>
      </c>
      <c r="Y195" t="s">
        <v>3914</v>
      </c>
      <c r="Z195" t="s">
        <v>3915</v>
      </c>
      <c r="AA195" t="s">
        <v>3916</v>
      </c>
      <c r="AB195" t="s">
        <v>3917</v>
      </c>
      <c r="AC195" t="s">
        <v>3918</v>
      </c>
      <c r="AD195" t="s">
        <v>1490</v>
      </c>
      <c r="AE195" t="s">
        <v>74</v>
      </c>
      <c r="AF195" t="s">
        <v>74</v>
      </c>
      <c r="AG195">
        <v>94</v>
      </c>
      <c r="AH195">
        <v>37</v>
      </c>
      <c r="AI195">
        <v>42</v>
      </c>
      <c r="AJ195">
        <v>1</v>
      </c>
      <c r="AK195">
        <v>28</v>
      </c>
      <c r="AL195" t="s">
        <v>1398</v>
      </c>
      <c r="AM195" t="s">
        <v>1399</v>
      </c>
      <c r="AN195" t="s">
        <v>3919</v>
      </c>
      <c r="AO195" t="s">
        <v>1401</v>
      </c>
      <c r="AP195" t="s">
        <v>1402</v>
      </c>
      <c r="AQ195" t="s">
        <v>74</v>
      </c>
      <c r="AR195" t="s">
        <v>1403</v>
      </c>
      <c r="AS195" t="s">
        <v>1404</v>
      </c>
      <c r="AT195" t="s">
        <v>3655</v>
      </c>
      <c r="AU195">
        <v>2009</v>
      </c>
      <c r="AV195">
        <v>90</v>
      </c>
      <c r="AW195">
        <v>4</v>
      </c>
      <c r="AX195" t="s">
        <v>74</v>
      </c>
      <c r="AY195" t="s">
        <v>74</v>
      </c>
      <c r="AZ195" t="s">
        <v>74</v>
      </c>
      <c r="BA195" t="s">
        <v>74</v>
      </c>
      <c r="BB195">
        <v>497</v>
      </c>
      <c r="BC195">
        <v>513</v>
      </c>
      <c r="BD195" t="s">
        <v>74</v>
      </c>
      <c r="BE195" t="s">
        <v>3920</v>
      </c>
      <c r="BF195" t="str">
        <f>HYPERLINK("http://dx.doi.org/10.1175/2008BAMS2643.1","http://dx.doi.org/10.1175/2008BAMS2643.1")</f>
        <v>http://dx.doi.org/10.1175/2008BAMS2643.1</v>
      </c>
      <c r="BG195" t="s">
        <v>74</v>
      </c>
      <c r="BH195" t="s">
        <v>74</v>
      </c>
      <c r="BI195">
        <v>17</v>
      </c>
      <c r="BJ195" t="s">
        <v>398</v>
      </c>
      <c r="BK195" t="s">
        <v>100</v>
      </c>
      <c r="BL195" t="s">
        <v>398</v>
      </c>
      <c r="BM195" t="s">
        <v>3921</v>
      </c>
      <c r="BN195" t="s">
        <v>74</v>
      </c>
      <c r="BO195" t="s">
        <v>3922</v>
      </c>
      <c r="BP195" t="s">
        <v>74</v>
      </c>
      <c r="BQ195" t="s">
        <v>74</v>
      </c>
      <c r="BR195" t="s">
        <v>103</v>
      </c>
      <c r="BS195" t="s">
        <v>3923</v>
      </c>
      <c r="BT195" t="str">
        <f>HYPERLINK("https%3A%2F%2Fwww.webofscience.com%2Fwos%2Fwoscc%2Ffull-record%2FWOS:000266035100009","View Full Record in Web of Science")</f>
        <v>View Full Record in Web of Science</v>
      </c>
    </row>
    <row r="196" spans="1:72" x14ac:dyDescent="0.15">
      <c r="A196" t="s">
        <v>72</v>
      </c>
      <c r="B196" t="s">
        <v>3924</v>
      </c>
      <c r="C196" t="s">
        <v>74</v>
      </c>
      <c r="D196" t="s">
        <v>74</v>
      </c>
      <c r="E196" t="s">
        <v>74</v>
      </c>
      <c r="F196" t="s">
        <v>3925</v>
      </c>
      <c r="G196" t="s">
        <v>74</v>
      </c>
      <c r="H196" t="s">
        <v>74</v>
      </c>
      <c r="I196" t="s">
        <v>3926</v>
      </c>
      <c r="J196" t="s">
        <v>3927</v>
      </c>
      <c r="K196" t="s">
        <v>74</v>
      </c>
      <c r="L196" t="s">
        <v>74</v>
      </c>
      <c r="M196" t="s">
        <v>1061</v>
      </c>
      <c r="N196" t="s">
        <v>79</v>
      </c>
      <c r="O196" t="s">
        <v>74</v>
      </c>
      <c r="P196" t="s">
        <v>74</v>
      </c>
      <c r="Q196" t="s">
        <v>74</v>
      </c>
      <c r="R196" t="s">
        <v>74</v>
      </c>
      <c r="S196" t="s">
        <v>74</v>
      </c>
      <c r="T196" t="s">
        <v>3928</v>
      </c>
      <c r="U196" t="s">
        <v>74</v>
      </c>
      <c r="V196" t="s">
        <v>3929</v>
      </c>
      <c r="W196" t="s">
        <v>3930</v>
      </c>
      <c r="X196" t="s">
        <v>3931</v>
      </c>
      <c r="Y196" t="s">
        <v>3932</v>
      </c>
      <c r="Z196" t="s">
        <v>3933</v>
      </c>
      <c r="AA196" t="s">
        <v>3934</v>
      </c>
      <c r="AB196" t="s">
        <v>3935</v>
      </c>
      <c r="AC196" t="s">
        <v>74</v>
      </c>
      <c r="AD196" t="s">
        <v>74</v>
      </c>
      <c r="AE196" t="s">
        <v>74</v>
      </c>
      <c r="AF196" t="s">
        <v>74</v>
      </c>
      <c r="AG196">
        <v>20</v>
      </c>
      <c r="AH196">
        <v>0</v>
      </c>
      <c r="AI196">
        <v>3</v>
      </c>
      <c r="AJ196">
        <v>0</v>
      </c>
      <c r="AK196">
        <v>5</v>
      </c>
      <c r="AL196" t="s">
        <v>1070</v>
      </c>
      <c r="AM196" t="s">
        <v>1071</v>
      </c>
      <c r="AN196" t="s">
        <v>1072</v>
      </c>
      <c r="AO196" t="s">
        <v>3936</v>
      </c>
      <c r="AP196" t="s">
        <v>74</v>
      </c>
      <c r="AQ196" t="s">
        <v>74</v>
      </c>
      <c r="AR196" t="s">
        <v>3937</v>
      </c>
      <c r="AS196" t="s">
        <v>3938</v>
      </c>
      <c r="AT196" t="s">
        <v>3655</v>
      </c>
      <c r="AU196">
        <v>2009</v>
      </c>
      <c r="AV196">
        <v>52</v>
      </c>
      <c r="AW196">
        <v>4</v>
      </c>
      <c r="AX196" t="s">
        <v>74</v>
      </c>
      <c r="AY196" t="s">
        <v>74</v>
      </c>
      <c r="AZ196" t="s">
        <v>74</v>
      </c>
      <c r="BA196" t="s">
        <v>74</v>
      </c>
      <c r="BB196">
        <v>966</v>
      </c>
      <c r="BC196">
        <v>975</v>
      </c>
      <c r="BD196" t="s">
        <v>74</v>
      </c>
      <c r="BE196" t="s">
        <v>3939</v>
      </c>
      <c r="BF196" t="str">
        <f>HYPERLINK("http://dx.doi.org/10.3969/j.issn.0001-5733.2009.04.013","http://dx.doi.org/10.3969/j.issn.0001-5733.2009.04.013")</f>
        <v>http://dx.doi.org/10.3969/j.issn.0001-5733.2009.04.013</v>
      </c>
      <c r="BG196" t="s">
        <v>74</v>
      </c>
      <c r="BH196" t="s">
        <v>74</v>
      </c>
      <c r="BI196">
        <v>10</v>
      </c>
      <c r="BJ196" t="s">
        <v>534</v>
      </c>
      <c r="BK196" t="s">
        <v>100</v>
      </c>
      <c r="BL196" t="s">
        <v>534</v>
      </c>
      <c r="BM196" t="s">
        <v>3940</v>
      </c>
      <c r="BN196" t="s">
        <v>74</v>
      </c>
      <c r="BO196" t="s">
        <v>74</v>
      </c>
      <c r="BP196" t="s">
        <v>74</v>
      </c>
      <c r="BQ196" t="s">
        <v>74</v>
      </c>
      <c r="BR196" t="s">
        <v>103</v>
      </c>
      <c r="BS196" t="s">
        <v>3941</v>
      </c>
      <c r="BT196" t="str">
        <f>HYPERLINK("https%3A%2F%2Fwww.webofscience.com%2Fwos%2Fwoscc%2Ffull-record%2FWOS:000265665400013","View Full Record in Web of Science")</f>
        <v>View Full Record in Web of Science</v>
      </c>
    </row>
    <row r="197" spans="1:72" x14ac:dyDescent="0.15">
      <c r="A197" t="s">
        <v>72</v>
      </c>
      <c r="B197" t="s">
        <v>3942</v>
      </c>
      <c r="C197" t="s">
        <v>74</v>
      </c>
      <c r="D197" t="s">
        <v>74</v>
      </c>
      <c r="E197" t="s">
        <v>74</v>
      </c>
      <c r="F197" t="s">
        <v>3943</v>
      </c>
      <c r="G197" t="s">
        <v>74</v>
      </c>
      <c r="H197" t="s">
        <v>74</v>
      </c>
      <c r="I197" t="s">
        <v>3944</v>
      </c>
      <c r="J197" t="s">
        <v>1436</v>
      </c>
      <c r="K197" t="s">
        <v>74</v>
      </c>
      <c r="L197" t="s">
        <v>74</v>
      </c>
      <c r="M197" t="s">
        <v>78</v>
      </c>
      <c r="N197" t="s">
        <v>79</v>
      </c>
      <c r="O197" t="s">
        <v>74</v>
      </c>
      <c r="P197" t="s">
        <v>74</v>
      </c>
      <c r="Q197" t="s">
        <v>74</v>
      </c>
      <c r="R197" t="s">
        <v>74</v>
      </c>
      <c r="S197" t="s">
        <v>74</v>
      </c>
      <c r="T197" t="s">
        <v>74</v>
      </c>
      <c r="U197" t="s">
        <v>74</v>
      </c>
      <c r="V197" t="s">
        <v>3945</v>
      </c>
      <c r="W197" t="s">
        <v>3946</v>
      </c>
      <c r="X197" t="s">
        <v>3947</v>
      </c>
      <c r="Y197" t="s">
        <v>3948</v>
      </c>
      <c r="Z197" t="s">
        <v>3949</v>
      </c>
      <c r="AA197" t="s">
        <v>74</v>
      </c>
      <c r="AB197" t="s">
        <v>74</v>
      </c>
      <c r="AC197" t="s">
        <v>3950</v>
      </c>
      <c r="AD197" t="s">
        <v>3951</v>
      </c>
      <c r="AE197" t="s">
        <v>3952</v>
      </c>
      <c r="AF197" t="s">
        <v>74</v>
      </c>
      <c r="AG197">
        <v>17</v>
      </c>
      <c r="AH197">
        <v>314</v>
      </c>
      <c r="AI197">
        <v>362</v>
      </c>
      <c r="AJ197">
        <v>1</v>
      </c>
      <c r="AK197">
        <v>113</v>
      </c>
      <c r="AL197" t="s">
        <v>91</v>
      </c>
      <c r="AM197" t="s">
        <v>374</v>
      </c>
      <c r="AN197" t="s">
        <v>375</v>
      </c>
      <c r="AO197" t="s">
        <v>1449</v>
      </c>
      <c r="AP197" t="s">
        <v>1450</v>
      </c>
      <c r="AQ197" t="s">
        <v>74</v>
      </c>
      <c r="AR197" t="s">
        <v>1436</v>
      </c>
      <c r="AS197" t="s">
        <v>1451</v>
      </c>
      <c r="AT197" t="s">
        <v>3655</v>
      </c>
      <c r="AU197">
        <v>2009</v>
      </c>
      <c r="AV197">
        <v>93</v>
      </c>
      <c r="AW197" t="s">
        <v>3346</v>
      </c>
      <c r="AX197" t="s">
        <v>74</v>
      </c>
      <c r="AY197" t="s">
        <v>74</v>
      </c>
      <c r="AZ197" t="s">
        <v>74</v>
      </c>
      <c r="BA197" t="s">
        <v>74</v>
      </c>
      <c r="BB197">
        <v>379</v>
      </c>
      <c r="BC197">
        <v>388</v>
      </c>
      <c r="BD197" t="s">
        <v>74</v>
      </c>
      <c r="BE197" t="s">
        <v>3953</v>
      </c>
      <c r="BF197" t="str">
        <f>HYPERLINK("http://dx.doi.org/10.1007/s10584-008-9499-5","http://dx.doi.org/10.1007/s10584-008-9499-5")</f>
        <v>http://dx.doi.org/10.1007/s10584-008-9499-5</v>
      </c>
      <c r="BG197" t="s">
        <v>74</v>
      </c>
      <c r="BH197" t="s">
        <v>74</v>
      </c>
      <c r="BI197">
        <v>10</v>
      </c>
      <c r="BJ197" t="s">
        <v>1321</v>
      </c>
      <c r="BK197" t="s">
        <v>100</v>
      </c>
      <c r="BL197" t="s">
        <v>1322</v>
      </c>
      <c r="BM197" t="s">
        <v>3954</v>
      </c>
      <c r="BN197" t="s">
        <v>74</v>
      </c>
      <c r="BO197" t="s">
        <v>1106</v>
      </c>
      <c r="BP197" t="s">
        <v>74</v>
      </c>
      <c r="BQ197" t="s">
        <v>74</v>
      </c>
      <c r="BR197" t="s">
        <v>103</v>
      </c>
      <c r="BS197" t="s">
        <v>3955</v>
      </c>
      <c r="BT197" t="str">
        <f>HYPERLINK("https%3A%2F%2Fwww.webofscience.com%2Fwos%2Fwoscc%2Ffull-record%2FWOS:000264477100006","View Full Record in Web of Science")</f>
        <v>View Full Record in Web of Science</v>
      </c>
    </row>
    <row r="198" spans="1:72" x14ac:dyDescent="0.15">
      <c r="A198" t="s">
        <v>72</v>
      </c>
      <c r="B198" t="s">
        <v>3829</v>
      </c>
      <c r="C198" t="s">
        <v>74</v>
      </c>
      <c r="D198" t="s">
        <v>74</v>
      </c>
      <c r="E198" t="s">
        <v>74</v>
      </c>
      <c r="F198" t="s">
        <v>3830</v>
      </c>
      <c r="G198" t="s">
        <v>74</v>
      </c>
      <c r="H198" t="s">
        <v>74</v>
      </c>
      <c r="I198" t="s">
        <v>3956</v>
      </c>
      <c r="J198" t="s">
        <v>3957</v>
      </c>
      <c r="K198" t="s">
        <v>74</v>
      </c>
      <c r="L198" t="s">
        <v>74</v>
      </c>
      <c r="M198" t="s">
        <v>78</v>
      </c>
      <c r="N198" t="s">
        <v>79</v>
      </c>
      <c r="O198" t="s">
        <v>74</v>
      </c>
      <c r="P198" t="s">
        <v>74</v>
      </c>
      <c r="Q198" t="s">
        <v>74</v>
      </c>
      <c r="R198" t="s">
        <v>74</v>
      </c>
      <c r="S198" t="s">
        <v>74</v>
      </c>
      <c r="T198" t="s">
        <v>3958</v>
      </c>
      <c r="U198" t="s">
        <v>3959</v>
      </c>
      <c r="V198" t="s">
        <v>3960</v>
      </c>
      <c r="W198" t="s">
        <v>3961</v>
      </c>
      <c r="X198" t="s">
        <v>1939</v>
      </c>
      <c r="Y198" t="s">
        <v>3962</v>
      </c>
      <c r="Z198" t="s">
        <v>3835</v>
      </c>
      <c r="AA198" t="s">
        <v>1942</v>
      </c>
      <c r="AB198" t="s">
        <v>1943</v>
      </c>
      <c r="AC198" t="s">
        <v>2715</v>
      </c>
      <c r="AD198" t="s">
        <v>2716</v>
      </c>
      <c r="AE198" t="s">
        <v>3963</v>
      </c>
      <c r="AF198" t="s">
        <v>74</v>
      </c>
      <c r="AG198">
        <v>39</v>
      </c>
      <c r="AH198">
        <v>113</v>
      </c>
      <c r="AI198">
        <v>131</v>
      </c>
      <c r="AJ198">
        <v>2</v>
      </c>
      <c r="AK198">
        <v>36</v>
      </c>
      <c r="AL198" t="s">
        <v>3964</v>
      </c>
      <c r="AM198" t="s">
        <v>92</v>
      </c>
      <c r="AN198" t="s">
        <v>3965</v>
      </c>
      <c r="AO198" t="s">
        <v>3966</v>
      </c>
      <c r="AP198" t="s">
        <v>3967</v>
      </c>
      <c r="AQ198" t="s">
        <v>74</v>
      </c>
      <c r="AR198" t="s">
        <v>3968</v>
      </c>
      <c r="AS198" t="s">
        <v>3969</v>
      </c>
      <c r="AT198" t="s">
        <v>3655</v>
      </c>
      <c r="AU198">
        <v>2009</v>
      </c>
      <c r="AV198">
        <v>152</v>
      </c>
      <c r="AW198">
        <v>4</v>
      </c>
      <c r="AX198" t="s">
        <v>74</v>
      </c>
      <c r="AY198" t="s">
        <v>74</v>
      </c>
      <c r="AZ198" t="s">
        <v>74</v>
      </c>
      <c r="BA198" t="s">
        <v>74</v>
      </c>
      <c r="BB198">
        <v>518</v>
      </c>
      <c r="BC198">
        <v>523</v>
      </c>
      <c r="BD198" t="s">
        <v>74</v>
      </c>
      <c r="BE198" t="s">
        <v>3970</v>
      </c>
      <c r="BF198" t="str">
        <f>HYPERLINK("http://dx.doi.org/10.1016/j.cbpa.2008.12.009","http://dx.doi.org/10.1016/j.cbpa.2008.12.009")</f>
        <v>http://dx.doi.org/10.1016/j.cbpa.2008.12.009</v>
      </c>
      <c r="BG198" t="s">
        <v>74</v>
      </c>
      <c r="BH198" t="s">
        <v>74</v>
      </c>
      <c r="BI198">
        <v>6</v>
      </c>
      <c r="BJ198" t="s">
        <v>3971</v>
      </c>
      <c r="BK198" t="s">
        <v>100</v>
      </c>
      <c r="BL198" t="s">
        <v>3971</v>
      </c>
      <c r="BM198" t="s">
        <v>3972</v>
      </c>
      <c r="BN198">
        <v>19141330</v>
      </c>
      <c r="BO198" t="s">
        <v>74</v>
      </c>
      <c r="BP198" t="s">
        <v>74</v>
      </c>
      <c r="BQ198" t="s">
        <v>74</v>
      </c>
      <c r="BR198" t="s">
        <v>103</v>
      </c>
      <c r="BS198" t="s">
        <v>3973</v>
      </c>
      <c r="BT198" t="str">
        <f>HYPERLINK("https%3A%2F%2Fwww.webofscience.com%2Fwos%2Fwoscc%2Ffull-record%2FWOS:000264511400009","View Full Record in Web of Science")</f>
        <v>View Full Record in Web of Science</v>
      </c>
    </row>
    <row r="199" spans="1:72" x14ac:dyDescent="0.15">
      <c r="A199" t="s">
        <v>72</v>
      </c>
      <c r="B199" t="s">
        <v>3974</v>
      </c>
      <c r="C199" t="s">
        <v>74</v>
      </c>
      <c r="D199" t="s">
        <v>74</v>
      </c>
      <c r="E199" t="s">
        <v>74</v>
      </c>
      <c r="F199" t="s">
        <v>3975</v>
      </c>
      <c r="G199" t="s">
        <v>74</v>
      </c>
      <c r="H199" t="s">
        <v>74</v>
      </c>
      <c r="I199" t="s">
        <v>3976</v>
      </c>
      <c r="J199" t="s">
        <v>1459</v>
      </c>
      <c r="K199" t="s">
        <v>74</v>
      </c>
      <c r="L199" t="s">
        <v>74</v>
      </c>
      <c r="M199" t="s">
        <v>78</v>
      </c>
      <c r="N199" t="s">
        <v>79</v>
      </c>
      <c r="O199" t="s">
        <v>74</v>
      </c>
      <c r="P199" t="s">
        <v>74</v>
      </c>
      <c r="Q199" t="s">
        <v>74</v>
      </c>
      <c r="R199" t="s">
        <v>74</v>
      </c>
      <c r="S199" t="s">
        <v>74</v>
      </c>
      <c r="T199" t="s">
        <v>3977</v>
      </c>
      <c r="U199" t="s">
        <v>3978</v>
      </c>
      <c r="V199" t="s">
        <v>3979</v>
      </c>
      <c r="W199" t="s">
        <v>3980</v>
      </c>
      <c r="X199" t="s">
        <v>3981</v>
      </c>
      <c r="Y199" t="s">
        <v>3982</v>
      </c>
      <c r="Z199" t="s">
        <v>3983</v>
      </c>
      <c r="AA199" t="s">
        <v>3984</v>
      </c>
      <c r="AB199" t="s">
        <v>3985</v>
      </c>
      <c r="AC199" t="s">
        <v>3986</v>
      </c>
      <c r="AD199" t="s">
        <v>3987</v>
      </c>
      <c r="AE199" t="s">
        <v>3988</v>
      </c>
      <c r="AF199" t="s">
        <v>74</v>
      </c>
      <c r="AG199">
        <v>53</v>
      </c>
      <c r="AH199">
        <v>18</v>
      </c>
      <c r="AI199">
        <v>20</v>
      </c>
      <c r="AJ199">
        <v>0</v>
      </c>
      <c r="AK199">
        <v>15</v>
      </c>
      <c r="AL199" t="s">
        <v>303</v>
      </c>
      <c r="AM199" t="s">
        <v>304</v>
      </c>
      <c r="AN199" t="s">
        <v>305</v>
      </c>
      <c r="AO199" t="s">
        <v>1470</v>
      </c>
      <c r="AP199" t="s">
        <v>1471</v>
      </c>
      <c r="AQ199" t="s">
        <v>74</v>
      </c>
      <c r="AR199" t="s">
        <v>1472</v>
      </c>
      <c r="AS199" t="s">
        <v>1473</v>
      </c>
      <c r="AT199" t="s">
        <v>3655</v>
      </c>
      <c r="AU199">
        <v>2009</v>
      </c>
      <c r="AV199">
        <v>56</v>
      </c>
      <c r="AW199">
        <v>4</v>
      </c>
      <c r="AX199" t="s">
        <v>74</v>
      </c>
      <c r="AY199" t="s">
        <v>74</v>
      </c>
      <c r="AZ199" t="s">
        <v>74</v>
      </c>
      <c r="BA199" t="s">
        <v>74</v>
      </c>
      <c r="BB199">
        <v>513</v>
      </c>
      <c r="BC199">
        <v>527</v>
      </c>
      <c r="BD199" t="s">
        <v>74</v>
      </c>
      <c r="BE199" t="s">
        <v>3989</v>
      </c>
      <c r="BF199" t="str">
        <f>HYPERLINK("http://dx.doi.org/10.1016/j.dsr.2008.11.005","http://dx.doi.org/10.1016/j.dsr.2008.11.005")</f>
        <v>http://dx.doi.org/10.1016/j.dsr.2008.11.005</v>
      </c>
      <c r="BG199" t="s">
        <v>74</v>
      </c>
      <c r="BH199" t="s">
        <v>74</v>
      </c>
      <c r="BI199">
        <v>15</v>
      </c>
      <c r="BJ199" t="s">
        <v>689</v>
      </c>
      <c r="BK199" t="s">
        <v>100</v>
      </c>
      <c r="BL199" t="s">
        <v>689</v>
      </c>
      <c r="BM199" t="s">
        <v>3990</v>
      </c>
      <c r="BN199" t="s">
        <v>74</v>
      </c>
      <c r="BO199" t="s">
        <v>1012</v>
      </c>
      <c r="BP199" t="s">
        <v>74</v>
      </c>
      <c r="BQ199" t="s">
        <v>74</v>
      </c>
      <c r="BR199" t="s">
        <v>103</v>
      </c>
      <c r="BS199" t="s">
        <v>3991</v>
      </c>
      <c r="BT199" t="str">
        <f>HYPERLINK("https%3A%2F%2Fwww.webofscience.com%2Fwos%2Fwoscc%2Ffull-record%2FWOS:000265008600004","View Full Record in Web of Science")</f>
        <v>View Full Record in Web of Science</v>
      </c>
    </row>
    <row r="200" spans="1:72" x14ac:dyDescent="0.15">
      <c r="A200" t="s">
        <v>72</v>
      </c>
      <c r="B200" t="s">
        <v>3992</v>
      </c>
      <c r="C200" t="s">
        <v>74</v>
      </c>
      <c r="D200" t="s">
        <v>74</v>
      </c>
      <c r="E200" t="s">
        <v>74</v>
      </c>
      <c r="F200" t="s">
        <v>3993</v>
      </c>
      <c r="G200" t="s">
        <v>74</v>
      </c>
      <c r="H200" t="s">
        <v>74</v>
      </c>
      <c r="I200" t="s">
        <v>3994</v>
      </c>
      <c r="J200" t="s">
        <v>1459</v>
      </c>
      <c r="K200" t="s">
        <v>74</v>
      </c>
      <c r="L200" t="s">
        <v>74</v>
      </c>
      <c r="M200" t="s">
        <v>78</v>
      </c>
      <c r="N200" t="s">
        <v>79</v>
      </c>
      <c r="O200" t="s">
        <v>74</v>
      </c>
      <c r="P200" t="s">
        <v>74</v>
      </c>
      <c r="Q200" t="s">
        <v>74</v>
      </c>
      <c r="R200" t="s">
        <v>74</v>
      </c>
      <c r="S200" t="s">
        <v>74</v>
      </c>
      <c r="T200" t="s">
        <v>3995</v>
      </c>
      <c r="U200" t="s">
        <v>3996</v>
      </c>
      <c r="V200" t="s">
        <v>3997</v>
      </c>
      <c r="W200" t="s">
        <v>3998</v>
      </c>
      <c r="X200" t="s">
        <v>3999</v>
      </c>
      <c r="Y200" t="s">
        <v>4000</v>
      </c>
      <c r="Z200" t="s">
        <v>4001</v>
      </c>
      <c r="AA200" t="s">
        <v>4002</v>
      </c>
      <c r="AB200" t="s">
        <v>4003</v>
      </c>
      <c r="AC200" t="s">
        <v>4004</v>
      </c>
      <c r="AD200" t="s">
        <v>4004</v>
      </c>
      <c r="AE200" t="s">
        <v>4005</v>
      </c>
      <c r="AF200" t="s">
        <v>74</v>
      </c>
      <c r="AG200">
        <v>73</v>
      </c>
      <c r="AH200">
        <v>30</v>
      </c>
      <c r="AI200">
        <v>32</v>
      </c>
      <c r="AJ200">
        <v>0</v>
      </c>
      <c r="AK200">
        <v>23</v>
      </c>
      <c r="AL200" t="s">
        <v>303</v>
      </c>
      <c r="AM200" t="s">
        <v>304</v>
      </c>
      <c r="AN200" t="s">
        <v>305</v>
      </c>
      <c r="AO200" t="s">
        <v>1470</v>
      </c>
      <c r="AP200" t="s">
        <v>1471</v>
      </c>
      <c r="AQ200" t="s">
        <v>74</v>
      </c>
      <c r="AR200" t="s">
        <v>1472</v>
      </c>
      <c r="AS200" t="s">
        <v>1473</v>
      </c>
      <c r="AT200" t="s">
        <v>3655</v>
      </c>
      <c r="AU200">
        <v>2009</v>
      </c>
      <c r="AV200">
        <v>56</v>
      </c>
      <c r="AW200">
        <v>4</v>
      </c>
      <c r="AX200" t="s">
        <v>74</v>
      </c>
      <c r="AY200" t="s">
        <v>74</v>
      </c>
      <c r="AZ200" t="s">
        <v>74</v>
      </c>
      <c r="BA200" t="s">
        <v>74</v>
      </c>
      <c r="BB200">
        <v>582</v>
      </c>
      <c r="BC200">
        <v>598</v>
      </c>
      <c r="BD200" t="s">
        <v>74</v>
      </c>
      <c r="BE200" t="s">
        <v>4006</v>
      </c>
      <c r="BF200" t="str">
        <f>HYPERLINK("http://dx.doi.org/10.1016/j.dsr.2008.11.007","http://dx.doi.org/10.1016/j.dsr.2008.11.007")</f>
        <v>http://dx.doi.org/10.1016/j.dsr.2008.11.007</v>
      </c>
      <c r="BG200" t="s">
        <v>74</v>
      </c>
      <c r="BH200" t="s">
        <v>74</v>
      </c>
      <c r="BI200">
        <v>17</v>
      </c>
      <c r="BJ200" t="s">
        <v>689</v>
      </c>
      <c r="BK200" t="s">
        <v>100</v>
      </c>
      <c r="BL200" t="s">
        <v>689</v>
      </c>
      <c r="BM200" t="s">
        <v>3990</v>
      </c>
      <c r="BN200" t="s">
        <v>74</v>
      </c>
      <c r="BO200" t="s">
        <v>74</v>
      </c>
      <c r="BP200" t="s">
        <v>74</v>
      </c>
      <c r="BQ200" t="s">
        <v>74</v>
      </c>
      <c r="BR200" t="s">
        <v>103</v>
      </c>
      <c r="BS200" t="s">
        <v>4007</v>
      </c>
      <c r="BT200" t="str">
        <f>HYPERLINK("https%3A%2F%2Fwww.webofscience.com%2Fwos%2Fwoscc%2Ffull-record%2FWOS:000265008600009","View Full Record in Web of Science")</f>
        <v>View Full Record in Web of Science</v>
      </c>
    </row>
    <row r="201" spans="1:72" x14ac:dyDescent="0.15">
      <c r="A201" t="s">
        <v>72</v>
      </c>
      <c r="B201" t="s">
        <v>4008</v>
      </c>
      <c r="C201" t="s">
        <v>74</v>
      </c>
      <c r="D201" t="s">
        <v>74</v>
      </c>
      <c r="E201" t="s">
        <v>74</v>
      </c>
      <c r="F201" t="s">
        <v>4009</v>
      </c>
      <c r="G201" t="s">
        <v>74</v>
      </c>
      <c r="H201" t="s">
        <v>74</v>
      </c>
      <c r="I201" t="s">
        <v>4010</v>
      </c>
      <c r="J201" t="s">
        <v>4011</v>
      </c>
      <c r="K201" t="s">
        <v>74</v>
      </c>
      <c r="L201" t="s">
        <v>74</v>
      </c>
      <c r="M201" t="s">
        <v>78</v>
      </c>
      <c r="N201" t="s">
        <v>79</v>
      </c>
      <c r="O201" t="s">
        <v>74</v>
      </c>
      <c r="P201" t="s">
        <v>74</v>
      </c>
      <c r="Q201" t="s">
        <v>74</v>
      </c>
      <c r="R201" t="s">
        <v>74</v>
      </c>
      <c r="S201" t="s">
        <v>74</v>
      </c>
      <c r="T201" t="s">
        <v>4012</v>
      </c>
      <c r="U201" t="s">
        <v>4013</v>
      </c>
      <c r="V201" t="s">
        <v>4014</v>
      </c>
      <c r="W201" t="s">
        <v>4015</v>
      </c>
      <c r="X201" t="s">
        <v>4016</v>
      </c>
      <c r="Y201" t="s">
        <v>4017</v>
      </c>
      <c r="Z201" t="s">
        <v>4018</v>
      </c>
      <c r="AA201" t="s">
        <v>4019</v>
      </c>
      <c r="AB201" t="s">
        <v>4020</v>
      </c>
      <c r="AC201" t="s">
        <v>4021</v>
      </c>
      <c r="AD201" t="s">
        <v>1593</v>
      </c>
      <c r="AE201" t="s">
        <v>74</v>
      </c>
      <c r="AF201" t="s">
        <v>74</v>
      </c>
      <c r="AG201">
        <v>45</v>
      </c>
      <c r="AH201">
        <v>50</v>
      </c>
      <c r="AI201">
        <v>65</v>
      </c>
      <c r="AJ201">
        <v>0</v>
      </c>
      <c r="AK201">
        <v>56</v>
      </c>
      <c r="AL201" t="s">
        <v>303</v>
      </c>
      <c r="AM201" t="s">
        <v>304</v>
      </c>
      <c r="AN201" t="s">
        <v>305</v>
      </c>
      <c r="AO201" t="s">
        <v>4022</v>
      </c>
      <c r="AP201" t="s">
        <v>4023</v>
      </c>
      <c r="AQ201" t="s">
        <v>74</v>
      </c>
      <c r="AR201" t="s">
        <v>4024</v>
      </c>
      <c r="AS201" t="s">
        <v>4025</v>
      </c>
      <c r="AT201" t="s">
        <v>3655</v>
      </c>
      <c r="AU201">
        <v>2009</v>
      </c>
      <c r="AV201">
        <v>56</v>
      </c>
      <c r="AW201" t="s">
        <v>4026</v>
      </c>
      <c r="AX201" t="s">
        <v>74</v>
      </c>
      <c r="AY201" t="s">
        <v>74</v>
      </c>
      <c r="AZ201" t="s">
        <v>74</v>
      </c>
      <c r="BA201" t="s">
        <v>74</v>
      </c>
      <c r="BB201">
        <v>504</v>
      </c>
      <c r="BC201">
        <v>511</v>
      </c>
      <c r="BD201" t="s">
        <v>74</v>
      </c>
      <c r="BE201" t="s">
        <v>4027</v>
      </c>
      <c r="BF201" t="str">
        <f>HYPERLINK("http://dx.doi.org/10.1016/j.dsr2.2008.12.016","http://dx.doi.org/10.1016/j.dsr2.2008.12.016")</f>
        <v>http://dx.doi.org/10.1016/j.dsr2.2008.12.016</v>
      </c>
      <c r="BG201" t="s">
        <v>74</v>
      </c>
      <c r="BH201" t="s">
        <v>74</v>
      </c>
      <c r="BI201">
        <v>8</v>
      </c>
      <c r="BJ201" t="s">
        <v>689</v>
      </c>
      <c r="BK201" t="s">
        <v>100</v>
      </c>
      <c r="BL201" t="s">
        <v>689</v>
      </c>
      <c r="BM201" t="s">
        <v>4028</v>
      </c>
      <c r="BN201" t="s">
        <v>74</v>
      </c>
      <c r="BO201" t="s">
        <v>74</v>
      </c>
      <c r="BP201" t="s">
        <v>74</v>
      </c>
      <c r="BQ201" t="s">
        <v>74</v>
      </c>
      <c r="BR201" t="s">
        <v>103</v>
      </c>
      <c r="BS201" t="s">
        <v>4029</v>
      </c>
      <c r="BT201" t="str">
        <f>HYPERLINK("https%3A%2F%2Fwww.webofscience.com%2Fwos%2Fwoscc%2Ffull-record%2FWOS:000267587200002","View Full Record in Web of Science")</f>
        <v>View Full Record in Web of Science</v>
      </c>
    </row>
    <row r="202" spans="1:72" x14ac:dyDescent="0.15">
      <c r="A202" t="s">
        <v>72</v>
      </c>
      <c r="B202" t="s">
        <v>4030</v>
      </c>
      <c r="C202" t="s">
        <v>74</v>
      </c>
      <c r="D202" t="s">
        <v>74</v>
      </c>
      <c r="E202" t="s">
        <v>74</v>
      </c>
      <c r="F202" t="s">
        <v>4031</v>
      </c>
      <c r="G202" t="s">
        <v>74</v>
      </c>
      <c r="H202" t="s">
        <v>74</v>
      </c>
      <c r="I202" t="s">
        <v>4032</v>
      </c>
      <c r="J202" t="s">
        <v>4011</v>
      </c>
      <c r="K202" t="s">
        <v>74</v>
      </c>
      <c r="L202" t="s">
        <v>74</v>
      </c>
      <c r="M202" t="s">
        <v>78</v>
      </c>
      <c r="N202" t="s">
        <v>79</v>
      </c>
      <c r="O202" t="s">
        <v>74</v>
      </c>
      <c r="P202" t="s">
        <v>74</v>
      </c>
      <c r="Q202" t="s">
        <v>74</v>
      </c>
      <c r="R202" t="s">
        <v>74</v>
      </c>
      <c r="S202" t="s">
        <v>74</v>
      </c>
      <c r="T202" t="s">
        <v>4033</v>
      </c>
      <c r="U202" t="s">
        <v>4034</v>
      </c>
      <c r="V202" t="s">
        <v>4035</v>
      </c>
      <c r="W202" t="s">
        <v>4036</v>
      </c>
      <c r="X202" t="s">
        <v>4037</v>
      </c>
      <c r="Y202" t="s">
        <v>4038</v>
      </c>
      <c r="Z202" t="s">
        <v>4039</v>
      </c>
      <c r="AA202" t="s">
        <v>4040</v>
      </c>
      <c r="AB202" t="s">
        <v>4041</v>
      </c>
      <c r="AC202" t="s">
        <v>4042</v>
      </c>
      <c r="AD202" t="s">
        <v>1490</v>
      </c>
      <c r="AE202" t="s">
        <v>74</v>
      </c>
      <c r="AF202" t="s">
        <v>74</v>
      </c>
      <c r="AG202">
        <v>98</v>
      </c>
      <c r="AH202">
        <v>1528</v>
      </c>
      <c r="AI202">
        <v>1658</v>
      </c>
      <c r="AJ202">
        <v>22</v>
      </c>
      <c r="AK202">
        <v>386</v>
      </c>
      <c r="AL202" t="s">
        <v>303</v>
      </c>
      <c r="AM202" t="s">
        <v>304</v>
      </c>
      <c r="AN202" t="s">
        <v>305</v>
      </c>
      <c r="AO202" t="s">
        <v>4022</v>
      </c>
      <c r="AP202" t="s">
        <v>4023</v>
      </c>
      <c r="AQ202" t="s">
        <v>74</v>
      </c>
      <c r="AR202" t="s">
        <v>4024</v>
      </c>
      <c r="AS202" t="s">
        <v>4025</v>
      </c>
      <c r="AT202" t="s">
        <v>3655</v>
      </c>
      <c r="AU202">
        <v>2009</v>
      </c>
      <c r="AV202">
        <v>56</v>
      </c>
      <c r="AW202" t="s">
        <v>4026</v>
      </c>
      <c r="AX202" t="s">
        <v>74</v>
      </c>
      <c r="AY202" t="s">
        <v>74</v>
      </c>
      <c r="AZ202" t="s">
        <v>74</v>
      </c>
      <c r="BA202" t="s">
        <v>74</v>
      </c>
      <c r="BB202">
        <v>554</v>
      </c>
      <c r="BC202">
        <v>577</v>
      </c>
      <c r="BD202" t="s">
        <v>74</v>
      </c>
      <c r="BE202" t="s">
        <v>4043</v>
      </c>
      <c r="BF202" t="str">
        <f>HYPERLINK("http://dx.doi.org/10.1016/j.dsr2.2008.12.009","http://dx.doi.org/10.1016/j.dsr2.2008.12.009")</f>
        <v>http://dx.doi.org/10.1016/j.dsr2.2008.12.009</v>
      </c>
      <c r="BG202" t="s">
        <v>74</v>
      </c>
      <c r="BH202" t="s">
        <v>74</v>
      </c>
      <c r="BI202">
        <v>24</v>
      </c>
      <c r="BJ202" t="s">
        <v>689</v>
      </c>
      <c r="BK202" t="s">
        <v>100</v>
      </c>
      <c r="BL202" t="s">
        <v>689</v>
      </c>
      <c r="BM202" t="s">
        <v>4028</v>
      </c>
      <c r="BN202" t="s">
        <v>74</v>
      </c>
      <c r="BO202" t="s">
        <v>74</v>
      </c>
      <c r="BP202" t="s">
        <v>74</v>
      </c>
      <c r="BQ202" t="s">
        <v>74</v>
      </c>
      <c r="BR202" t="s">
        <v>103</v>
      </c>
      <c r="BS202" t="s">
        <v>4044</v>
      </c>
      <c r="BT202" t="str">
        <f>HYPERLINK("https%3A%2F%2Fwww.webofscience.com%2Fwos%2Fwoscc%2Ffull-record%2FWOS:000267587200007","View Full Record in Web of Science")</f>
        <v>View Full Record in Web of Science</v>
      </c>
    </row>
    <row r="203" spans="1:72" x14ac:dyDescent="0.15">
      <c r="A203" t="s">
        <v>72</v>
      </c>
      <c r="B203" t="s">
        <v>4045</v>
      </c>
      <c r="C203" t="s">
        <v>74</v>
      </c>
      <c r="D203" t="s">
        <v>74</v>
      </c>
      <c r="E203" t="s">
        <v>74</v>
      </c>
      <c r="F203" t="s">
        <v>4046</v>
      </c>
      <c r="G203" t="s">
        <v>74</v>
      </c>
      <c r="H203" t="s">
        <v>74</v>
      </c>
      <c r="I203" t="s">
        <v>4047</v>
      </c>
      <c r="J203" t="s">
        <v>4011</v>
      </c>
      <c r="K203" t="s">
        <v>74</v>
      </c>
      <c r="L203" t="s">
        <v>74</v>
      </c>
      <c r="M203" t="s">
        <v>78</v>
      </c>
      <c r="N203" t="s">
        <v>79</v>
      </c>
      <c r="O203" t="s">
        <v>74</v>
      </c>
      <c r="P203" t="s">
        <v>74</v>
      </c>
      <c r="Q203" t="s">
        <v>74</v>
      </c>
      <c r="R203" t="s">
        <v>74</v>
      </c>
      <c r="S203" t="s">
        <v>74</v>
      </c>
      <c r="T203" t="s">
        <v>4048</v>
      </c>
      <c r="U203" t="s">
        <v>4049</v>
      </c>
      <c r="V203" t="s">
        <v>4050</v>
      </c>
      <c r="W203" t="s">
        <v>4051</v>
      </c>
      <c r="X203" t="s">
        <v>4052</v>
      </c>
      <c r="Y203" t="s">
        <v>4053</v>
      </c>
      <c r="Z203" t="s">
        <v>4054</v>
      </c>
      <c r="AA203" t="s">
        <v>74</v>
      </c>
      <c r="AB203" t="s">
        <v>4055</v>
      </c>
      <c r="AC203" t="s">
        <v>74</v>
      </c>
      <c r="AD203" t="s">
        <v>74</v>
      </c>
      <c r="AE203" t="s">
        <v>74</v>
      </c>
      <c r="AF203" t="s">
        <v>74</v>
      </c>
      <c r="AG203">
        <v>56</v>
      </c>
      <c r="AH203">
        <v>90</v>
      </c>
      <c r="AI203">
        <v>96</v>
      </c>
      <c r="AJ203">
        <v>0</v>
      </c>
      <c r="AK203">
        <v>30</v>
      </c>
      <c r="AL203" t="s">
        <v>303</v>
      </c>
      <c r="AM203" t="s">
        <v>304</v>
      </c>
      <c r="AN203" t="s">
        <v>305</v>
      </c>
      <c r="AO203" t="s">
        <v>4022</v>
      </c>
      <c r="AP203" t="s">
        <v>4023</v>
      </c>
      <c r="AQ203" t="s">
        <v>74</v>
      </c>
      <c r="AR203" t="s">
        <v>4024</v>
      </c>
      <c r="AS203" t="s">
        <v>4025</v>
      </c>
      <c r="AT203" t="s">
        <v>3655</v>
      </c>
      <c r="AU203">
        <v>2009</v>
      </c>
      <c r="AV203">
        <v>56</v>
      </c>
      <c r="AW203" t="s">
        <v>4026</v>
      </c>
      <c r="AX203" t="s">
        <v>74</v>
      </c>
      <c r="AY203" t="s">
        <v>74</v>
      </c>
      <c r="AZ203" t="s">
        <v>74</v>
      </c>
      <c r="BA203" t="s">
        <v>74</v>
      </c>
      <c r="BB203">
        <v>607</v>
      </c>
      <c r="BC203">
        <v>619</v>
      </c>
      <c r="BD203" t="s">
        <v>74</v>
      </c>
      <c r="BE203" t="s">
        <v>4056</v>
      </c>
      <c r="BF203" t="str">
        <f>HYPERLINK("http://dx.doi.org/10.1016/j.dsr2.2008.12.007","http://dx.doi.org/10.1016/j.dsr2.2008.12.007")</f>
        <v>http://dx.doi.org/10.1016/j.dsr2.2008.12.007</v>
      </c>
      <c r="BG203" t="s">
        <v>74</v>
      </c>
      <c r="BH203" t="s">
        <v>74</v>
      </c>
      <c r="BI203">
        <v>13</v>
      </c>
      <c r="BJ203" t="s">
        <v>689</v>
      </c>
      <c r="BK203" t="s">
        <v>100</v>
      </c>
      <c r="BL203" t="s">
        <v>689</v>
      </c>
      <c r="BM203" t="s">
        <v>4028</v>
      </c>
      <c r="BN203" t="s">
        <v>74</v>
      </c>
      <c r="BO203" t="s">
        <v>74</v>
      </c>
      <c r="BP203" t="s">
        <v>74</v>
      </c>
      <c r="BQ203" t="s">
        <v>74</v>
      </c>
      <c r="BR203" t="s">
        <v>103</v>
      </c>
      <c r="BS203" t="s">
        <v>4057</v>
      </c>
      <c r="BT203" t="str">
        <f>HYPERLINK("https%3A%2F%2Fwww.webofscience.com%2Fwos%2Fwoscc%2Ffull-record%2FWOS:000267587200010","View Full Record in Web of Science")</f>
        <v>View Full Record in Web of Science</v>
      </c>
    </row>
    <row r="204" spans="1:72" x14ac:dyDescent="0.15">
      <c r="A204" t="s">
        <v>72</v>
      </c>
      <c r="B204" t="s">
        <v>4058</v>
      </c>
      <c r="C204" t="s">
        <v>74</v>
      </c>
      <c r="D204" t="s">
        <v>74</v>
      </c>
      <c r="E204" t="s">
        <v>74</v>
      </c>
      <c r="F204" t="s">
        <v>4059</v>
      </c>
      <c r="G204" t="s">
        <v>74</v>
      </c>
      <c r="H204" t="s">
        <v>74</v>
      </c>
      <c r="I204" t="s">
        <v>4060</v>
      </c>
      <c r="J204" t="s">
        <v>4061</v>
      </c>
      <c r="K204" t="s">
        <v>74</v>
      </c>
      <c r="L204" t="s">
        <v>74</v>
      </c>
      <c r="M204" t="s">
        <v>78</v>
      </c>
      <c r="N204" t="s">
        <v>79</v>
      </c>
      <c r="O204" t="s">
        <v>74</v>
      </c>
      <c r="P204" t="s">
        <v>74</v>
      </c>
      <c r="Q204" t="s">
        <v>74</v>
      </c>
      <c r="R204" t="s">
        <v>74</v>
      </c>
      <c r="S204" t="s">
        <v>74</v>
      </c>
      <c r="T204" t="s">
        <v>4062</v>
      </c>
      <c r="U204" t="s">
        <v>4063</v>
      </c>
      <c r="V204" t="s">
        <v>4064</v>
      </c>
      <c r="W204" t="s">
        <v>4065</v>
      </c>
      <c r="X204" t="s">
        <v>4066</v>
      </c>
      <c r="Y204" t="s">
        <v>4067</v>
      </c>
      <c r="Z204" t="s">
        <v>4068</v>
      </c>
      <c r="AA204" t="s">
        <v>74</v>
      </c>
      <c r="AB204" t="s">
        <v>4069</v>
      </c>
      <c r="AC204" t="s">
        <v>4070</v>
      </c>
      <c r="AD204" t="s">
        <v>4071</v>
      </c>
      <c r="AE204" t="s">
        <v>4072</v>
      </c>
      <c r="AF204" t="s">
        <v>74</v>
      </c>
      <c r="AG204">
        <v>73</v>
      </c>
      <c r="AH204">
        <v>52</v>
      </c>
      <c r="AI204">
        <v>68</v>
      </c>
      <c r="AJ204">
        <v>4</v>
      </c>
      <c r="AK204">
        <v>71</v>
      </c>
      <c r="AL204" t="s">
        <v>489</v>
      </c>
      <c r="AM204" t="s">
        <v>490</v>
      </c>
      <c r="AN204" t="s">
        <v>491</v>
      </c>
      <c r="AO204" t="s">
        <v>4073</v>
      </c>
      <c r="AP204" t="s">
        <v>4074</v>
      </c>
      <c r="AQ204" t="s">
        <v>74</v>
      </c>
      <c r="AR204" t="s">
        <v>4061</v>
      </c>
      <c r="AS204" t="s">
        <v>2480</v>
      </c>
      <c r="AT204" t="s">
        <v>3655</v>
      </c>
      <c r="AU204">
        <v>2009</v>
      </c>
      <c r="AV204">
        <v>90</v>
      </c>
      <c r="AW204">
        <v>4</v>
      </c>
      <c r="AX204" t="s">
        <v>74</v>
      </c>
      <c r="AY204" t="s">
        <v>74</v>
      </c>
      <c r="AZ204" t="s">
        <v>74</v>
      </c>
      <c r="BA204" t="s">
        <v>74</v>
      </c>
      <c r="BB204">
        <v>975</v>
      </c>
      <c r="BC204">
        <v>984</v>
      </c>
      <c r="BD204" t="s">
        <v>74</v>
      </c>
      <c r="BE204" t="s">
        <v>4075</v>
      </c>
      <c r="BF204" t="str">
        <f>HYPERLINK("http://dx.doi.org/10.1890/08-0971.1","http://dx.doi.org/10.1890/08-0971.1")</f>
        <v>http://dx.doi.org/10.1890/08-0971.1</v>
      </c>
      <c r="BG204" t="s">
        <v>74</v>
      </c>
      <c r="BH204" t="s">
        <v>74</v>
      </c>
      <c r="BI204">
        <v>10</v>
      </c>
      <c r="BJ204" t="s">
        <v>2480</v>
      </c>
      <c r="BK204" t="s">
        <v>100</v>
      </c>
      <c r="BL204" t="s">
        <v>424</v>
      </c>
      <c r="BM204" t="s">
        <v>4076</v>
      </c>
      <c r="BN204">
        <v>19449692</v>
      </c>
      <c r="BO204" t="s">
        <v>74</v>
      </c>
      <c r="BP204" t="s">
        <v>74</v>
      </c>
      <c r="BQ204" t="s">
        <v>74</v>
      </c>
      <c r="BR204" t="s">
        <v>103</v>
      </c>
      <c r="BS204" t="s">
        <v>4077</v>
      </c>
      <c r="BT204" t="str">
        <f>HYPERLINK("https%3A%2F%2Fwww.webofscience.com%2Fwos%2Fwoscc%2Ffull-record%2FWOS:000264753400015","View Full Record in Web of Science")</f>
        <v>View Full Record in Web of Science</v>
      </c>
    </row>
    <row r="205" spans="1:72" x14ac:dyDescent="0.15">
      <c r="A205" t="s">
        <v>72</v>
      </c>
      <c r="B205" t="s">
        <v>4078</v>
      </c>
      <c r="C205" t="s">
        <v>74</v>
      </c>
      <c r="D205" t="s">
        <v>74</v>
      </c>
      <c r="E205" t="s">
        <v>74</v>
      </c>
      <c r="F205" t="s">
        <v>4079</v>
      </c>
      <c r="G205" t="s">
        <v>74</v>
      </c>
      <c r="H205" t="s">
        <v>74</v>
      </c>
      <c r="I205" t="s">
        <v>4080</v>
      </c>
      <c r="J205" t="s">
        <v>4081</v>
      </c>
      <c r="K205" t="s">
        <v>74</v>
      </c>
      <c r="L205" t="s">
        <v>74</v>
      </c>
      <c r="M205" t="s">
        <v>78</v>
      </c>
      <c r="N205" t="s">
        <v>79</v>
      </c>
      <c r="O205" t="s">
        <v>74</v>
      </c>
      <c r="P205" t="s">
        <v>74</v>
      </c>
      <c r="Q205" t="s">
        <v>74</v>
      </c>
      <c r="R205" t="s">
        <v>74</v>
      </c>
      <c r="S205" t="s">
        <v>74</v>
      </c>
      <c r="T205" t="s">
        <v>4082</v>
      </c>
      <c r="U205" t="s">
        <v>4083</v>
      </c>
      <c r="V205" t="s">
        <v>4084</v>
      </c>
      <c r="W205" t="s">
        <v>4085</v>
      </c>
      <c r="X205" t="s">
        <v>4086</v>
      </c>
      <c r="Y205" t="s">
        <v>4087</v>
      </c>
      <c r="Z205" t="s">
        <v>4088</v>
      </c>
      <c r="AA205" t="s">
        <v>4089</v>
      </c>
      <c r="AB205" t="s">
        <v>4090</v>
      </c>
      <c r="AC205" t="s">
        <v>4091</v>
      </c>
      <c r="AD205" t="s">
        <v>4092</v>
      </c>
      <c r="AE205" t="s">
        <v>4093</v>
      </c>
      <c r="AF205" t="s">
        <v>74</v>
      </c>
      <c r="AG205">
        <v>54</v>
      </c>
      <c r="AH205">
        <v>113</v>
      </c>
      <c r="AI205">
        <v>130</v>
      </c>
      <c r="AJ205">
        <v>4</v>
      </c>
      <c r="AK205">
        <v>114</v>
      </c>
      <c r="AL205" t="s">
        <v>1671</v>
      </c>
      <c r="AM205" t="s">
        <v>304</v>
      </c>
      <c r="AN205" t="s">
        <v>1672</v>
      </c>
      <c r="AO205" t="s">
        <v>4094</v>
      </c>
      <c r="AP205" t="s">
        <v>4095</v>
      </c>
      <c r="AQ205" t="s">
        <v>74</v>
      </c>
      <c r="AR205" t="s">
        <v>4096</v>
      </c>
      <c r="AS205" t="s">
        <v>4097</v>
      </c>
      <c r="AT205" t="s">
        <v>3655</v>
      </c>
      <c r="AU205">
        <v>2009</v>
      </c>
      <c r="AV205">
        <v>157</v>
      </c>
      <c r="AW205">
        <v>4</v>
      </c>
      <c r="AX205" t="s">
        <v>74</v>
      </c>
      <c r="AY205" t="s">
        <v>74</v>
      </c>
      <c r="AZ205" t="s">
        <v>74</v>
      </c>
      <c r="BA205" t="s">
        <v>74</v>
      </c>
      <c r="BB205">
        <v>1342</v>
      </c>
      <c r="BC205">
        <v>1351</v>
      </c>
      <c r="BD205" t="s">
        <v>74</v>
      </c>
      <c r="BE205" t="s">
        <v>4098</v>
      </c>
      <c r="BF205" t="str">
        <f>HYPERLINK("http://dx.doi.org/10.1016/j.envpol.2008.11.030","http://dx.doi.org/10.1016/j.envpol.2008.11.030")</f>
        <v>http://dx.doi.org/10.1016/j.envpol.2008.11.030</v>
      </c>
      <c r="BG205" t="s">
        <v>74</v>
      </c>
      <c r="BH205" t="s">
        <v>74</v>
      </c>
      <c r="BI205">
        <v>10</v>
      </c>
      <c r="BJ205" t="s">
        <v>423</v>
      </c>
      <c r="BK205" t="s">
        <v>100</v>
      </c>
      <c r="BL205" t="s">
        <v>424</v>
      </c>
      <c r="BM205" t="s">
        <v>4099</v>
      </c>
      <c r="BN205">
        <v>19135764</v>
      </c>
      <c r="BO205" t="s">
        <v>74</v>
      </c>
      <c r="BP205" t="s">
        <v>74</v>
      </c>
      <c r="BQ205" t="s">
        <v>74</v>
      </c>
      <c r="BR205" t="s">
        <v>103</v>
      </c>
      <c r="BS205" t="s">
        <v>4100</v>
      </c>
      <c r="BT205" t="str">
        <f>HYPERLINK("https%3A%2F%2Fwww.webofscience.com%2Fwos%2Fwoscc%2Ffull-record%2FWOS:000264782700038","View Full Record in Web of Science")</f>
        <v>View Full Record in Web of Science</v>
      </c>
    </row>
    <row r="206" spans="1:72" x14ac:dyDescent="0.15">
      <c r="A206" t="s">
        <v>72</v>
      </c>
      <c r="B206" t="s">
        <v>4101</v>
      </c>
      <c r="C206" t="s">
        <v>74</v>
      </c>
      <c r="D206" t="s">
        <v>74</v>
      </c>
      <c r="E206" t="s">
        <v>74</v>
      </c>
      <c r="F206" t="s">
        <v>4102</v>
      </c>
      <c r="G206" t="s">
        <v>74</v>
      </c>
      <c r="H206" t="s">
        <v>74</v>
      </c>
      <c r="I206" t="s">
        <v>4103</v>
      </c>
      <c r="J206" t="s">
        <v>4104</v>
      </c>
      <c r="K206" t="s">
        <v>74</v>
      </c>
      <c r="L206" t="s">
        <v>74</v>
      </c>
      <c r="M206" t="s">
        <v>78</v>
      </c>
      <c r="N206" t="s">
        <v>79</v>
      </c>
      <c r="O206" t="s">
        <v>74</v>
      </c>
      <c r="P206" t="s">
        <v>74</v>
      </c>
      <c r="Q206" t="s">
        <v>74</v>
      </c>
      <c r="R206" t="s">
        <v>74</v>
      </c>
      <c r="S206" t="s">
        <v>74</v>
      </c>
      <c r="T206" t="s">
        <v>4105</v>
      </c>
      <c r="U206" t="s">
        <v>4106</v>
      </c>
      <c r="V206" t="s">
        <v>4107</v>
      </c>
      <c r="W206" t="s">
        <v>4108</v>
      </c>
      <c r="X206" t="s">
        <v>4109</v>
      </c>
      <c r="Y206" t="s">
        <v>4110</v>
      </c>
      <c r="Z206" t="s">
        <v>4111</v>
      </c>
      <c r="AA206" t="s">
        <v>4112</v>
      </c>
      <c r="AB206" t="s">
        <v>4113</v>
      </c>
      <c r="AC206" t="s">
        <v>4114</v>
      </c>
      <c r="AD206" t="s">
        <v>4115</v>
      </c>
      <c r="AE206" t="s">
        <v>4116</v>
      </c>
      <c r="AF206" t="s">
        <v>74</v>
      </c>
      <c r="AG206">
        <v>40</v>
      </c>
      <c r="AH206">
        <v>36</v>
      </c>
      <c r="AI206">
        <v>38</v>
      </c>
      <c r="AJ206">
        <v>0</v>
      </c>
      <c r="AK206">
        <v>22</v>
      </c>
      <c r="AL206" t="s">
        <v>489</v>
      </c>
      <c r="AM206" t="s">
        <v>490</v>
      </c>
      <c r="AN206" t="s">
        <v>491</v>
      </c>
      <c r="AO206" t="s">
        <v>4117</v>
      </c>
      <c r="AP206" t="s">
        <v>4118</v>
      </c>
      <c r="AQ206" t="s">
        <v>74</v>
      </c>
      <c r="AR206" t="s">
        <v>4119</v>
      </c>
      <c r="AS206" t="s">
        <v>4120</v>
      </c>
      <c r="AT206" t="s">
        <v>3655</v>
      </c>
      <c r="AU206">
        <v>2009</v>
      </c>
      <c r="AV206">
        <v>28</v>
      </c>
      <c r="AW206">
        <v>4</v>
      </c>
      <c r="AX206" t="s">
        <v>74</v>
      </c>
      <c r="AY206" t="s">
        <v>74</v>
      </c>
      <c r="AZ206" t="s">
        <v>74</v>
      </c>
      <c r="BA206" t="s">
        <v>74</v>
      </c>
      <c r="BB206">
        <v>818</v>
      </c>
      <c r="BC206">
        <v>825</v>
      </c>
      <c r="BD206" t="s">
        <v>74</v>
      </c>
      <c r="BE206" t="s">
        <v>4121</v>
      </c>
      <c r="BF206" t="str">
        <f>HYPERLINK("http://dx.doi.org/10.1897/08-066.1","http://dx.doi.org/10.1897/08-066.1")</f>
        <v>http://dx.doi.org/10.1897/08-066.1</v>
      </c>
      <c r="BG206" t="s">
        <v>74</v>
      </c>
      <c r="BH206" t="s">
        <v>74</v>
      </c>
      <c r="BI206">
        <v>8</v>
      </c>
      <c r="BJ206" t="s">
        <v>4122</v>
      </c>
      <c r="BK206" t="s">
        <v>100</v>
      </c>
      <c r="BL206" t="s">
        <v>4123</v>
      </c>
      <c r="BM206" t="s">
        <v>4124</v>
      </c>
      <c r="BN206">
        <v>19006418</v>
      </c>
      <c r="BO206" t="s">
        <v>74</v>
      </c>
      <c r="BP206" t="s">
        <v>74</v>
      </c>
      <c r="BQ206" t="s">
        <v>74</v>
      </c>
      <c r="BR206" t="s">
        <v>103</v>
      </c>
      <c r="BS206" t="s">
        <v>4125</v>
      </c>
      <c r="BT206" t="str">
        <f>HYPERLINK("https%3A%2F%2Fwww.webofscience.com%2Fwos%2Fwoscc%2Ffull-record%2FWOS:000264044700015","View Full Record in Web of Science")</f>
        <v>View Full Record in Web of Science</v>
      </c>
    </row>
    <row r="207" spans="1:72" x14ac:dyDescent="0.15">
      <c r="A207" t="s">
        <v>72</v>
      </c>
      <c r="B207" t="s">
        <v>4126</v>
      </c>
      <c r="C207" t="s">
        <v>74</v>
      </c>
      <c r="D207" t="s">
        <v>74</v>
      </c>
      <c r="E207" t="s">
        <v>74</v>
      </c>
      <c r="F207" t="s">
        <v>4127</v>
      </c>
      <c r="G207" t="s">
        <v>74</v>
      </c>
      <c r="H207" t="s">
        <v>74</v>
      </c>
      <c r="I207" t="s">
        <v>4128</v>
      </c>
      <c r="J207" t="s">
        <v>4129</v>
      </c>
      <c r="K207" t="s">
        <v>74</v>
      </c>
      <c r="L207" t="s">
        <v>74</v>
      </c>
      <c r="M207" t="s">
        <v>78</v>
      </c>
      <c r="N207" t="s">
        <v>79</v>
      </c>
      <c r="O207" t="s">
        <v>74</v>
      </c>
      <c r="P207" t="s">
        <v>74</v>
      </c>
      <c r="Q207" t="s">
        <v>74</v>
      </c>
      <c r="R207" t="s">
        <v>74</v>
      </c>
      <c r="S207" t="s">
        <v>74</v>
      </c>
      <c r="T207" t="s">
        <v>74</v>
      </c>
      <c r="U207" t="s">
        <v>4130</v>
      </c>
      <c r="V207" t="s">
        <v>4131</v>
      </c>
      <c r="W207" t="s">
        <v>4132</v>
      </c>
      <c r="X207" t="s">
        <v>4133</v>
      </c>
      <c r="Y207" t="s">
        <v>4134</v>
      </c>
      <c r="Z207" t="s">
        <v>4135</v>
      </c>
      <c r="AA207" t="s">
        <v>4136</v>
      </c>
      <c r="AB207" t="s">
        <v>4137</v>
      </c>
      <c r="AC207" t="s">
        <v>4138</v>
      </c>
      <c r="AD207" t="s">
        <v>4139</v>
      </c>
      <c r="AE207" t="s">
        <v>4140</v>
      </c>
      <c r="AF207" t="s">
        <v>74</v>
      </c>
      <c r="AG207">
        <v>69</v>
      </c>
      <c r="AH207">
        <v>30</v>
      </c>
      <c r="AI207">
        <v>38</v>
      </c>
      <c r="AJ207">
        <v>5</v>
      </c>
      <c r="AK207">
        <v>126</v>
      </c>
      <c r="AL207" t="s">
        <v>489</v>
      </c>
      <c r="AM207" t="s">
        <v>490</v>
      </c>
      <c r="AN207" t="s">
        <v>491</v>
      </c>
      <c r="AO207" t="s">
        <v>4141</v>
      </c>
      <c r="AP207" t="s">
        <v>4142</v>
      </c>
      <c r="AQ207" t="s">
        <v>74</v>
      </c>
      <c r="AR207" t="s">
        <v>4129</v>
      </c>
      <c r="AS207" t="s">
        <v>4143</v>
      </c>
      <c r="AT207" t="s">
        <v>3655</v>
      </c>
      <c r="AU207">
        <v>2009</v>
      </c>
      <c r="AV207">
        <v>115</v>
      </c>
      <c r="AW207">
        <v>4</v>
      </c>
      <c r="AX207" t="s">
        <v>74</v>
      </c>
      <c r="AY207" t="s">
        <v>74</v>
      </c>
      <c r="AZ207" t="s">
        <v>74</v>
      </c>
      <c r="BA207" t="s">
        <v>74</v>
      </c>
      <c r="BB207">
        <v>384</v>
      </c>
      <c r="BC207">
        <v>396</v>
      </c>
      <c r="BD207" t="s">
        <v>74</v>
      </c>
      <c r="BE207" t="s">
        <v>4144</v>
      </c>
      <c r="BF207" t="str">
        <f>HYPERLINK("http://dx.doi.org/10.1111/j.1439-0310.2009.01624.x","http://dx.doi.org/10.1111/j.1439-0310.2009.01624.x")</f>
        <v>http://dx.doi.org/10.1111/j.1439-0310.2009.01624.x</v>
      </c>
      <c r="BG207" t="s">
        <v>74</v>
      </c>
      <c r="BH207" t="s">
        <v>74</v>
      </c>
      <c r="BI207">
        <v>13</v>
      </c>
      <c r="BJ207" t="s">
        <v>4145</v>
      </c>
      <c r="BK207" t="s">
        <v>100</v>
      </c>
      <c r="BL207" t="s">
        <v>4146</v>
      </c>
      <c r="BM207" t="s">
        <v>4147</v>
      </c>
      <c r="BN207" t="s">
        <v>74</v>
      </c>
      <c r="BO207" t="s">
        <v>74</v>
      </c>
      <c r="BP207" t="s">
        <v>74</v>
      </c>
      <c r="BQ207" t="s">
        <v>74</v>
      </c>
      <c r="BR207" t="s">
        <v>103</v>
      </c>
      <c r="BS207" t="s">
        <v>4148</v>
      </c>
      <c r="BT207" t="str">
        <f>HYPERLINK("https%3A%2F%2Fwww.webofscience.com%2Fwos%2Fwoscc%2Ffull-record%2FWOS:000264307900011","View Full Record in Web of Science")</f>
        <v>View Full Record in Web of Science</v>
      </c>
    </row>
    <row r="208" spans="1:72" x14ac:dyDescent="0.15">
      <c r="A208" t="s">
        <v>72</v>
      </c>
      <c r="B208" t="s">
        <v>4149</v>
      </c>
      <c r="C208" t="s">
        <v>74</v>
      </c>
      <c r="D208" t="s">
        <v>74</v>
      </c>
      <c r="E208" t="s">
        <v>74</v>
      </c>
      <c r="F208" t="s">
        <v>4150</v>
      </c>
      <c r="G208" t="s">
        <v>74</v>
      </c>
      <c r="H208" t="s">
        <v>74</v>
      </c>
      <c r="I208" t="s">
        <v>4151</v>
      </c>
      <c r="J208" t="s">
        <v>4152</v>
      </c>
      <c r="K208" t="s">
        <v>74</v>
      </c>
      <c r="L208" t="s">
        <v>74</v>
      </c>
      <c r="M208" t="s">
        <v>78</v>
      </c>
      <c r="N208" t="s">
        <v>79</v>
      </c>
      <c r="O208" t="s">
        <v>74</v>
      </c>
      <c r="P208" t="s">
        <v>74</v>
      </c>
      <c r="Q208" t="s">
        <v>74</v>
      </c>
      <c r="R208" t="s">
        <v>74</v>
      </c>
      <c r="S208" t="s">
        <v>74</v>
      </c>
      <c r="T208" t="s">
        <v>4153</v>
      </c>
      <c r="U208" t="s">
        <v>4154</v>
      </c>
      <c r="V208" t="s">
        <v>4155</v>
      </c>
      <c r="W208" t="s">
        <v>4156</v>
      </c>
      <c r="X208" t="s">
        <v>4157</v>
      </c>
      <c r="Y208" t="s">
        <v>4158</v>
      </c>
      <c r="Z208" t="s">
        <v>4159</v>
      </c>
      <c r="AA208" t="s">
        <v>4160</v>
      </c>
      <c r="AB208" t="s">
        <v>4161</v>
      </c>
      <c r="AC208" t="s">
        <v>4162</v>
      </c>
      <c r="AD208" t="s">
        <v>4163</v>
      </c>
      <c r="AE208" t="s">
        <v>4164</v>
      </c>
      <c r="AF208" t="s">
        <v>74</v>
      </c>
      <c r="AG208">
        <v>34</v>
      </c>
      <c r="AH208">
        <v>24</v>
      </c>
      <c r="AI208">
        <v>27</v>
      </c>
      <c r="AJ208">
        <v>1</v>
      </c>
      <c r="AK208">
        <v>17</v>
      </c>
      <c r="AL208" t="s">
        <v>489</v>
      </c>
      <c r="AM208" t="s">
        <v>490</v>
      </c>
      <c r="AN208" t="s">
        <v>491</v>
      </c>
      <c r="AO208" t="s">
        <v>4165</v>
      </c>
      <c r="AP208" t="s">
        <v>4166</v>
      </c>
      <c r="AQ208" t="s">
        <v>74</v>
      </c>
      <c r="AR208" t="s">
        <v>4167</v>
      </c>
      <c r="AS208" t="s">
        <v>4168</v>
      </c>
      <c r="AT208" t="s">
        <v>3655</v>
      </c>
      <c r="AU208">
        <v>2009</v>
      </c>
      <c r="AV208">
        <v>276</v>
      </c>
      <c r="AW208">
        <v>8</v>
      </c>
      <c r="AX208" t="s">
        <v>74</v>
      </c>
      <c r="AY208" t="s">
        <v>74</v>
      </c>
      <c r="AZ208" t="s">
        <v>74</v>
      </c>
      <c r="BA208" t="s">
        <v>74</v>
      </c>
      <c r="BB208">
        <v>2266</v>
      </c>
      <c r="BC208">
        <v>2277</v>
      </c>
      <c r="BD208" t="s">
        <v>74</v>
      </c>
      <c r="BE208" t="s">
        <v>4169</v>
      </c>
      <c r="BF208" t="str">
        <f>HYPERLINK("http://dx.doi.org/10.1111/j.1742-4658.2009.06954.x","http://dx.doi.org/10.1111/j.1742-4658.2009.06954.x")</f>
        <v>http://dx.doi.org/10.1111/j.1742-4658.2009.06954.x</v>
      </c>
      <c r="BG208" t="s">
        <v>74</v>
      </c>
      <c r="BH208" t="s">
        <v>74</v>
      </c>
      <c r="BI208">
        <v>12</v>
      </c>
      <c r="BJ208" t="s">
        <v>2723</v>
      </c>
      <c r="BK208" t="s">
        <v>100</v>
      </c>
      <c r="BL208" t="s">
        <v>2723</v>
      </c>
      <c r="BM208" t="s">
        <v>4170</v>
      </c>
      <c r="BN208">
        <v>19292863</v>
      </c>
      <c r="BO208" t="s">
        <v>616</v>
      </c>
      <c r="BP208" t="s">
        <v>74</v>
      </c>
      <c r="BQ208" t="s">
        <v>74</v>
      </c>
      <c r="BR208" t="s">
        <v>103</v>
      </c>
      <c r="BS208" t="s">
        <v>4171</v>
      </c>
      <c r="BT208" t="str">
        <f>HYPERLINK("https%3A%2F%2Fwww.webofscience.com%2Fwos%2Fwoscc%2Ffull-record%2FWOS:000264546200013","View Full Record in Web of Science")</f>
        <v>View Full Record in Web of Science</v>
      </c>
    </row>
    <row r="209" spans="1:72" x14ac:dyDescent="0.15">
      <c r="A209" t="s">
        <v>72</v>
      </c>
      <c r="B209" t="s">
        <v>4172</v>
      </c>
      <c r="C209" t="s">
        <v>74</v>
      </c>
      <c r="D209" t="s">
        <v>74</v>
      </c>
      <c r="E209" t="s">
        <v>74</v>
      </c>
      <c r="F209" t="s">
        <v>4173</v>
      </c>
      <c r="G209" t="s">
        <v>74</v>
      </c>
      <c r="H209" t="s">
        <v>74</v>
      </c>
      <c r="I209" t="s">
        <v>4174</v>
      </c>
      <c r="J209" t="s">
        <v>4175</v>
      </c>
      <c r="K209" t="s">
        <v>74</v>
      </c>
      <c r="L209" t="s">
        <v>74</v>
      </c>
      <c r="M209" t="s">
        <v>78</v>
      </c>
      <c r="N209" t="s">
        <v>79</v>
      </c>
      <c r="O209" t="s">
        <v>74</v>
      </c>
      <c r="P209" t="s">
        <v>74</v>
      </c>
      <c r="Q209" t="s">
        <v>74</v>
      </c>
      <c r="R209" t="s">
        <v>74</v>
      </c>
      <c r="S209" t="s">
        <v>74</v>
      </c>
      <c r="T209" t="s">
        <v>4176</v>
      </c>
      <c r="U209" t="s">
        <v>4177</v>
      </c>
      <c r="V209" t="s">
        <v>4178</v>
      </c>
      <c r="W209" t="s">
        <v>4179</v>
      </c>
      <c r="X209" t="s">
        <v>824</v>
      </c>
      <c r="Y209" t="s">
        <v>4180</v>
      </c>
      <c r="Z209" t="s">
        <v>4181</v>
      </c>
      <c r="AA209" t="s">
        <v>4182</v>
      </c>
      <c r="AB209" t="s">
        <v>4183</v>
      </c>
      <c r="AC209" t="s">
        <v>4184</v>
      </c>
      <c r="AD209" t="s">
        <v>1490</v>
      </c>
      <c r="AE209" t="s">
        <v>74</v>
      </c>
      <c r="AF209" t="s">
        <v>74</v>
      </c>
      <c r="AG209">
        <v>65</v>
      </c>
      <c r="AH209">
        <v>264</v>
      </c>
      <c r="AI209">
        <v>286</v>
      </c>
      <c r="AJ209">
        <v>3</v>
      </c>
      <c r="AK209">
        <v>127</v>
      </c>
      <c r="AL209" t="s">
        <v>489</v>
      </c>
      <c r="AM209" t="s">
        <v>490</v>
      </c>
      <c r="AN209" t="s">
        <v>491</v>
      </c>
      <c r="AO209" t="s">
        <v>4185</v>
      </c>
      <c r="AP209" t="s">
        <v>4186</v>
      </c>
      <c r="AQ209" t="s">
        <v>74</v>
      </c>
      <c r="AR209" t="s">
        <v>4187</v>
      </c>
      <c r="AS209" t="s">
        <v>4188</v>
      </c>
      <c r="AT209" t="s">
        <v>3655</v>
      </c>
      <c r="AU209">
        <v>2009</v>
      </c>
      <c r="AV209">
        <v>23</v>
      </c>
      <c r="AW209">
        <v>2</v>
      </c>
      <c r="AX209" t="s">
        <v>74</v>
      </c>
      <c r="AY209" t="s">
        <v>74</v>
      </c>
      <c r="AZ209" t="s">
        <v>74</v>
      </c>
      <c r="BA209" t="s">
        <v>74</v>
      </c>
      <c r="BB209">
        <v>248</v>
      </c>
      <c r="BC209">
        <v>256</v>
      </c>
      <c r="BD209" t="s">
        <v>74</v>
      </c>
      <c r="BE209" t="s">
        <v>4189</v>
      </c>
      <c r="BF209" t="str">
        <f>HYPERLINK("http://dx.doi.org/10.1111/j.1365-2435.2008.01537.x","http://dx.doi.org/10.1111/j.1365-2435.2008.01537.x")</f>
        <v>http://dx.doi.org/10.1111/j.1365-2435.2008.01537.x</v>
      </c>
      <c r="BG209" t="s">
        <v>74</v>
      </c>
      <c r="BH209" t="s">
        <v>74</v>
      </c>
      <c r="BI209">
        <v>9</v>
      </c>
      <c r="BJ209" t="s">
        <v>2480</v>
      </c>
      <c r="BK209" t="s">
        <v>100</v>
      </c>
      <c r="BL209" t="s">
        <v>424</v>
      </c>
      <c r="BM209" t="s">
        <v>4190</v>
      </c>
      <c r="BN209" t="s">
        <v>74</v>
      </c>
      <c r="BO209" t="s">
        <v>74</v>
      </c>
      <c r="BP209" t="s">
        <v>74</v>
      </c>
      <c r="BQ209" t="s">
        <v>74</v>
      </c>
      <c r="BR209" t="s">
        <v>103</v>
      </c>
      <c r="BS209" t="s">
        <v>4191</v>
      </c>
      <c r="BT209" t="str">
        <f>HYPERLINK("https%3A%2F%2Fwww.webofscience.com%2Fwos%2Fwoscc%2Ffull-record%2FWOS:000264185500004","View Full Record in Web of Science")</f>
        <v>View Full Record in Web of Science</v>
      </c>
    </row>
    <row r="210" spans="1:72" x14ac:dyDescent="0.15">
      <c r="A210" t="s">
        <v>72</v>
      </c>
      <c r="B210" t="s">
        <v>4192</v>
      </c>
      <c r="C210" t="s">
        <v>74</v>
      </c>
      <c r="D210" t="s">
        <v>74</v>
      </c>
      <c r="E210" t="s">
        <v>74</v>
      </c>
      <c r="F210" t="s">
        <v>4193</v>
      </c>
      <c r="G210" t="s">
        <v>74</v>
      </c>
      <c r="H210" t="s">
        <v>74</v>
      </c>
      <c r="I210" t="s">
        <v>4194</v>
      </c>
      <c r="J210" t="s">
        <v>4195</v>
      </c>
      <c r="K210" t="s">
        <v>74</v>
      </c>
      <c r="L210" t="s">
        <v>74</v>
      </c>
      <c r="M210" t="s">
        <v>78</v>
      </c>
      <c r="N210" t="s">
        <v>79</v>
      </c>
      <c r="O210" t="s">
        <v>74</v>
      </c>
      <c r="P210" t="s">
        <v>74</v>
      </c>
      <c r="Q210" t="s">
        <v>74</v>
      </c>
      <c r="R210" t="s">
        <v>74</v>
      </c>
      <c r="S210" t="s">
        <v>74</v>
      </c>
      <c r="T210" t="s">
        <v>74</v>
      </c>
      <c r="U210" t="s">
        <v>4196</v>
      </c>
      <c r="V210" t="s">
        <v>4197</v>
      </c>
      <c r="W210" t="s">
        <v>4198</v>
      </c>
      <c r="X210" t="s">
        <v>4199</v>
      </c>
      <c r="Y210" t="s">
        <v>4200</v>
      </c>
      <c r="Z210" t="s">
        <v>4201</v>
      </c>
      <c r="AA210" t="s">
        <v>4202</v>
      </c>
      <c r="AB210" t="s">
        <v>4203</v>
      </c>
      <c r="AC210" t="s">
        <v>4204</v>
      </c>
      <c r="AD210" t="s">
        <v>4205</v>
      </c>
      <c r="AE210" t="s">
        <v>4206</v>
      </c>
      <c r="AF210" t="s">
        <v>74</v>
      </c>
      <c r="AG210">
        <v>22</v>
      </c>
      <c r="AH210">
        <v>15</v>
      </c>
      <c r="AI210">
        <v>17</v>
      </c>
      <c r="AJ210">
        <v>1</v>
      </c>
      <c r="AK210">
        <v>17</v>
      </c>
      <c r="AL210" t="s">
        <v>91</v>
      </c>
      <c r="AM210" t="s">
        <v>92</v>
      </c>
      <c r="AN210" t="s">
        <v>93</v>
      </c>
      <c r="AO210" t="s">
        <v>4207</v>
      </c>
      <c r="AP210" t="s">
        <v>4208</v>
      </c>
      <c r="AQ210" t="s">
        <v>74</v>
      </c>
      <c r="AR210" t="s">
        <v>4209</v>
      </c>
      <c r="AS210" t="s">
        <v>4210</v>
      </c>
      <c r="AT210" t="s">
        <v>3655</v>
      </c>
      <c r="AU210">
        <v>2009</v>
      </c>
      <c r="AV210">
        <v>29</v>
      </c>
      <c r="AW210">
        <v>2</v>
      </c>
      <c r="AX210" t="s">
        <v>74</v>
      </c>
      <c r="AY210" t="s">
        <v>74</v>
      </c>
      <c r="AZ210" t="s">
        <v>74</v>
      </c>
      <c r="BA210" t="s">
        <v>74</v>
      </c>
      <c r="BB210">
        <v>125</v>
      </c>
      <c r="BC210">
        <v>131</v>
      </c>
      <c r="BD210" t="s">
        <v>74</v>
      </c>
      <c r="BE210" t="s">
        <v>4211</v>
      </c>
      <c r="BF210" t="str">
        <f>HYPERLINK("http://dx.doi.org/10.1007/s00367-008-0128-0","http://dx.doi.org/10.1007/s00367-008-0128-0")</f>
        <v>http://dx.doi.org/10.1007/s00367-008-0128-0</v>
      </c>
      <c r="BG210" t="s">
        <v>74</v>
      </c>
      <c r="BH210" t="s">
        <v>74</v>
      </c>
      <c r="BI210">
        <v>7</v>
      </c>
      <c r="BJ210" t="s">
        <v>3322</v>
      </c>
      <c r="BK210" t="s">
        <v>100</v>
      </c>
      <c r="BL210" t="s">
        <v>3323</v>
      </c>
      <c r="BM210" t="s">
        <v>4212</v>
      </c>
      <c r="BN210" t="s">
        <v>74</v>
      </c>
      <c r="BO210" t="s">
        <v>74</v>
      </c>
      <c r="BP210" t="s">
        <v>74</v>
      </c>
      <c r="BQ210" t="s">
        <v>74</v>
      </c>
      <c r="BR210" t="s">
        <v>103</v>
      </c>
      <c r="BS210" t="s">
        <v>4213</v>
      </c>
      <c r="BT210" t="str">
        <f>HYPERLINK("https%3A%2F%2Fwww.webofscience.com%2Fwos%2Fwoscc%2Ffull-record%2FWOS:000264182700005","View Full Record in Web of Science")</f>
        <v>View Full Record in Web of Science</v>
      </c>
    </row>
    <row r="211" spans="1:72" x14ac:dyDescent="0.15">
      <c r="A211" t="s">
        <v>72</v>
      </c>
      <c r="B211" t="s">
        <v>4214</v>
      </c>
      <c r="C211" t="s">
        <v>74</v>
      </c>
      <c r="D211" t="s">
        <v>74</v>
      </c>
      <c r="E211" t="s">
        <v>74</v>
      </c>
      <c r="F211" t="s">
        <v>4215</v>
      </c>
      <c r="G211" t="s">
        <v>74</v>
      </c>
      <c r="H211" t="s">
        <v>74</v>
      </c>
      <c r="I211" t="s">
        <v>4216</v>
      </c>
      <c r="J211" t="s">
        <v>1709</v>
      </c>
      <c r="K211" t="s">
        <v>74</v>
      </c>
      <c r="L211" t="s">
        <v>74</v>
      </c>
      <c r="M211" t="s">
        <v>78</v>
      </c>
      <c r="N211" t="s">
        <v>79</v>
      </c>
      <c r="O211" t="s">
        <v>74</v>
      </c>
      <c r="P211" t="s">
        <v>74</v>
      </c>
      <c r="Q211" t="s">
        <v>74</v>
      </c>
      <c r="R211" t="s">
        <v>74</v>
      </c>
      <c r="S211" t="s">
        <v>74</v>
      </c>
      <c r="T211" t="s">
        <v>74</v>
      </c>
      <c r="U211" t="s">
        <v>4217</v>
      </c>
      <c r="V211" t="s">
        <v>4218</v>
      </c>
      <c r="W211" t="s">
        <v>4219</v>
      </c>
      <c r="X211" t="s">
        <v>4220</v>
      </c>
      <c r="Y211" t="s">
        <v>4221</v>
      </c>
      <c r="Z211" t="s">
        <v>4222</v>
      </c>
      <c r="AA211" t="s">
        <v>74</v>
      </c>
      <c r="AB211" t="s">
        <v>74</v>
      </c>
      <c r="AC211" t="s">
        <v>4223</v>
      </c>
      <c r="AD211" t="s">
        <v>4224</v>
      </c>
      <c r="AE211" t="s">
        <v>4225</v>
      </c>
      <c r="AF211" t="s">
        <v>74</v>
      </c>
      <c r="AG211">
        <v>36</v>
      </c>
      <c r="AH211">
        <v>32</v>
      </c>
      <c r="AI211">
        <v>41</v>
      </c>
      <c r="AJ211">
        <v>0</v>
      </c>
      <c r="AK211">
        <v>13</v>
      </c>
      <c r="AL211" t="s">
        <v>1696</v>
      </c>
      <c r="AM211" t="s">
        <v>1096</v>
      </c>
      <c r="AN211" t="s">
        <v>1697</v>
      </c>
      <c r="AO211" t="s">
        <v>1720</v>
      </c>
      <c r="AP211" t="s">
        <v>1721</v>
      </c>
      <c r="AQ211" t="s">
        <v>74</v>
      </c>
      <c r="AR211" t="s">
        <v>1709</v>
      </c>
      <c r="AS211" t="s">
        <v>497</v>
      </c>
      <c r="AT211" t="s">
        <v>3655</v>
      </c>
      <c r="AU211">
        <v>2009</v>
      </c>
      <c r="AV211">
        <v>37</v>
      </c>
      <c r="AW211">
        <v>4</v>
      </c>
      <c r="AX211" t="s">
        <v>74</v>
      </c>
      <c r="AY211" t="s">
        <v>74</v>
      </c>
      <c r="AZ211" t="s">
        <v>74</v>
      </c>
      <c r="BA211" t="s">
        <v>74</v>
      </c>
      <c r="BB211">
        <v>303</v>
      </c>
      <c r="BC211">
        <v>306</v>
      </c>
      <c r="BD211" t="s">
        <v>74</v>
      </c>
      <c r="BE211" t="s">
        <v>4226</v>
      </c>
      <c r="BF211" t="str">
        <f>HYPERLINK("http://dx.doi.org/10.1130/G25392A.1","http://dx.doi.org/10.1130/G25392A.1")</f>
        <v>http://dx.doi.org/10.1130/G25392A.1</v>
      </c>
      <c r="BG211" t="s">
        <v>74</v>
      </c>
      <c r="BH211" t="s">
        <v>74</v>
      </c>
      <c r="BI211">
        <v>4</v>
      </c>
      <c r="BJ211" t="s">
        <v>497</v>
      </c>
      <c r="BK211" t="s">
        <v>100</v>
      </c>
      <c r="BL211" t="s">
        <v>497</v>
      </c>
      <c r="BM211" t="s">
        <v>4227</v>
      </c>
      <c r="BN211" t="s">
        <v>74</v>
      </c>
      <c r="BO211" t="s">
        <v>74</v>
      </c>
      <c r="BP211" t="s">
        <v>74</v>
      </c>
      <c r="BQ211" t="s">
        <v>74</v>
      </c>
      <c r="BR211" t="s">
        <v>103</v>
      </c>
      <c r="BS211" t="s">
        <v>4228</v>
      </c>
      <c r="BT211" t="str">
        <f>HYPERLINK("https%3A%2F%2Fwww.webofscience.com%2Fwos%2Fwoscc%2Ffull-record%2FWOS:000264753700004","View Full Record in Web of Science")</f>
        <v>View Full Record in Web of Science</v>
      </c>
    </row>
    <row r="212" spans="1:72" x14ac:dyDescent="0.15">
      <c r="A212" t="s">
        <v>72</v>
      </c>
      <c r="B212" t="s">
        <v>4229</v>
      </c>
      <c r="C212" t="s">
        <v>74</v>
      </c>
      <c r="D212" t="s">
        <v>74</v>
      </c>
      <c r="E212" t="s">
        <v>74</v>
      </c>
      <c r="F212" t="s">
        <v>4230</v>
      </c>
      <c r="G212" t="s">
        <v>74</v>
      </c>
      <c r="H212" t="s">
        <v>74</v>
      </c>
      <c r="I212" t="s">
        <v>4231</v>
      </c>
      <c r="J212" t="s">
        <v>1709</v>
      </c>
      <c r="K212" t="s">
        <v>74</v>
      </c>
      <c r="L212" t="s">
        <v>74</v>
      </c>
      <c r="M212" t="s">
        <v>78</v>
      </c>
      <c r="N212" t="s">
        <v>79</v>
      </c>
      <c r="O212" t="s">
        <v>74</v>
      </c>
      <c r="P212" t="s">
        <v>74</v>
      </c>
      <c r="Q212" t="s">
        <v>74</v>
      </c>
      <c r="R212" t="s">
        <v>74</v>
      </c>
      <c r="S212" t="s">
        <v>74</v>
      </c>
      <c r="T212" t="s">
        <v>74</v>
      </c>
      <c r="U212" t="s">
        <v>4232</v>
      </c>
      <c r="V212" t="s">
        <v>4233</v>
      </c>
      <c r="W212" t="s">
        <v>4234</v>
      </c>
      <c r="X212" t="s">
        <v>4235</v>
      </c>
      <c r="Y212" t="s">
        <v>4236</v>
      </c>
      <c r="Z212" t="s">
        <v>74</v>
      </c>
      <c r="AA212" t="s">
        <v>4237</v>
      </c>
      <c r="AB212" t="s">
        <v>4238</v>
      </c>
      <c r="AC212" t="s">
        <v>4239</v>
      </c>
      <c r="AD212" t="s">
        <v>4240</v>
      </c>
      <c r="AE212" t="s">
        <v>4241</v>
      </c>
      <c r="AF212" t="s">
        <v>74</v>
      </c>
      <c r="AG212">
        <v>29</v>
      </c>
      <c r="AH212">
        <v>94</v>
      </c>
      <c r="AI212">
        <v>113</v>
      </c>
      <c r="AJ212">
        <v>1</v>
      </c>
      <c r="AK212">
        <v>49</v>
      </c>
      <c r="AL212" t="s">
        <v>1696</v>
      </c>
      <c r="AM212" t="s">
        <v>1096</v>
      </c>
      <c r="AN212" t="s">
        <v>1697</v>
      </c>
      <c r="AO212" t="s">
        <v>1720</v>
      </c>
      <c r="AP212" t="s">
        <v>1721</v>
      </c>
      <c r="AQ212" t="s">
        <v>74</v>
      </c>
      <c r="AR212" t="s">
        <v>1709</v>
      </c>
      <c r="AS212" t="s">
        <v>497</v>
      </c>
      <c r="AT212" t="s">
        <v>3655</v>
      </c>
      <c r="AU212">
        <v>2009</v>
      </c>
      <c r="AV212">
        <v>37</v>
      </c>
      <c r="AW212">
        <v>4</v>
      </c>
      <c r="AX212" t="s">
        <v>74</v>
      </c>
      <c r="AY212" t="s">
        <v>74</v>
      </c>
      <c r="AZ212" t="s">
        <v>74</v>
      </c>
      <c r="BA212" t="s">
        <v>74</v>
      </c>
      <c r="BB212">
        <v>375</v>
      </c>
      <c r="BC212">
        <v>378</v>
      </c>
      <c r="BD212" t="s">
        <v>74</v>
      </c>
      <c r="BE212" t="s">
        <v>4242</v>
      </c>
      <c r="BF212" t="str">
        <f>HYPERLINK("http://dx.doi.org/10.1130/G25399A.1","http://dx.doi.org/10.1130/G25399A.1")</f>
        <v>http://dx.doi.org/10.1130/G25399A.1</v>
      </c>
      <c r="BG212" t="s">
        <v>74</v>
      </c>
      <c r="BH212" t="s">
        <v>74</v>
      </c>
      <c r="BI212">
        <v>4</v>
      </c>
      <c r="BJ212" t="s">
        <v>497</v>
      </c>
      <c r="BK212" t="s">
        <v>100</v>
      </c>
      <c r="BL212" t="s">
        <v>497</v>
      </c>
      <c r="BM212" t="s">
        <v>4227</v>
      </c>
      <c r="BN212" t="s">
        <v>74</v>
      </c>
      <c r="BO212" t="s">
        <v>74</v>
      </c>
      <c r="BP212" t="s">
        <v>74</v>
      </c>
      <c r="BQ212" t="s">
        <v>74</v>
      </c>
      <c r="BR212" t="s">
        <v>103</v>
      </c>
      <c r="BS212" t="s">
        <v>4243</v>
      </c>
      <c r="BT212" t="str">
        <f>HYPERLINK("https%3A%2F%2Fwww.webofscience.com%2Fwos%2Fwoscc%2Ffull-record%2FWOS:000264753700022","View Full Record in Web of Science")</f>
        <v>View Full Record in Web of Science</v>
      </c>
    </row>
    <row r="213" spans="1:72" x14ac:dyDescent="0.15">
      <c r="A213" t="s">
        <v>72</v>
      </c>
      <c r="B213" t="s">
        <v>4244</v>
      </c>
      <c r="C213" t="s">
        <v>74</v>
      </c>
      <c r="D213" t="s">
        <v>74</v>
      </c>
      <c r="E213" t="s">
        <v>74</v>
      </c>
      <c r="F213" t="s">
        <v>4245</v>
      </c>
      <c r="G213" t="s">
        <v>74</v>
      </c>
      <c r="H213" t="s">
        <v>74</v>
      </c>
      <c r="I213" t="s">
        <v>4246</v>
      </c>
      <c r="J213" t="s">
        <v>4247</v>
      </c>
      <c r="K213" t="s">
        <v>74</v>
      </c>
      <c r="L213" t="s">
        <v>74</v>
      </c>
      <c r="M213" t="s">
        <v>78</v>
      </c>
      <c r="N213" t="s">
        <v>79</v>
      </c>
      <c r="O213" t="s">
        <v>74</v>
      </c>
      <c r="P213" t="s">
        <v>74</v>
      </c>
      <c r="Q213" t="s">
        <v>74</v>
      </c>
      <c r="R213" t="s">
        <v>74</v>
      </c>
      <c r="S213" t="s">
        <v>74</v>
      </c>
      <c r="T213" t="s">
        <v>74</v>
      </c>
      <c r="U213" t="s">
        <v>4248</v>
      </c>
      <c r="V213" t="s">
        <v>4249</v>
      </c>
      <c r="W213" t="s">
        <v>4250</v>
      </c>
      <c r="X213" t="s">
        <v>4251</v>
      </c>
      <c r="Y213" t="s">
        <v>4252</v>
      </c>
      <c r="Z213" t="s">
        <v>4253</v>
      </c>
      <c r="AA213" t="s">
        <v>74</v>
      </c>
      <c r="AB213" t="s">
        <v>74</v>
      </c>
      <c r="AC213" t="s">
        <v>74</v>
      </c>
      <c r="AD213" t="s">
        <v>74</v>
      </c>
      <c r="AE213" t="s">
        <v>74</v>
      </c>
      <c r="AF213" t="s">
        <v>74</v>
      </c>
      <c r="AG213">
        <v>12</v>
      </c>
      <c r="AH213">
        <v>2</v>
      </c>
      <c r="AI213">
        <v>2</v>
      </c>
      <c r="AJ213">
        <v>0</v>
      </c>
      <c r="AK213">
        <v>1</v>
      </c>
      <c r="AL213" t="s">
        <v>2834</v>
      </c>
      <c r="AM213" t="s">
        <v>92</v>
      </c>
      <c r="AN213" t="s">
        <v>2835</v>
      </c>
      <c r="AO213" t="s">
        <v>4254</v>
      </c>
      <c r="AP213" t="s">
        <v>4255</v>
      </c>
      <c r="AQ213" t="s">
        <v>74</v>
      </c>
      <c r="AR213" t="s">
        <v>4256</v>
      </c>
      <c r="AS213" t="s">
        <v>4257</v>
      </c>
      <c r="AT213" t="s">
        <v>3655</v>
      </c>
      <c r="AU213">
        <v>2009</v>
      </c>
      <c r="AV213">
        <v>49</v>
      </c>
      <c r="AW213">
        <v>2</v>
      </c>
      <c r="AX213" t="s">
        <v>74</v>
      </c>
      <c r="AY213" t="s">
        <v>74</v>
      </c>
      <c r="AZ213" t="s">
        <v>74</v>
      </c>
      <c r="BA213" t="s">
        <v>74</v>
      </c>
      <c r="BB213">
        <v>263</v>
      </c>
      <c r="BC213">
        <v>272</v>
      </c>
      <c r="BD213" t="s">
        <v>74</v>
      </c>
      <c r="BE213" t="s">
        <v>4258</v>
      </c>
      <c r="BF213" t="str">
        <f>HYPERLINK("http://dx.doi.org/10.1134/S0016793209020170","http://dx.doi.org/10.1134/S0016793209020170")</f>
        <v>http://dx.doi.org/10.1134/S0016793209020170</v>
      </c>
      <c r="BG213" t="s">
        <v>74</v>
      </c>
      <c r="BH213" t="s">
        <v>74</v>
      </c>
      <c r="BI213">
        <v>10</v>
      </c>
      <c r="BJ213" t="s">
        <v>534</v>
      </c>
      <c r="BK213" t="s">
        <v>100</v>
      </c>
      <c r="BL213" t="s">
        <v>534</v>
      </c>
      <c r="BM213" t="s">
        <v>4259</v>
      </c>
      <c r="BN213" t="s">
        <v>74</v>
      </c>
      <c r="BO213" t="s">
        <v>74</v>
      </c>
      <c r="BP213" t="s">
        <v>74</v>
      </c>
      <c r="BQ213" t="s">
        <v>74</v>
      </c>
      <c r="BR213" t="s">
        <v>103</v>
      </c>
      <c r="BS213" t="s">
        <v>4260</v>
      </c>
      <c r="BT213" t="str">
        <f>HYPERLINK("https%3A%2F%2Fwww.webofscience.com%2Fwos%2Fwoscc%2Ffull-record%2FWOS:000265019600017","View Full Record in Web of Science")</f>
        <v>View Full Record in Web of Science</v>
      </c>
    </row>
    <row r="214" spans="1:72" x14ac:dyDescent="0.15">
      <c r="A214" t="s">
        <v>72</v>
      </c>
      <c r="B214" t="s">
        <v>4261</v>
      </c>
      <c r="C214" t="s">
        <v>74</v>
      </c>
      <c r="D214" t="s">
        <v>74</v>
      </c>
      <c r="E214" t="s">
        <v>74</v>
      </c>
      <c r="F214" t="s">
        <v>4262</v>
      </c>
      <c r="G214" t="s">
        <v>74</v>
      </c>
      <c r="H214" t="s">
        <v>74</v>
      </c>
      <c r="I214" t="s">
        <v>4263</v>
      </c>
      <c r="J214" t="s">
        <v>4264</v>
      </c>
      <c r="K214" t="s">
        <v>74</v>
      </c>
      <c r="L214" t="s">
        <v>74</v>
      </c>
      <c r="M214" t="s">
        <v>78</v>
      </c>
      <c r="N214" t="s">
        <v>79</v>
      </c>
      <c r="O214" t="s">
        <v>74</v>
      </c>
      <c r="P214" t="s">
        <v>74</v>
      </c>
      <c r="Q214" t="s">
        <v>74</v>
      </c>
      <c r="R214" t="s">
        <v>74</v>
      </c>
      <c r="S214" t="s">
        <v>74</v>
      </c>
      <c r="T214" t="s">
        <v>4265</v>
      </c>
      <c r="U214" t="s">
        <v>4266</v>
      </c>
      <c r="V214" t="s">
        <v>4267</v>
      </c>
      <c r="W214" t="s">
        <v>4268</v>
      </c>
      <c r="X214" t="s">
        <v>4269</v>
      </c>
      <c r="Y214" t="s">
        <v>4270</v>
      </c>
      <c r="Z214" t="s">
        <v>4271</v>
      </c>
      <c r="AA214" t="s">
        <v>4272</v>
      </c>
      <c r="AB214" t="s">
        <v>4273</v>
      </c>
      <c r="AC214" t="s">
        <v>4274</v>
      </c>
      <c r="AD214" t="s">
        <v>4275</v>
      </c>
      <c r="AE214" t="s">
        <v>4276</v>
      </c>
      <c r="AF214" t="s">
        <v>74</v>
      </c>
      <c r="AG214">
        <v>88</v>
      </c>
      <c r="AH214">
        <v>69</v>
      </c>
      <c r="AI214">
        <v>79</v>
      </c>
      <c r="AJ214">
        <v>0</v>
      </c>
      <c r="AK214">
        <v>32</v>
      </c>
      <c r="AL214" t="s">
        <v>251</v>
      </c>
      <c r="AM214" t="s">
        <v>252</v>
      </c>
      <c r="AN214" t="s">
        <v>253</v>
      </c>
      <c r="AO214" t="s">
        <v>4277</v>
      </c>
      <c r="AP214" t="s">
        <v>4278</v>
      </c>
      <c r="AQ214" t="s">
        <v>74</v>
      </c>
      <c r="AR214" t="s">
        <v>4279</v>
      </c>
      <c r="AS214" t="s">
        <v>4280</v>
      </c>
      <c r="AT214" t="s">
        <v>3655</v>
      </c>
      <c r="AU214">
        <v>2009</v>
      </c>
      <c r="AV214">
        <v>66</v>
      </c>
      <c r="AW214" t="s">
        <v>3346</v>
      </c>
      <c r="AX214" t="s">
        <v>74</v>
      </c>
      <c r="AY214" t="s">
        <v>74</v>
      </c>
      <c r="AZ214" t="s">
        <v>74</v>
      </c>
      <c r="BA214" t="s">
        <v>74</v>
      </c>
      <c r="BB214">
        <v>208</v>
      </c>
      <c r="BC214">
        <v>224</v>
      </c>
      <c r="BD214" t="s">
        <v>74</v>
      </c>
      <c r="BE214" t="s">
        <v>4281</v>
      </c>
      <c r="BF214" t="str">
        <f>HYPERLINK("http://dx.doi.org/10.1016/j.gloplacha.2008.12.014","http://dx.doi.org/10.1016/j.gloplacha.2008.12.014")</f>
        <v>http://dx.doi.org/10.1016/j.gloplacha.2008.12.014</v>
      </c>
      <c r="BG214" t="s">
        <v>74</v>
      </c>
      <c r="BH214" t="s">
        <v>74</v>
      </c>
      <c r="BI214">
        <v>17</v>
      </c>
      <c r="BJ214" t="s">
        <v>312</v>
      </c>
      <c r="BK214" t="s">
        <v>100</v>
      </c>
      <c r="BL214" t="s">
        <v>313</v>
      </c>
      <c r="BM214" t="s">
        <v>4282</v>
      </c>
      <c r="BN214" t="s">
        <v>74</v>
      </c>
      <c r="BO214" t="s">
        <v>74</v>
      </c>
      <c r="BP214" t="s">
        <v>74</v>
      </c>
      <c r="BQ214" t="s">
        <v>74</v>
      </c>
      <c r="BR214" t="s">
        <v>103</v>
      </c>
      <c r="BS214" t="s">
        <v>4283</v>
      </c>
      <c r="BT214" t="str">
        <f>HYPERLINK("https%3A%2F%2Fwww.webofscience.com%2Fwos%2Fwoscc%2Ffull-record%2FWOS:000265806000004","View Full Record in Web of Science")</f>
        <v>View Full Record in Web of Science</v>
      </c>
    </row>
    <row r="215" spans="1:72" x14ac:dyDescent="0.15">
      <c r="A215" t="s">
        <v>72</v>
      </c>
      <c r="B215" t="s">
        <v>4284</v>
      </c>
      <c r="C215" t="s">
        <v>74</v>
      </c>
      <c r="D215" t="s">
        <v>74</v>
      </c>
      <c r="E215" t="s">
        <v>74</v>
      </c>
      <c r="F215" t="s">
        <v>4285</v>
      </c>
      <c r="G215" t="s">
        <v>74</v>
      </c>
      <c r="H215" t="s">
        <v>74</v>
      </c>
      <c r="I215" t="s">
        <v>4286</v>
      </c>
      <c r="J215" t="s">
        <v>4287</v>
      </c>
      <c r="K215" t="s">
        <v>74</v>
      </c>
      <c r="L215" t="s">
        <v>74</v>
      </c>
      <c r="M215" t="s">
        <v>78</v>
      </c>
      <c r="N215" t="s">
        <v>79</v>
      </c>
      <c r="O215" t="s">
        <v>74</v>
      </c>
      <c r="P215" t="s">
        <v>74</v>
      </c>
      <c r="Q215" t="s">
        <v>74</v>
      </c>
      <c r="R215" t="s">
        <v>74</v>
      </c>
      <c r="S215" t="s">
        <v>74</v>
      </c>
      <c r="T215" t="s">
        <v>4288</v>
      </c>
      <c r="U215" t="s">
        <v>4289</v>
      </c>
      <c r="V215" t="s">
        <v>4290</v>
      </c>
      <c r="W215" t="s">
        <v>4291</v>
      </c>
      <c r="X215" t="s">
        <v>4292</v>
      </c>
      <c r="Y215" t="s">
        <v>4293</v>
      </c>
      <c r="Z215" t="s">
        <v>4294</v>
      </c>
      <c r="AA215" t="s">
        <v>4295</v>
      </c>
      <c r="AB215" t="s">
        <v>4296</v>
      </c>
      <c r="AC215" t="s">
        <v>4297</v>
      </c>
      <c r="AD215" t="s">
        <v>4298</v>
      </c>
      <c r="AE215" t="s">
        <v>4299</v>
      </c>
      <c r="AF215" t="s">
        <v>74</v>
      </c>
      <c r="AG215">
        <v>40</v>
      </c>
      <c r="AH215">
        <v>31</v>
      </c>
      <c r="AI215">
        <v>31</v>
      </c>
      <c r="AJ215">
        <v>0</v>
      </c>
      <c r="AK215">
        <v>15</v>
      </c>
      <c r="AL215" t="s">
        <v>1801</v>
      </c>
      <c r="AM215" t="s">
        <v>1802</v>
      </c>
      <c r="AN215" t="s">
        <v>1803</v>
      </c>
      <c r="AO215" t="s">
        <v>4300</v>
      </c>
      <c r="AP215" t="s">
        <v>4301</v>
      </c>
      <c r="AQ215" t="s">
        <v>74</v>
      </c>
      <c r="AR215" t="s">
        <v>4302</v>
      </c>
      <c r="AS215" t="s">
        <v>4303</v>
      </c>
      <c r="AT215" t="s">
        <v>3655</v>
      </c>
      <c r="AU215">
        <v>2009</v>
      </c>
      <c r="AV215">
        <v>55</v>
      </c>
      <c r="AW215">
        <v>4</v>
      </c>
      <c r="AX215" t="s">
        <v>74</v>
      </c>
      <c r="AY215" t="s">
        <v>74</v>
      </c>
      <c r="AZ215" t="s">
        <v>74</v>
      </c>
      <c r="BA215" t="s">
        <v>74</v>
      </c>
      <c r="BB215">
        <v>500</v>
      </c>
      <c r="BC215">
        <v>506</v>
      </c>
      <c r="BD215" t="s">
        <v>74</v>
      </c>
      <c r="BE215" t="s">
        <v>4304</v>
      </c>
      <c r="BF215" t="str">
        <f>HYPERLINK("http://dx.doi.org/10.1016/j.yhbeh.2009.02.002","http://dx.doi.org/10.1016/j.yhbeh.2009.02.002")</f>
        <v>http://dx.doi.org/10.1016/j.yhbeh.2009.02.002</v>
      </c>
      <c r="BG215" t="s">
        <v>74</v>
      </c>
      <c r="BH215" t="s">
        <v>74</v>
      </c>
      <c r="BI215">
        <v>7</v>
      </c>
      <c r="BJ215" t="s">
        <v>4305</v>
      </c>
      <c r="BK215" t="s">
        <v>100</v>
      </c>
      <c r="BL215" t="s">
        <v>4305</v>
      </c>
      <c r="BM215" t="s">
        <v>4306</v>
      </c>
      <c r="BN215">
        <v>19232349</v>
      </c>
      <c r="BO215" t="s">
        <v>74</v>
      </c>
      <c r="BP215" t="s">
        <v>74</v>
      </c>
      <c r="BQ215" t="s">
        <v>74</v>
      </c>
      <c r="BR215" t="s">
        <v>103</v>
      </c>
      <c r="BS215" t="s">
        <v>4307</v>
      </c>
      <c r="BT215" t="str">
        <f>HYPERLINK("https%3A%2F%2Fwww.webofscience.com%2Fwos%2Fwoscc%2Ffull-record%2FWOS:000265342300007","View Full Record in Web of Science")</f>
        <v>View Full Record in Web of Science</v>
      </c>
    </row>
    <row r="216" spans="1:72" x14ac:dyDescent="0.15">
      <c r="A216" t="s">
        <v>72</v>
      </c>
      <c r="B216" t="s">
        <v>4308</v>
      </c>
      <c r="C216" t="s">
        <v>74</v>
      </c>
      <c r="D216" t="s">
        <v>74</v>
      </c>
      <c r="E216" t="s">
        <v>74</v>
      </c>
      <c r="F216" t="s">
        <v>4309</v>
      </c>
      <c r="G216" t="s">
        <v>74</v>
      </c>
      <c r="H216" t="s">
        <v>74</v>
      </c>
      <c r="I216" t="s">
        <v>4310</v>
      </c>
      <c r="J216" t="s">
        <v>4311</v>
      </c>
      <c r="K216" t="s">
        <v>74</v>
      </c>
      <c r="L216" t="s">
        <v>74</v>
      </c>
      <c r="M216" t="s">
        <v>78</v>
      </c>
      <c r="N216" t="s">
        <v>79</v>
      </c>
      <c r="O216" t="s">
        <v>74</v>
      </c>
      <c r="P216" t="s">
        <v>74</v>
      </c>
      <c r="Q216" t="s">
        <v>74</v>
      </c>
      <c r="R216" t="s">
        <v>74</v>
      </c>
      <c r="S216" t="s">
        <v>74</v>
      </c>
      <c r="T216" t="s">
        <v>4312</v>
      </c>
      <c r="U216" t="s">
        <v>74</v>
      </c>
      <c r="V216" t="s">
        <v>4313</v>
      </c>
      <c r="W216" t="s">
        <v>4314</v>
      </c>
      <c r="X216" t="s">
        <v>4315</v>
      </c>
      <c r="Y216" t="s">
        <v>4316</v>
      </c>
      <c r="Z216" t="s">
        <v>4317</v>
      </c>
      <c r="AA216" t="s">
        <v>4318</v>
      </c>
      <c r="AB216" t="s">
        <v>4319</v>
      </c>
      <c r="AC216" t="s">
        <v>74</v>
      </c>
      <c r="AD216" t="s">
        <v>74</v>
      </c>
      <c r="AE216" t="s">
        <v>74</v>
      </c>
      <c r="AF216" t="s">
        <v>74</v>
      </c>
      <c r="AG216">
        <v>18</v>
      </c>
      <c r="AH216">
        <v>28</v>
      </c>
      <c r="AI216">
        <v>31</v>
      </c>
      <c r="AJ216">
        <v>0</v>
      </c>
      <c r="AK216">
        <v>12</v>
      </c>
      <c r="AL216" t="s">
        <v>4320</v>
      </c>
      <c r="AM216" t="s">
        <v>4321</v>
      </c>
      <c r="AN216" t="s">
        <v>4322</v>
      </c>
      <c r="AO216" t="s">
        <v>4323</v>
      </c>
      <c r="AP216" t="s">
        <v>4324</v>
      </c>
      <c r="AQ216" t="s">
        <v>74</v>
      </c>
      <c r="AR216" t="s">
        <v>4325</v>
      </c>
      <c r="AS216" t="s">
        <v>4326</v>
      </c>
      <c r="AT216" t="s">
        <v>3655</v>
      </c>
      <c r="AU216">
        <v>2009</v>
      </c>
      <c r="AV216">
        <v>6</v>
      </c>
      <c r="AW216">
        <v>2</v>
      </c>
      <c r="AX216" t="s">
        <v>74</v>
      </c>
      <c r="AY216" t="s">
        <v>74</v>
      </c>
      <c r="AZ216" t="s">
        <v>74</v>
      </c>
      <c r="BA216" t="s">
        <v>74</v>
      </c>
      <c r="BB216">
        <v>263</v>
      </c>
      <c r="BC216">
        <v>267</v>
      </c>
      <c r="BD216" t="s">
        <v>74</v>
      </c>
      <c r="BE216" t="s">
        <v>4327</v>
      </c>
      <c r="BF216" t="str">
        <f>HYPERLINK("http://dx.doi.org/10.1109/LGRS.2008.2011925","http://dx.doi.org/10.1109/LGRS.2008.2011925")</f>
        <v>http://dx.doi.org/10.1109/LGRS.2008.2011925</v>
      </c>
      <c r="BG216" t="s">
        <v>74</v>
      </c>
      <c r="BH216" t="s">
        <v>74</v>
      </c>
      <c r="BI216">
        <v>5</v>
      </c>
      <c r="BJ216" t="s">
        <v>4328</v>
      </c>
      <c r="BK216" t="s">
        <v>100</v>
      </c>
      <c r="BL216" t="s">
        <v>4329</v>
      </c>
      <c r="BM216" t="s">
        <v>4330</v>
      </c>
      <c r="BN216" t="s">
        <v>74</v>
      </c>
      <c r="BO216" t="s">
        <v>74</v>
      </c>
      <c r="BP216" t="s">
        <v>74</v>
      </c>
      <c r="BQ216" t="s">
        <v>74</v>
      </c>
      <c r="BR216" t="s">
        <v>103</v>
      </c>
      <c r="BS216" t="s">
        <v>4331</v>
      </c>
      <c r="BT216" t="str">
        <f>HYPERLINK("https%3A%2F%2Fwww.webofscience.com%2Fwos%2Fwoscc%2Ffull-record%2FWOS:000265376000018","View Full Record in Web of Science")</f>
        <v>View Full Record in Web of Science</v>
      </c>
    </row>
    <row r="217" spans="1:72" x14ac:dyDescent="0.15">
      <c r="A217" t="s">
        <v>72</v>
      </c>
      <c r="B217" t="s">
        <v>4332</v>
      </c>
      <c r="C217" t="s">
        <v>74</v>
      </c>
      <c r="D217" t="s">
        <v>74</v>
      </c>
      <c r="E217" t="s">
        <v>74</v>
      </c>
      <c r="F217" t="s">
        <v>4333</v>
      </c>
      <c r="G217" t="s">
        <v>74</v>
      </c>
      <c r="H217" t="s">
        <v>74</v>
      </c>
      <c r="I217" t="s">
        <v>4334</v>
      </c>
      <c r="J217" t="s">
        <v>4335</v>
      </c>
      <c r="K217" t="s">
        <v>74</v>
      </c>
      <c r="L217" t="s">
        <v>74</v>
      </c>
      <c r="M217" t="s">
        <v>78</v>
      </c>
      <c r="N217" t="s">
        <v>79</v>
      </c>
      <c r="O217" t="s">
        <v>74</v>
      </c>
      <c r="P217" t="s">
        <v>74</v>
      </c>
      <c r="Q217" t="s">
        <v>74</v>
      </c>
      <c r="R217" t="s">
        <v>74</v>
      </c>
      <c r="S217" t="s">
        <v>74</v>
      </c>
      <c r="T217" t="s">
        <v>4336</v>
      </c>
      <c r="U217" t="s">
        <v>4337</v>
      </c>
      <c r="V217" t="s">
        <v>4338</v>
      </c>
      <c r="W217" t="s">
        <v>4339</v>
      </c>
      <c r="X217" t="s">
        <v>4340</v>
      </c>
      <c r="Y217" t="s">
        <v>4341</v>
      </c>
      <c r="Z217" t="s">
        <v>4342</v>
      </c>
      <c r="AA217" t="s">
        <v>74</v>
      </c>
      <c r="AB217" t="s">
        <v>74</v>
      </c>
      <c r="AC217" t="s">
        <v>74</v>
      </c>
      <c r="AD217" t="s">
        <v>74</v>
      </c>
      <c r="AE217" t="s">
        <v>74</v>
      </c>
      <c r="AF217" t="s">
        <v>74</v>
      </c>
      <c r="AG217">
        <v>16</v>
      </c>
      <c r="AH217">
        <v>1</v>
      </c>
      <c r="AI217">
        <v>2</v>
      </c>
      <c r="AJ217">
        <v>1</v>
      </c>
      <c r="AK217">
        <v>13</v>
      </c>
      <c r="AL217" t="s">
        <v>3728</v>
      </c>
      <c r="AM217" t="s">
        <v>92</v>
      </c>
      <c r="AN217" t="s">
        <v>3729</v>
      </c>
      <c r="AO217" t="s">
        <v>4343</v>
      </c>
      <c r="AP217" t="s">
        <v>4344</v>
      </c>
      <c r="AQ217" t="s">
        <v>74</v>
      </c>
      <c r="AR217" t="s">
        <v>4345</v>
      </c>
      <c r="AS217" t="s">
        <v>4346</v>
      </c>
      <c r="AT217" t="s">
        <v>3655</v>
      </c>
      <c r="AU217">
        <v>2009</v>
      </c>
      <c r="AV217">
        <v>8</v>
      </c>
      <c r="AW217">
        <v>2</v>
      </c>
      <c r="AX217" t="s">
        <v>74</v>
      </c>
      <c r="AY217" t="s">
        <v>74</v>
      </c>
      <c r="AZ217" t="s">
        <v>74</v>
      </c>
      <c r="BA217" t="s">
        <v>74</v>
      </c>
      <c r="BB217">
        <v>117</v>
      </c>
      <c r="BC217">
        <v>119</v>
      </c>
      <c r="BD217" t="s">
        <v>74</v>
      </c>
      <c r="BE217" t="s">
        <v>4347</v>
      </c>
      <c r="BF217" t="str">
        <f>HYPERLINK("http://dx.doi.org/10.1017/S1473550409004467","http://dx.doi.org/10.1017/S1473550409004467")</f>
        <v>http://dx.doi.org/10.1017/S1473550409004467</v>
      </c>
      <c r="BG217" t="s">
        <v>74</v>
      </c>
      <c r="BH217" t="s">
        <v>74</v>
      </c>
      <c r="BI217">
        <v>3</v>
      </c>
      <c r="BJ217" t="s">
        <v>4348</v>
      </c>
      <c r="BK217" t="s">
        <v>100</v>
      </c>
      <c r="BL217" t="s">
        <v>4349</v>
      </c>
      <c r="BM217" t="s">
        <v>4350</v>
      </c>
      <c r="BN217" t="s">
        <v>74</v>
      </c>
      <c r="BO217" t="s">
        <v>74</v>
      </c>
      <c r="BP217" t="s">
        <v>74</v>
      </c>
      <c r="BQ217" t="s">
        <v>74</v>
      </c>
      <c r="BR217" t="s">
        <v>103</v>
      </c>
      <c r="BS217" t="s">
        <v>4351</v>
      </c>
      <c r="BT217" t="str">
        <f>HYPERLINK("https%3A%2F%2Fwww.webofscience.com%2Fwos%2Fwoscc%2Ffull-record%2FWOS:000273383300008","View Full Record in Web of Science")</f>
        <v>View Full Record in Web of Science</v>
      </c>
    </row>
    <row r="218" spans="1:72" x14ac:dyDescent="0.15">
      <c r="A218" t="s">
        <v>72</v>
      </c>
      <c r="B218" t="s">
        <v>4352</v>
      </c>
      <c r="C218" t="s">
        <v>74</v>
      </c>
      <c r="D218" t="s">
        <v>74</v>
      </c>
      <c r="E218" t="s">
        <v>74</v>
      </c>
      <c r="F218" t="s">
        <v>4353</v>
      </c>
      <c r="G218" t="s">
        <v>74</v>
      </c>
      <c r="H218" t="s">
        <v>74</v>
      </c>
      <c r="I218" t="s">
        <v>4354</v>
      </c>
      <c r="J218" t="s">
        <v>1813</v>
      </c>
      <c r="K218" t="s">
        <v>74</v>
      </c>
      <c r="L218" t="s">
        <v>74</v>
      </c>
      <c r="M218" t="s">
        <v>78</v>
      </c>
      <c r="N218" t="s">
        <v>79</v>
      </c>
      <c r="O218" t="s">
        <v>74</v>
      </c>
      <c r="P218" t="s">
        <v>74</v>
      </c>
      <c r="Q218" t="s">
        <v>74</v>
      </c>
      <c r="R218" t="s">
        <v>74</v>
      </c>
      <c r="S218" t="s">
        <v>74</v>
      </c>
      <c r="T218" t="s">
        <v>4355</v>
      </c>
      <c r="U218" t="s">
        <v>4356</v>
      </c>
      <c r="V218" t="s">
        <v>4357</v>
      </c>
      <c r="W218" t="s">
        <v>4358</v>
      </c>
      <c r="X218" t="s">
        <v>4359</v>
      </c>
      <c r="Y218" t="s">
        <v>4360</v>
      </c>
      <c r="Z218" t="s">
        <v>4361</v>
      </c>
      <c r="AA218" t="s">
        <v>74</v>
      </c>
      <c r="AB218" t="s">
        <v>4362</v>
      </c>
      <c r="AC218" t="s">
        <v>74</v>
      </c>
      <c r="AD218" t="s">
        <v>74</v>
      </c>
      <c r="AE218" t="s">
        <v>74</v>
      </c>
      <c r="AF218" t="s">
        <v>74</v>
      </c>
      <c r="AG218">
        <v>49</v>
      </c>
      <c r="AH218">
        <v>36</v>
      </c>
      <c r="AI218">
        <v>36</v>
      </c>
      <c r="AJ218">
        <v>0</v>
      </c>
      <c r="AK218">
        <v>10</v>
      </c>
      <c r="AL218" t="s">
        <v>489</v>
      </c>
      <c r="AM218" t="s">
        <v>490</v>
      </c>
      <c r="AN218" t="s">
        <v>491</v>
      </c>
      <c r="AO218" t="s">
        <v>1826</v>
      </c>
      <c r="AP218" t="s">
        <v>1827</v>
      </c>
      <c r="AQ218" t="s">
        <v>74</v>
      </c>
      <c r="AR218" t="s">
        <v>1828</v>
      </c>
      <c r="AS218" t="s">
        <v>1829</v>
      </c>
      <c r="AT218" t="s">
        <v>3655</v>
      </c>
      <c r="AU218">
        <v>2009</v>
      </c>
      <c r="AV218">
        <v>29</v>
      </c>
      <c r="AW218">
        <v>5</v>
      </c>
      <c r="AX218" t="s">
        <v>74</v>
      </c>
      <c r="AY218" t="s">
        <v>74</v>
      </c>
      <c r="AZ218" t="s">
        <v>74</v>
      </c>
      <c r="BA218" t="s">
        <v>74</v>
      </c>
      <c r="BB218">
        <v>691</v>
      </c>
      <c r="BC218">
        <v>709</v>
      </c>
      <c r="BD218" t="s">
        <v>74</v>
      </c>
      <c r="BE218" t="s">
        <v>4363</v>
      </c>
      <c r="BF218" t="str">
        <f>HYPERLINK("http://dx.doi.org/10.1002/joc.1732","http://dx.doi.org/10.1002/joc.1732")</f>
        <v>http://dx.doi.org/10.1002/joc.1732</v>
      </c>
      <c r="BG218" t="s">
        <v>74</v>
      </c>
      <c r="BH218" t="s">
        <v>74</v>
      </c>
      <c r="BI218">
        <v>19</v>
      </c>
      <c r="BJ218" t="s">
        <v>398</v>
      </c>
      <c r="BK218" t="s">
        <v>100</v>
      </c>
      <c r="BL218" t="s">
        <v>398</v>
      </c>
      <c r="BM218" t="s">
        <v>4364</v>
      </c>
      <c r="BN218" t="s">
        <v>74</v>
      </c>
      <c r="BO218" t="s">
        <v>1012</v>
      </c>
      <c r="BP218" t="s">
        <v>74</v>
      </c>
      <c r="BQ218" t="s">
        <v>74</v>
      </c>
      <c r="BR218" t="s">
        <v>103</v>
      </c>
      <c r="BS218" t="s">
        <v>4365</v>
      </c>
      <c r="BT218" t="str">
        <f>HYPERLINK("https%3A%2F%2Fwww.webofscience.com%2Fwos%2Fwoscc%2Ffull-record%2FWOS:000265251100006","View Full Record in Web of Science")</f>
        <v>View Full Record in Web of Science</v>
      </c>
    </row>
    <row r="219" spans="1:72" x14ac:dyDescent="0.15">
      <c r="A219" t="s">
        <v>72</v>
      </c>
      <c r="B219" t="s">
        <v>4366</v>
      </c>
      <c r="C219" t="s">
        <v>74</v>
      </c>
      <c r="D219" t="s">
        <v>74</v>
      </c>
      <c r="E219" t="s">
        <v>74</v>
      </c>
      <c r="F219" t="s">
        <v>4367</v>
      </c>
      <c r="G219" t="s">
        <v>74</v>
      </c>
      <c r="H219" t="s">
        <v>74</v>
      </c>
      <c r="I219" t="s">
        <v>4368</v>
      </c>
      <c r="J219" t="s">
        <v>4369</v>
      </c>
      <c r="K219" t="s">
        <v>74</v>
      </c>
      <c r="L219" t="s">
        <v>74</v>
      </c>
      <c r="M219" t="s">
        <v>78</v>
      </c>
      <c r="N219" t="s">
        <v>79</v>
      </c>
      <c r="O219" t="s">
        <v>74</v>
      </c>
      <c r="P219" t="s">
        <v>74</v>
      </c>
      <c r="Q219" t="s">
        <v>74</v>
      </c>
      <c r="R219" t="s">
        <v>74</v>
      </c>
      <c r="S219" t="s">
        <v>74</v>
      </c>
      <c r="T219" t="s">
        <v>4370</v>
      </c>
      <c r="U219" t="s">
        <v>4371</v>
      </c>
      <c r="V219" t="s">
        <v>4372</v>
      </c>
      <c r="W219" t="s">
        <v>4373</v>
      </c>
      <c r="X219" t="s">
        <v>74</v>
      </c>
      <c r="Y219" t="s">
        <v>4374</v>
      </c>
      <c r="Z219" t="s">
        <v>4375</v>
      </c>
      <c r="AA219" t="s">
        <v>74</v>
      </c>
      <c r="AB219" t="s">
        <v>74</v>
      </c>
      <c r="AC219" t="s">
        <v>4376</v>
      </c>
      <c r="AD219" t="s">
        <v>4377</v>
      </c>
      <c r="AE219" t="s">
        <v>4378</v>
      </c>
      <c r="AF219" t="s">
        <v>74</v>
      </c>
      <c r="AG219">
        <v>72</v>
      </c>
      <c r="AH219">
        <v>10</v>
      </c>
      <c r="AI219">
        <v>11</v>
      </c>
      <c r="AJ219">
        <v>0</v>
      </c>
      <c r="AK219">
        <v>6</v>
      </c>
      <c r="AL219" t="s">
        <v>91</v>
      </c>
      <c r="AM219" t="s">
        <v>92</v>
      </c>
      <c r="AN219" t="s">
        <v>137</v>
      </c>
      <c r="AO219" t="s">
        <v>4379</v>
      </c>
      <c r="AP219" t="s">
        <v>4380</v>
      </c>
      <c r="AQ219" t="s">
        <v>74</v>
      </c>
      <c r="AR219" t="s">
        <v>4381</v>
      </c>
      <c r="AS219" t="s">
        <v>4382</v>
      </c>
      <c r="AT219" t="s">
        <v>3655</v>
      </c>
      <c r="AU219">
        <v>2009</v>
      </c>
      <c r="AV219">
        <v>98</v>
      </c>
      <c r="AW219">
        <v>3</v>
      </c>
      <c r="AX219" t="s">
        <v>74</v>
      </c>
      <c r="AY219" t="s">
        <v>74</v>
      </c>
      <c r="AZ219" t="s">
        <v>74</v>
      </c>
      <c r="BA219" t="s">
        <v>74</v>
      </c>
      <c r="BB219">
        <v>585</v>
      </c>
      <c r="BC219">
        <v>599</v>
      </c>
      <c r="BD219" t="s">
        <v>74</v>
      </c>
      <c r="BE219" t="s">
        <v>4383</v>
      </c>
      <c r="BF219" t="str">
        <f>HYPERLINK("http://dx.doi.org/10.1007/s00531-007-0273-0","http://dx.doi.org/10.1007/s00531-007-0273-0")</f>
        <v>http://dx.doi.org/10.1007/s00531-007-0273-0</v>
      </c>
      <c r="BG219" t="s">
        <v>74</v>
      </c>
      <c r="BH219" t="s">
        <v>74</v>
      </c>
      <c r="BI219">
        <v>15</v>
      </c>
      <c r="BJ219" t="s">
        <v>496</v>
      </c>
      <c r="BK219" t="s">
        <v>100</v>
      </c>
      <c r="BL219" t="s">
        <v>497</v>
      </c>
      <c r="BM219" t="s">
        <v>4384</v>
      </c>
      <c r="BN219" t="s">
        <v>74</v>
      </c>
      <c r="BO219" t="s">
        <v>74</v>
      </c>
      <c r="BP219" t="s">
        <v>74</v>
      </c>
      <c r="BQ219" t="s">
        <v>74</v>
      </c>
      <c r="BR219" t="s">
        <v>103</v>
      </c>
      <c r="BS219" t="s">
        <v>4385</v>
      </c>
      <c r="BT219" t="str">
        <f>HYPERLINK("https%3A%2F%2Fwww.webofscience.com%2Fwos%2Fwoscc%2Ffull-record%2FWOS:000264482600007","View Full Record in Web of Science")</f>
        <v>View Full Record in Web of Science</v>
      </c>
    </row>
    <row r="220" spans="1:72" x14ac:dyDescent="0.15">
      <c r="A220" t="s">
        <v>72</v>
      </c>
      <c r="B220" t="s">
        <v>4386</v>
      </c>
      <c r="C220" t="s">
        <v>74</v>
      </c>
      <c r="D220" t="s">
        <v>74</v>
      </c>
      <c r="E220" t="s">
        <v>74</v>
      </c>
      <c r="F220" t="s">
        <v>4387</v>
      </c>
      <c r="G220" t="s">
        <v>74</v>
      </c>
      <c r="H220" t="s">
        <v>74</v>
      </c>
      <c r="I220" t="s">
        <v>4388</v>
      </c>
      <c r="J220" t="s">
        <v>4389</v>
      </c>
      <c r="K220" t="s">
        <v>74</v>
      </c>
      <c r="L220" t="s">
        <v>74</v>
      </c>
      <c r="M220" t="s">
        <v>78</v>
      </c>
      <c r="N220" t="s">
        <v>79</v>
      </c>
      <c r="O220" t="s">
        <v>74</v>
      </c>
      <c r="P220" t="s">
        <v>74</v>
      </c>
      <c r="Q220" t="s">
        <v>74</v>
      </c>
      <c r="R220" t="s">
        <v>74</v>
      </c>
      <c r="S220" t="s">
        <v>74</v>
      </c>
      <c r="T220" t="s">
        <v>4390</v>
      </c>
      <c r="U220" t="s">
        <v>4391</v>
      </c>
      <c r="V220" t="s">
        <v>4392</v>
      </c>
      <c r="W220" t="s">
        <v>4393</v>
      </c>
      <c r="X220" t="s">
        <v>4394</v>
      </c>
      <c r="Y220" t="s">
        <v>4395</v>
      </c>
      <c r="Z220" t="s">
        <v>4396</v>
      </c>
      <c r="AA220" t="s">
        <v>4397</v>
      </c>
      <c r="AB220" t="s">
        <v>4398</v>
      </c>
      <c r="AC220" t="s">
        <v>4399</v>
      </c>
      <c r="AD220" t="s">
        <v>4400</v>
      </c>
      <c r="AE220" t="s">
        <v>4401</v>
      </c>
      <c r="AF220" t="s">
        <v>74</v>
      </c>
      <c r="AG220">
        <v>27</v>
      </c>
      <c r="AH220">
        <v>33</v>
      </c>
      <c r="AI220">
        <v>33</v>
      </c>
      <c r="AJ220">
        <v>0</v>
      </c>
      <c r="AK220">
        <v>8</v>
      </c>
      <c r="AL220" t="s">
        <v>4402</v>
      </c>
      <c r="AM220" t="s">
        <v>92</v>
      </c>
      <c r="AN220" t="s">
        <v>4403</v>
      </c>
      <c r="AO220" t="s">
        <v>4404</v>
      </c>
      <c r="AP220" t="s">
        <v>4405</v>
      </c>
      <c r="AQ220" t="s">
        <v>74</v>
      </c>
      <c r="AR220" t="s">
        <v>4406</v>
      </c>
      <c r="AS220" t="s">
        <v>4407</v>
      </c>
      <c r="AT220" t="s">
        <v>3655</v>
      </c>
      <c r="AU220">
        <v>2009</v>
      </c>
      <c r="AV220">
        <v>123</v>
      </c>
      <c r="AW220">
        <v>4</v>
      </c>
      <c r="AX220" t="s">
        <v>74</v>
      </c>
      <c r="AY220" t="s">
        <v>74</v>
      </c>
      <c r="AZ220" t="s">
        <v>74</v>
      </c>
      <c r="BA220" t="s">
        <v>74</v>
      </c>
      <c r="BB220">
        <v>900</v>
      </c>
      <c r="BC220">
        <v>905</v>
      </c>
      <c r="BD220" t="s">
        <v>74</v>
      </c>
      <c r="BE220" t="s">
        <v>4408</v>
      </c>
      <c r="BF220" t="str">
        <f>HYPERLINK("http://dx.doi.org/10.1016/j.jaci.2008.12.016","http://dx.doi.org/10.1016/j.jaci.2008.12.016")</f>
        <v>http://dx.doi.org/10.1016/j.jaci.2008.12.016</v>
      </c>
      <c r="BG220" t="s">
        <v>74</v>
      </c>
      <c r="BH220" t="s">
        <v>74</v>
      </c>
      <c r="BI220">
        <v>6</v>
      </c>
      <c r="BJ220" t="s">
        <v>4409</v>
      </c>
      <c r="BK220" t="s">
        <v>100</v>
      </c>
      <c r="BL220" t="s">
        <v>4409</v>
      </c>
      <c r="BM220" t="s">
        <v>4410</v>
      </c>
      <c r="BN220">
        <v>19232702</v>
      </c>
      <c r="BO220" t="s">
        <v>499</v>
      </c>
      <c r="BP220" t="s">
        <v>74</v>
      </c>
      <c r="BQ220" t="s">
        <v>74</v>
      </c>
      <c r="BR220" t="s">
        <v>103</v>
      </c>
      <c r="BS220" t="s">
        <v>4411</v>
      </c>
      <c r="BT220" t="str">
        <f>HYPERLINK("https%3A%2F%2Fwww.webofscience.com%2Fwos%2Fwoscc%2Ffull-record%2FWOS:000265058600018","View Full Record in Web of Science")</f>
        <v>View Full Record in Web of Science</v>
      </c>
    </row>
    <row r="221" spans="1:72" x14ac:dyDescent="0.15">
      <c r="A221" t="s">
        <v>72</v>
      </c>
      <c r="B221" t="s">
        <v>4412</v>
      </c>
      <c r="C221" t="s">
        <v>74</v>
      </c>
      <c r="D221" t="s">
        <v>74</v>
      </c>
      <c r="E221" t="s">
        <v>74</v>
      </c>
      <c r="F221" t="s">
        <v>4413</v>
      </c>
      <c r="G221" t="s">
        <v>74</v>
      </c>
      <c r="H221" t="s">
        <v>74</v>
      </c>
      <c r="I221" t="s">
        <v>4414</v>
      </c>
      <c r="J221" t="s">
        <v>4415</v>
      </c>
      <c r="K221" t="s">
        <v>74</v>
      </c>
      <c r="L221" t="s">
        <v>74</v>
      </c>
      <c r="M221" t="s">
        <v>78</v>
      </c>
      <c r="N221" t="s">
        <v>79</v>
      </c>
      <c r="O221" t="s">
        <v>74</v>
      </c>
      <c r="P221" t="s">
        <v>74</v>
      </c>
      <c r="Q221" t="s">
        <v>74</v>
      </c>
      <c r="R221" t="s">
        <v>74</v>
      </c>
      <c r="S221" t="s">
        <v>74</v>
      </c>
      <c r="T221" t="s">
        <v>4416</v>
      </c>
      <c r="U221" t="s">
        <v>4417</v>
      </c>
      <c r="V221" t="s">
        <v>4418</v>
      </c>
      <c r="W221" t="s">
        <v>4419</v>
      </c>
      <c r="X221" t="s">
        <v>4420</v>
      </c>
      <c r="Y221" t="s">
        <v>4421</v>
      </c>
      <c r="Z221" t="s">
        <v>4422</v>
      </c>
      <c r="AA221" t="s">
        <v>4423</v>
      </c>
      <c r="AB221" t="s">
        <v>4424</v>
      </c>
      <c r="AC221" t="s">
        <v>4425</v>
      </c>
      <c r="AD221" t="s">
        <v>4426</v>
      </c>
      <c r="AE221" t="s">
        <v>4427</v>
      </c>
      <c r="AF221" t="s">
        <v>74</v>
      </c>
      <c r="AG221">
        <v>45</v>
      </c>
      <c r="AH221">
        <v>51</v>
      </c>
      <c r="AI221">
        <v>53</v>
      </c>
      <c r="AJ221">
        <v>1</v>
      </c>
      <c r="AK221">
        <v>30</v>
      </c>
      <c r="AL221" t="s">
        <v>489</v>
      </c>
      <c r="AM221" t="s">
        <v>490</v>
      </c>
      <c r="AN221" t="s">
        <v>491</v>
      </c>
      <c r="AO221" t="s">
        <v>4428</v>
      </c>
      <c r="AP221" t="s">
        <v>4429</v>
      </c>
      <c r="AQ221" t="s">
        <v>74</v>
      </c>
      <c r="AR221" t="s">
        <v>4430</v>
      </c>
      <c r="AS221" t="s">
        <v>4431</v>
      </c>
      <c r="AT221" t="s">
        <v>3655</v>
      </c>
      <c r="AU221">
        <v>2009</v>
      </c>
      <c r="AV221">
        <v>106</v>
      </c>
      <c r="AW221">
        <v>4</v>
      </c>
      <c r="AX221" t="s">
        <v>74</v>
      </c>
      <c r="AY221" t="s">
        <v>74</v>
      </c>
      <c r="AZ221" t="s">
        <v>74</v>
      </c>
      <c r="BA221" t="s">
        <v>74</v>
      </c>
      <c r="BB221">
        <v>1101</v>
      </c>
      <c r="BC221">
        <v>1110</v>
      </c>
      <c r="BD221" t="s">
        <v>74</v>
      </c>
      <c r="BE221" t="s">
        <v>4432</v>
      </c>
      <c r="BF221" t="str">
        <f>HYPERLINK("http://dx.doi.org/10.1111/j.1365-2672.2008.04073.x","http://dx.doi.org/10.1111/j.1365-2672.2008.04073.x")</f>
        <v>http://dx.doi.org/10.1111/j.1365-2672.2008.04073.x</v>
      </c>
      <c r="BG221" t="s">
        <v>74</v>
      </c>
      <c r="BH221" t="s">
        <v>74</v>
      </c>
      <c r="BI221">
        <v>10</v>
      </c>
      <c r="BJ221" t="s">
        <v>4433</v>
      </c>
      <c r="BK221" t="s">
        <v>100</v>
      </c>
      <c r="BL221" t="s">
        <v>4433</v>
      </c>
      <c r="BM221" t="s">
        <v>4434</v>
      </c>
      <c r="BN221">
        <v>19191978</v>
      </c>
      <c r="BO221" t="s">
        <v>217</v>
      </c>
      <c r="BP221" t="s">
        <v>74</v>
      </c>
      <c r="BQ221" t="s">
        <v>74</v>
      </c>
      <c r="BR221" t="s">
        <v>103</v>
      </c>
      <c r="BS221" t="s">
        <v>4435</v>
      </c>
      <c r="BT221" t="str">
        <f>HYPERLINK("https%3A%2F%2Fwww.webofscience.com%2Fwos%2Fwoscc%2Ffull-record%2FWOS:000264022300005","View Full Record in Web of Science")</f>
        <v>View Full Record in Web of Science</v>
      </c>
    </row>
    <row r="222" spans="1:72" x14ac:dyDescent="0.15">
      <c r="A222" t="s">
        <v>72</v>
      </c>
      <c r="B222" t="s">
        <v>4436</v>
      </c>
      <c r="C222" t="s">
        <v>74</v>
      </c>
      <c r="D222" t="s">
        <v>74</v>
      </c>
      <c r="E222" t="s">
        <v>74</v>
      </c>
      <c r="F222" t="s">
        <v>4437</v>
      </c>
      <c r="G222" t="s">
        <v>74</v>
      </c>
      <c r="H222" t="s">
        <v>74</v>
      </c>
      <c r="I222" t="s">
        <v>4438</v>
      </c>
      <c r="J222" t="s">
        <v>4439</v>
      </c>
      <c r="K222" t="s">
        <v>74</v>
      </c>
      <c r="L222" t="s">
        <v>74</v>
      </c>
      <c r="M222" t="s">
        <v>78</v>
      </c>
      <c r="N222" t="s">
        <v>79</v>
      </c>
      <c r="O222" t="s">
        <v>74</v>
      </c>
      <c r="P222" t="s">
        <v>74</v>
      </c>
      <c r="Q222" t="s">
        <v>74</v>
      </c>
      <c r="R222" t="s">
        <v>74</v>
      </c>
      <c r="S222" t="s">
        <v>74</v>
      </c>
      <c r="T222" t="s">
        <v>74</v>
      </c>
      <c r="U222" t="s">
        <v>4440</v>
      </c>
      <c r="V222" t="s">
        <v>4441</v>
      </c>
      <c r="W222" t="s">
        <v>4442</v>
      </c>
      <c r="X222" t="s">
        <v>4443</v>
      </c>
      <c r="Y222" t="s">
        <v>4444</v>
      </c>
      <c r="Z222" t="s">
        <v>4445</v>
      </c>
      <c r="AA222" t="s">
        <v>4446</v>
      </c>
      <c r="AB222" t="s">
        <v>4447</v>
      </c>
      <c r="AC222" t="s">
        <v>4448</v>
      </c>
      <c r="AD222" t="s">
        <v>4449</v>
      </c>
      <c r="AE222" t="s">
        <v>4450</v>
      </c>
      <c r="AF222" t="s">
        <v>74</v>
      </c>
      <c r="AG222">
        <v>33</v>
      </c>
      <c r="AH222">
        <v>9</v>
      </c>
      <c r="AI222">
        <v>13</v>
      </c>
      <c r="AJ222">
        <v>2</v>
      </c>
      <c r="AK222">
        <v>14</v>
      </c>
      <c r="AL222" t="s">
        <v>1398</v>
      </c>
      <c r="AM222" t="s">
        <v>1399</v>
      </c>
      <c r="AN222" t="s">
        <v>1400</v>
      </c>
      <c r="AO222" t="s">
        <v>4451</v>
      </c>
      <c r="AP222" t="s">
        <v>4452</v>
      </c>
      <c r="AQ222" t="s">
        <v>74</v>
      </c>
      <c r="AR222" t="s">
        <v>4453</v>
      </c>
      <c r="AS222" t="s">
        <v>4454</v>
      </c>
      <c r="AT222" t="s">
        <v>3655</v>
      </c>
      <c r="AU222">
        <v>2009</v>
      </c>
      <c r="AV222">
        <v>26</v>
      </c>
      <c r="AW222">
        <v>4</v>
      </c>
      <c r="AX222" t="s">
        <v>74</v>
      </c>
      <c r="AY222" t="s">
        <v>74</v>
      </c>
      <c r="AZ222" t="s">
        <v>74</v>
      </c>
      <c r="BA222" t="s">
        <v>74</v>
      </c>
      <c r="BB222">
        <v>818</v>
      </c>
      <c r="BC222">
        <v>827</v>
      </c>
      <c r="BD222" t="s">
        <v>74</v>
      </c>
      <c r="BE222" t="s">
        <v>4455</v>
      </c>
      <c r="BF222" t="str">
        <f>HYPERLINK("http://dx.doi.org/10.1175/2008JTECHO613.1","http://dx.doi.org/10.1175/2008JTECHO613.1")</f>
        <v>http://dx.doi.org/10.1175/2008JTECHO613.1</v>
      </c>
      <c r="BG222" t="s">
        <v>74</v>
      </c>
      <c r="BH222" t="s">
        <v>74</v>
      </c>
      <c r="BI222">
        <v>10</v>
      </c>
      <c r="BJ222" t="s">
        <v>4456</v>
      </c>
      <c r="BK222" t="s">
        <v>100</v>
      </c>
      <c r="BL222" t="s">
        <v>4457</v>
      </c>
      <c r="BM222" t="s">
        <v>4458</v>
      </c>
      <c r="BN222" t="s">
        <v>74</v>
      </c>
      <c r="BO222" t="s">
        <v>262</v>
      </c>
      <c r="BP222" t="s">
        <v>74</v>
      </c>
      <c r="BQ222" t="s">
        <v>74</v>
      </c>
      <c r="BR222" t="s">
        <v>103</v>
      </c>
      <c r="BS222" t="s">
        <v>4459</v>
      </c>
      <c r="BT222" t="str">
        <f>HYPERLINK("https%3A%2F%2Fwww.webofscience.com%2Fwos%2Fwoscc%2Ffull-record%2FWOS:000265949400012","View Full Record in Web of Science")</f>
        <v>View Full Record in Web of Science</v>
      </c>
    </row>
    <row r="223" spans="1:72" x14ac:dyDescent="0.15">
      <c r="A223" t="s">
        <v>72</v>
      </c>
      <c r="B223" t="s">
        <v>4460</v>
      </c>
      <c r="C223" t="s">
        <v>74</v>
      </c>
      <c r="D223" t="s">
        <v>74</v>
      </c>
      <c r="E223" t="s">
        <v>74</v>
      </c>
      <c r="F223" t="s">
        <v>4461</v>
      </c>
      <c r="G223" t="s">
        <v>74</v>
      </c>
      <c r="H223" t="s">
        <v>74</v>
      </c>
      <c r="I223" t="s">
        <v>4462</v>
      </c>
      <c r="J223" t="s">
        <v>4463</v>
      </c>
      <c r="K223" t="s">
        <v>74</v>
      </c>
      <c r="L223" t="s">
        <v>74</v>
      </c>
      <c r="M223" t="s">
        <v>78</v>
      </c>
      <c r="N223" t="s">
        <v>4464</v>
      </c>
      <c r="O223" t="s">
        <v>74</v>
      </c>
      <c r="P223" t="s">
        <v>74</v>
      </c>
      <c r="Q223" t="s">
        <v>74</v>
      </c>
      <c r="R223" t="s">
        <v>74</v>
      </c>
      <c r="S223" t="s">
        <v>74</v>
      </c>
      <c r="T223" t="s">
        <v>74</v>
      </c>
      <c r="U223" t="s">
        <v>74</v>
      </c>
      <c r="V223" t="s">
        <v>74</v>
      </c>
      <c r="W223" t="s">
        <v>4465</v>
      </c>
      <c r="X223" t="s">
        <v>4466</v>
      </c>
      <c r="Y223" t="s">
        <v>4467</v>
      </c>
      <c r="Z223" t="s">
        <v>4468</v>
      </c>
      <c r="AA223" t="s">
        <v>4469</v>
      </c>
      <c r="AB223" t="s">
        <v>4470</v>
      </c>
      <c r="AC223" t="s">
        <v>4471</v>
      </c>
      <c r="AD223" t="s">
        <v>4472</v>
      </c>
      <c r="AE223" t="s">
        <v>74</v>
      </c>
      <c r="AF223" t="s">
        <v>74</v>
      </c>
      <c r="AG223">
        <v>1</v>
      </c>
      <c r="AH223">
        <v>0</v>
      </c>
      <c r="AI223">
        <v>0</v>
      </c>
      <c r="AJ223">
        <v>1</v>
      </c>
      <c r="AK223">
        <v>6</v>
      </c>
      <c r="AL223" t="s">
        <v>303</v>
      </c>
      <c r="AM223" t="s">
        <v>304</v>
      </c>
      <c r="AN223" t="s">
        <v>305</v>
      </c>
      <c r="AO223" t="s">
        <v>4473</v>
      </c>
      <c r="AP223" t="s">
        <v>74</v>
      </c>
      <c r="AQ223" t="s">
        <v>74</v>
      </c>
      <c r="AR223" t="s">
        <v>4474</v>
      </c>
      <c r="AS223" t="s">
        <v>4475</v>
      </c>
      <c r="AT223" t="s">
        <v>3655</v>
      </c>
      <c r="AU223">
        <v>2009</v>
      </c>
      <c r="AV223">
        <v>71</v>
      </c>
      <c r="AW223">
        <v>5</v>
      </c>
      <c r="AX223" t="s">
        <v>74</v>
      </c>
      <c r="AY223" t="s">
        <v>74</v>
      </c>
      <c r="AZ223" t="s">
        <v>74</v>
      </c>
      <c r="BA223" t="s">
        <v>74</v>
      </c>
      <c r="BB223">
        <v>634</v>
      </c>
      <c r="BC223">
        <v>634</v>
      </c>
      <c r="BD223" t="s">
        <v>74</v>
      </c>
      <c r="BE223" t="s">
        <v>4476</v>
      </c>
      <c r="BF223" t="str">
        <f>HYPERLINK("http://dx.doi.org/10.1016/j.jastp.2009.01.008","http://dx.doi.org/10.1016/j.jastp.2009.01.008")</f>
        <v>http://dx.doi.org/10.1016/j.jastp.2009.01.008</v>
      </c>
      <c r="BG223" t="s">
        <v>74</v>
      </c>
      <c r="BH223" t="s">
        <v>74</v>
      </c>
      <c r="BI223">
        <v>1</v>
      </c>
      <c r="BJ223" t="s">
        <v>4477</v>
      </c>
      <c r="BK223" t="s">
        <v>100</v>
      </c>
      <c r="BL223" t="s">
        <v>4477</v>
      </c>
      <c r="BM223" t="s">
        <v>4478</v>
      </c>
      <c r="BN223" t="s">
        <v>74</v>
      </c>
      <c r="BO223" t="s">
        <v>74</v>
      </c>
      <c r="BP223" t="s">
        <v>74</v>
      </c>
      <c r="BQ223" t="s">
        <v>74</v>
      </c>
      <c r="BR223" t="s">
        <v>103</v>
      </c>
      <c r="BS223" t="s">
        <v>4479</v>
      </c>
      <c r="BT223" t="str">
        <f>HYPERLINK("https%3A%2F%2Fwww.webofscience.com%2Fwos%2Fwoscc%2Ffull-record%2FWOS:000265808700012","View Full Record in Web of Science")</f>
        <v>View Full Record in Web of Science</v>
      </c>
    </row>
    <row r="224" spans="1:72" x14ac:dyDescent="0.15">
      <c r="A224" t="s">
        <v>72</v>
      </c>
      <c r="B224" t="s">
        <v>4480</v>
      </c>
      <c r="C224" t="s">
        <v>74</v>
      </c>
      <c r="D224" t="s">
        <v>74</v>
      </c>
      <c r="E224" t="s">
        <v>74</v>
      </c>
      <c r="F224" t="s">
        <v>4481</v>
      </c>
      <c r="G224" t="s">
        <v>74</v>
      </c>
      <c r="H224" t="s">
        <v>74</v>
      </c>
      <c r="I224" t="s">
        <v>4482</v>
      </c>
      <c r="J224" t="s">
        <v>4483</v>
      </c>
      <c r="K224" t="s">
        <v>74</v>
      </c>
      <c r="L224" t="s">
        <v>74</v>
      </c>
      <c r="M224" t="s">
        <v>78</v>
      </c>
      <c r="N224" t="s">
        <v>79</v>
      </c>
      <c r="O224" t="s">
        <v>74</v>
      </c>
      <c r="P224" t="s">
        <v>74</v>
      </c>
      <c r="Q224" t="s">
        <v>74</v>
      </c>
      <c r="R224" t="s">
        <v>74</v>
      </c>
      <c r="S224" t="s">
        <v>74</v>
      </c>
      <c r="T224" t="s">
        <v>74</v>
      </c>
      <c r="U224" t="s">
        <v>4484</v>
      </c>
      <c r="V224" t="s">
        <v>4485</v>
      </c>
      <c r="W224" t="s">
        <v>4486</v>
      </c>
      <c r="X224" t="s">
        <v>4487</v>
      </c>
      <c r="Y224" t="s">
        <v>4488</v>
      </c>
      <c r="Z224" t="s">
        <v>4489</v>
      </c>
      <c r="AA224" t="s">
        <v>4490</v>
      </c>
      <c r="AB224" t="s">
        <v>4491</v>
      </c>
      <c r="AC224" t="s">
        <v>4492</v>
      </c>
      <c r="AD224" t="s">
        <v>4492</v>
      </c>
      <c r="AE224" t="s">
        <v>4493</v>
      </c>
      <c r="AF224" t="s">
        <v>74</v>
      </c>
      <c r="AG224">
        <v>54</v>
      </c>
      <c r="AH224">
        <v>76</v>
      </c>
      <c r="AI224">
        <v>81</v>
      </c>
      <c r="AJ224">
        <v>0</v>
      </c>
      <c r="AK224">
        <v>20</v>
      </c>
      <c r="AL224" t="s">
        <v>4494</v>
      </c>
      <c r="AM224" t="s">
        <v>606</v>
      </c>
      <c r="AN224" t="s">
        <v>4495</v>
      </c>
      <c r="AO224" t="s">
        <v>4496</v>
      </c>
      <c r="AP224" t="s">
        <v>4497</v>
      </c>
      <c r="AQ224" t="s">
        <v>74</v>
      </c>
      <c r="AR224" t="s">
        <v>4498</v>
      </c>
      <c r="AS224" t="s">
        <v>4499</v>
      </c>
      <c r="AT224" t="s">
        <v>3699</v>
      </c>
      <c r="AU224">
        <v>2009</v>
      </c>
      <c r="AV224">
        <v>191</v>
      </c>
      <c r="AW224">
        <v>7</v>
      </c>
      <c r="AX224" t="s">
        <v>74</v>
      </c>
      <c r="AY224" t="s">
        <v>74</v>
      </c>
      <c r="AZ224" t="s">
        <v>74</v>
      </c>
      <c r="BA224" t="s">
        <v>74</v>
      </c>
      <c r="BB224">
        <v>2340</v>
      </c>
      <c r="BC224">
        <v>2352</v>
      </c>
      <c r="BD224" t="s">
        <v>74</v>
      </c>
      <c r="BE224" t="s">
        <v>4500</v>
      </c>
      <c r="BF224" t="str">
        <f>HYPERLINK("http://dx.doi.org/10.1128/JB.01377-08","http://dx.doi.org/10.1128/JB.01377-08")</f>
        <v>http://dx.doi.org/10.1128/JB.01377-08</v>
      </c>
      <c r="BG224" t="s">
        <v>74</v>
      </c>
      <c r="BH224" t="s">
        <v>74</v>
      </c>
      <c r="BI224">
        <v>13</v>
      </c>
      <c r="BJ224" t="s">
        <v>2749</v>
      </c>
      <c r="BK224" t="s">
        <v>100</v>
      </c>
      <c r="BL224" t="s">
        <v>2749</v>
      </c>
      <c r="BM224" t="s">
        <v>4501</v>
      </c>
      <c r="BN224">
        <v>19168616</v>
      </c>
      <c r="BO224" t="s">
        <v>217</v>
      </c>
      <c r="BP224" t="s">
        <v>74</v>
      </c>
      <c r="BQ224" t="s">
        <v>74</v>
      </c>
      <c r="BR224" t="s">
        <v>103</v>
      </c>
      <c r="BS224" t="s">
        <v>4502</v>
      </c>
      <c r="BT224" t="str">
        <f>HYPERLINK("https%3A%2F%2Fwww.webofscience.com%2Fwos%2Fwoscc%2Ffull-record%2FWOS:000264085500040","View Full Record in Web of Science")</f>
        <v>View Full Record in Web of Science</v>
      </c>
    </row>
    <row r="225" spans="1:72" x14ac:dyDescent="0.15">
      <c r="A225" t="s">
        <v>72</v>
      </c>
      <c r="B225" t="s">
        <v>4503</v>
      </c>
      <c r="C225" t="s">
        <v>74</v>
      </c>
      <c r="D225" t="s">
        <v>74</v>
      </c>
      <c r="E225" t="s">
        <v>74</v>
      </c>
      <c r="F225" t="s">
        <v>4504</v>
      </c>
      <c r="G225" t="s">
        <v>74</v>
      </c>
      <c r="H225" t="s">
        <v>74</v>
      </c>
      <c r="I225" t="s">
        <v>4505</v>
      </c>
      <c r="J225" t="s">
        <v>1860</v>
      </c>
      <c r="K225" t="s">
        <v>74</v>
      </c>
      <c r="L225" t="s">
        <v>74</v>
      </c>
      <c r="M225" t="s">
        <v>78</v>
      </c>
      <c r="N225" t="s">
        <v>79</v>
      </c>
      <c r="O225" t="s">
        <v>74</v>
      </c>
      <c r="P225" t="s">
        <v>74</v>
      </c>
      <c r="Q225" t="s">
        <v>74</v>
      </c>
      <c r="R225" t="s">
        <v>74</v>
      </c>
      <c r="S225" t="s">
        <v>74</v>
      </c>
      <c r="T225" t="s">
        <v>4506</v>
      </c>
      <c r="U225" t="s">
        <v>4507</v>
      </c>
      <c r="V225" t="s">
        <v>4508</v>
      </c>
      <c r="W225" t="s">
        <v>4509</v>
      </c>
      <c r="X225" t="s">
        <v>4510</v>
      </c>
      <c r="Y225" t="s">
        <v>4511</v>
      </c>
      <c r="Z225" t="s">
        <v>4512</v>
      </c>
      <c r="AA225" t="s">
        <v>4513</v>
      </c>
      <c r="AB225" t="s">
        <v>4296</v>
      </c>
      <c r="AC225" t="s">
        <v>4514</v>
      </c>
      <c r="AD225" t="s">
        <v>4515</v>
      </c>
      <c r="AE225" t="s">
        <v>4516</v>
      </c>
      <c r="AF225" t="s">
        <v>74</v>
      </c>
      <c r="AG225">
        <v>52</v>
      </c>
      <c r="AH225">
        <v>29</v>
      </c>
      <c r="AI225">
        <v>29</v>
      </c>
      <c r="AJ225">
        <v>1</v>
      </c>
      <c r="AK225">
        <v>45</v>
      </c>
      <c r="AL225" t="s">
        <v>489</v>
      </c>
      <c r="AM225" t="s">
        <v>490</v>
      </c>
      <c r="AN225" t="s">
        <v>491</v>
      </c>
      <c r="AO225" t="s">
        <v>1873</v>
      </c>
      <c r="AP225" t="s">
        <v>1874</v>
      </c>
      <c r="AQ225" t="s">
        <v>74</v>
      </c>
      <c r="AR225" t="s">
        <v>1875</v>
      </c>
      <c r="AS225" t="s">
        <v>1876</v>
      </c>
      <c r="AT225" t="s">
        <v>3655</v>
      </c>
      <c r="AU225">
        <v>2009</v>
      </c>
      <c r="AV225">
        <v>36</v>
      </c>
      <c r="AW225">
        <v>4</v>
      </c>
      <c r="AX225" t="s">
        <v>74</v>
      </c>
      <c r="AY225" t="s">
        <v>74</v>
      </c>
      <c r="AZ225" t="s">
        <v>74</v>
      </c>
      <c r="BA225" t="s">
        <v>74</v>
      </c>
      <c r="BB225">
        <v>693</v>
      </c>
      <c r="BC225">
        <v>702</v>
      </c>
      <c r="BD225" t="s">
        <v>74</v>
      </c>
      <c r="BE225" t="s">
        <v>4517</v>
      </c>
      <c r="BF225" t="str">
        <f>HYPERLINK("http://dx.doi.org/10.1111/j.1365-2699.2008.02014.x","http://dx.doi.org/10.1111/j.1365-2699.2008.02014.x")</f>
        <v>http://dx.doi.org/10.1111/j.1365-2699.2008.02014.x</v>
      </c>
      <c r="BG225" t="s">
        <v>74</v>
      </c>
      <c r="BH225" t="s">
        <v>74</v>
      </c>
      <c r="BI225">
        <v>10</v>
      </c>
      <c r="BJ225" t="s">
        <v>1878</v>
      </c>
      <c r="BK225" t="s">
        <v>100</v>
      </c>
      <c r="BL225" t="s">
        <v>1104</v>
      </c>
      <c r="BM225" t="s">
        <v>4518</v>
      </c>
      <c r="BN225" t="s">
        <v>74</v>
      </c>
      <c r="BO225" t="s">
        <v>74</v>
      </c>
      <c r="BP225" t="s">
        <v>74</v>
      </c>
      <c r="BQ225" t="s">
        <v>74</v>
      </c>
      <c r="BR225" t="s">
        <v>103</v>
      </c>
      <c r="BS225" t="s">
        <v>4519</v>
      </c>
      <c r="BT225" t="str">
        <f>HYPERLINK("https%3A%2F%2Fwww.webofscience.com%2Fwos%2Fwoscc%2Ffull-record%2FWOS:000264073200010","View Full Record in Web of Science")</f>
        <v>View Full Record in Web of Science</v>
      </c>
    </row>
    <row r="226" spans="1:72" x14ac:dyDescent="0.15">
      <c r="A226" t="s">
        <v>72</v>
      </c>
      <c r="B226" t="s">
        <v>4520</v>
      </c>
      <c r="C226" t="s">
        <v>74</v>
      </c>
      <c r="D226" t="s">
        <v>74</v>
      </c>
      <c r="E226" t="s">
        <v>74</v>
      </c>
      <c r="F226" t="s">
        <v>4521</v>
      </c>
      <c r="G226" t="s">
        <v>74</v>
      </c>
      <c r="H226" t="s">
        <v>74</v>
      </c>
      <c r="I226" t="s">
        <v>4522</v>
      </c>
      <c r="J226" t="s">
        <v>1860</v>
      </c>
      <c r="K226" t="s">
        <v>74</v>
      </c>
      <c r="L226" t="s">
        <v>74</v>
      </c>
      <c r="M226" t="s">
        <v>78</v>
      </c>
      <c r="N226" t="s">
        <v>79</v>
      </c>
      <c r="O226" t="s">
        <v>74</v>
      </c>
      <c r="P226" t="s">
        <v>74</v>
      </c>
      <c r="Q226" t="s">
        <v>74</v>
      </c>
      <c r="R226" t="s">
        <v>74</v>
      </c>
      <c r="S226" t="s">
        <v>74</v>
      </c>
      <c r="T226" t="s">
        <v>4523</v>
      </c>
      <c r="U226" t="s">
        <v>4524</v>
      </c>
      <c r="V226" t="s">
        <v>4525</v>
      </c>
      <c r="W226" t="s">
        <v>4526</v>
      </c>
      <c r="X226" t="s">
        <v>4527</v>
      </c>
      <c r="Y226" t="s">
        <v>4528</v>
      </c>
      <c r="Z226" t="s">
        <v>4529</v>
      </c>
      <c r="AA226" t="s">
        <v>4530</v>
      </c>
      <c r="AB226" t="s">
        <v>4531</v>
      </c>
      <c r="AC226" t="s">
        <v>4532</v>
      </c>
      <c r="AD226" t="s">
        <v>4533</v>
      </c>
      <c r="AE226" t="s">
        <v>4534</v>
      </c>
      <c r="AF226" t="s">
        <v>74</v>
      </c>
      <c r="AG226">
        <v>49</v>
      </c>
      <c r="AH226">
        <v>35</v>
      </c>
      <c r="AI226">
        <v>39</v>
      </c>
      <c r="AJ226">
        <v>3</v>
      </c>
      <c r="AK226">
        <v>35</v>
      </c>
      <c r="AL226" t="s">
        <v>489</v>
      </c>
      <c r="AM226" t="s">
        <v>490</v>
      </c>
      <c r="AN226" t="s">
        <v>491</v>
      </c>
      <c r="AO226" t="s">
        <v>1873</v>
      </c>
      <c r="AP226" t="s">
        <v>1874</v>
      </c>
      <c r="AQ226" t="s">
        <v>74</v>
      </c>
      <c r="AR226" t="s">
        <v>1875</v>
      </c>
      <c r="AS226" t="s">
        <v>1876</v>
      </c>
      <c r="AT226" t="s">
        <v>3655</v>
      </c>
      <c r="AU226">
        <v>2009</v>
      </c>
      <c r="AV226">
        <v>36</v>
      </c>
      <c r="AW226">
        <v>4</v>
      </c>
      <c r="AX226" t="s">
        <v>74</v>
      </c>
      <c r="AY226" t="s">
        <v>74</v>
      </c>
      <c r="AZ226" t="s">
        <v>74</v>
      </c>
      <c r="BA226" t="s">
        <v>74</v>
      </c>
      <c r="BB226">
        <v>756</v>
      </c>
      <c r="BC226">
        <v>769</v>
      </c>
      <c r="BD226" t="s">
        <v>74</v>
      </c>
      <c r="BE226" t="s">
        <v>4535</v>
      </c>
      <c r="BF226" t="str">
        <f>HYPERLINK("http://dx.doi.org/10.1111/j.1365-2699.2008.02030.x","http://dx.doi.org/10.1111/j.1365-2699.2008.02030.x")</f>
        <v>http://dx.doi.org/10.1111/j.1365-2699.2008.02030.x</v>
      </c>
      <c r="BG226" t="s">
        <v>74</v>
      </c>
      <c r="BH226" t="s">
        <v>74</v>
      </c>
      <c r="BI226">
        <v>14</v>
      </c>
      <c r="BJ226" t="s">
        <v>1878</v>
      </c>
      <c r="BK226" t="s">
        <v>100</v>
      </c>
      <c r="BL226" t="s">
        <v>1104</v>
      </c>
      <c r="BM226" t="s">
        <v>4518</v>
      </c>
      <c r="BN226" t="s">
        <v>74</v>
      </c>
      <c r="BO226" t="s">
        <v>74</v>
      </c>
      <c r="BP226" t="s">
        <v>74</v>
      </c>
      <c r="BQ226" t="s">
        <v>74</v>
      </c>
      <c r="BR226" t="s">
        <v>103</v>
      </c>
      <c r="BS226" t="s">
        <v>4536</v>
      </c>
      <c r="BT226" t="str">
        <f>HYPERLINK("https%3A%2F%2Fwww.webofscience.com%2Fwos%2Fwoscc%2Ffull-record%2FWOS:000264073200015","View Full Record in Web of Science")</f>
        <v>View Full Record in Web of Science</v>
      </c>
    </row>
    <row r="227" spans="1:72" x14ac:dyDescent="0.15">
      <c r="A227" t="s">
        <v>72</v>
      </c>
      <c r="B227" t="s">
        <v>4537</v>
      </c>
      <c r="C227" t="s">
        <v>74</v>
      </c>
      <c r="D227" t="s">
        <v>74</v>
      </c>
      <c r="E227" t="s">
        <v>74</v>
      </c>
      <c r="F227" t="s">
        <v>4538</v>
      </c>
      <c r="G227" t="s">
        <v>74</v>
      </c>
      <c r="H227" t="s">
        <v>74</v>
      </c>
      <c r="I227" t="s">
        <v>4539</v>
      </c>
      <c r="J227" t="s">
        <v>1884</v>
      </c>
      <c r="K227" t="s">
        <v>74</v>
      </c>
      <c r="L227" t="s">
        <v>74</v>
      </c>
      <c r="M227" t="s">
        <v>78</v>
      </c>
      <c r="N227" t="s">
        <v>79</v>
      </c>
      <c r="O227" t="s">
        <v>74</v>
      </c>
      <c r="P227" t="s">
        <v>74</v>
      </c>
      <c r="Q227" t="s">
        <v>74</v>
      </c>
      <c r="R227" t="s">
        <v>74</v>
      </c>
      <c r="S227" t="s">
        <v>74</v>
      </c>
      <c r="T227" t="s">
        <v>74</v>
      </c>
      <c r="U227" t="s">
        <v>4540</v>
      </c>
      <c r="V227" t="s">
        <v>4541</v>
      </c>
      <c r="W227" t="s">
        <v>4542</v>
      </c>
      <c r="X227" t="s">
        <v>4543</v>
      </c>
      <c r="Y227" t="s">
        <v>4544</v>
      </c>
      <c r="Z227" t="s">
        <v>4545</v>
      </c>
      <c r="AA227" t="s">
        <v>4546</v>
      </c>
      <c r="AB227" t="s">
        <v>4547</v>
      </c>
      <c r="AC227" t="s">
        <v>4548</v>
      </c>
      <c r="AD227" t="s">
        <v>4549</v>
      </c>
      <c r="AE227" t="s">
        <v>4550</v>
      </c>
      <c r="AF227" t="s">
        <v>74</v>
      </c>
      <c r="AG227">
        <v>58</v>
      </c>
      <c r="AH227">
        <v>66</v>
      </c>
      <c r="AI227">
        <v>70</v>
      </c>
      <c r="AJ227">
        <v>0</v>
      </c>
      <c r="AK227">
        <v>30</v>
      </c>
      <c r="AL227" t="s">
        <v>1398</v>
      </c>
      <c r="AM227" t="s">
        <v>1399</v>
      </c>
      <c r="AN227" t="s">
        <v>1400</v>
      </c>
      <c r="AO227" t="s">
        <v>1896</v>
      </c>
      <c r="AP227" t="s">
        <v>1897</v>
      </c>
      <c r="AQ227" t="s">
        <v>74</v>
      </c>
      <c r="AR227" t="s">
        <v>1898</v>
      </c>
      <c r="AS227" t="s">
        <v>1899</v>
      </c>
      <c r="AT227" t="s">
        <v>3655</v>
      </c>
      <c r="AU227">
        <v>2009</v>
      </c>
      <c r="AV227">
        <v>22</v>
      </c>
      <c r="AW227">
        <v>7</v>
      </c>
      <c r="AX227" t="s">
        <v>74</v>
      </c>
      <c r="AY227" t="s">
        <v>74</v>
      </c>
      <c r="AZ227" t="s">
        <v>74</v>
      </c>
      <c r="BA227" t="s">
        <v>74</v>
      </c>
      <c r="BB227">
        <v>1626</v>
      </c>
      <c r="BC227">
        <v>1640</v>
      </c>
      <c r="BD227" t="s">
        <v>74</v>
      </c>
      <c r="BE227" t="s">
        <v>4551</v>
      </c>
      <c r="BF227" t="str">
        <f>HYPERLINK("http://dx.doi.org/10.1175/2008JCLI2161.1","http://dx.doi.org/10.1175/2008JCLI2161.1")</f>
        <v>http://dx.doi.org/10.1175/2008JCLI2161.1</v>
      </c>
      <c r="BG227" t="s">
        <v>74</v>
      </c>
      <c r="BH227" t="s">
        <v>74</v>
      </c>
      <c r="BI227">
        <v>15</v>
      </c>
      <c r="BJ227" t="s">
        <v>398</v>
      </c>
      <c r="BK227" t="s">
        <v>100</v>
      </c>
      <c r="BL227" t="s">
        <v>398</v>
      </c>
      <c r="BM227" t="s">
        <v>4552</v>
      </c>
      <c r="BN227" t="s">
        <v>74</v>
      </c>
      <c r="BO227" t="s">
        <v>499</v>
      </c>
      <c r="BP227" t="s">
        <v>74</v>
      </c>
      <c r="BQ227" t="s">
        <v>74</v>
      </c>
      <c r="BR227" t="s">
        <v>103</v>
      </c>
      <c r="BS227" t="s">
        <v>4553</v>
      </c>
      <c r="BT227" t="str">
        <f>HYPERLINK("https%3A%2F%2Fwww.webofscience.com%2Fwos%2Fwoscc%2Ffull-record%2FWOS:000265524900003","View Full Record in Web of Science")</f>
        <v>View Full Record in Web of Science</v>
      </c>
    </row>
    <row r="228" spans="1:72" x14ac:dyDescent="0.15">
      <c r="A228" t="s">
        <v>72</v>
      </c>
      <c r="B228" t="s">
        <v>4554</v>
      </c>
      <c r="C228" t="s">
        <v>74</v>
      </c>
      <c r="D228" t="s">
        <v>74</v>
      </c>
      <c r="E228" t="s">
        <v>74</v>
      </c>
      <c r="F228" t="s">
        <v>4555</v>
      </c>
      <c r="G228" t="s">
        <v>74</v>
      </c>
      <c r="H228" t="s">
        <v>74</v>
      </c>
      <c r="I228" t="s">
        <v>4556</v>
      </c>
      <c r="J228" t="s">
        <v>1884</v>
      </c>
      <c r="K228" t="s">
        <v>74</v>
      </c>
      <c r="L228" t="s">
        <v>74</v>
      </c>
      <c r="M228" t="s">
        <v>78</v>
      </c>
      <c r="N228" t="s">
        <v>79</v>
      </c>
      <c r="O228" t="s">
        <v>74</v>
      </c>
      <c r="P228" t="s">
        <v>74</v>
      </c>
      <c r="Q228" t="s">
        <v>74</v>
      </c>
      <c r="R228" t="s">
        <v>74</v>
      </c>
      <c r="S228" t="s">
        <v>74</v>
      </c>
      <c r="T228" t="s">
        <v>74</v>
      </c>
      <c r="U228" t="s">
        <v>4557</v>
      </c>
      <c r="V228" t="s">
        <v>4558</v>
      </c>
      <c r="W228" t="s">
        <v>4559</v>
      </c>
      <c r="X228" t="s">
        <v>4560</v>
      </c>
      <c r="Y228" t="s">
        <v>4561</v>
      </c>
      <c r="Z228" t="s">
        <v>4562</v>
      </c>
      <c r="AA228" t="s">
        <v>4563</v>
      </c>
      <c r="AB228" t="s">
        <v>4564</v>
      </c>
      <c r="AC228" t="s">
        <v>74</v>
      </c>
      <c r="AD228" t="s">
        <v>74</v>
      </c>
      <c r="AE228" t="s">
        <v>74</v>
      </c>
      <c r="AF228" t="s">
        <v>74</v>
      </c>
      <c r="AG228">
        <v>37</v>
      </c>
      <c r="AH228">
        <v>68</v>
      </c>
      <c r="AI228">
        <v>73</v>
      </c>
      <c r="AJ228">
        <v>0</v>
      </c>
      <c r="AK228">
        <v>17</v>
      </c>
      <c r="AL228" t="s">
        <v>1398</v>
      </c>
      <c r="AM228" t="s">
        <v>1399</v>
      </c>
      <c r="AN228" t="s">
        <v>1400</v>
      </c>
      <c r="AO228" t="s">
        <v>1896</v>
      </c>
      <c r="AP228" t="s">
        <v>1897</v>
      </c>
      <c r="AQ228" t="s">
        <v>74</v>
      </c>
      <c r="AR228" t="s">
        <v>1898</v>
      </c>
      <c r="AS228" t="s">
        <v>1899</v>
      </c>
      <c r="AT228" t="s">
        <v>3655</v>
      </c>
      <c r="AU228">
        <v>2009</v>
      </c>
      <c r="AV228">
        <v>22</v>
      </c>
      <c r="AW228">
        <v>7</v>
      </c>
      <c r="AX228" t="s">
        <v>74</v>
      </c>
      <c r="AY228" t="s">
        <v>74</v>
      </c>
      <c r="AZ228" t="s">
        <v>74</v>
      </c>
      <c r="BA228" t="s">
        <v>74</v>
      </c>
      <c r="BB228">
        <v>1661</v>
      </c>
      <c r="BC228">
        <v>1681</v>
      </c>
      <c r="BD228" t="s">
        <v>74</v>
      </c>
      <c r="BE228" t="s">
        <v>4565</v>
      </c>
      <c r="BF228" t="str">
        <f>HYPERLINK("http://dx.doi.org/10.1175/2008JCLI2233.1","http://dx.doi.org/10.1175/2008JCLI2233.1")</f>
        <v>http://dx.doi.org/10.1175/2008JCLI2233.1</v>
      </c>
      <c r="BG228" t="s">
        <v>74</v>
      </c>
      <c r="BH228" t="s">
        <v>74</v>
      </c>
      <c r="BI228">
        <v>21</v>
      </c>
      <c r="BJ228" t="s">
        <v>398</v>
      </c>
      <c r="BK228" t="s">
        <v>100</v>
      </c>
      <c r="BL228" t="s">
        <v>398</v>
      </c>
      <c r="BM228" t="s">
        <v>4552</v>
      </c>
      <c r="BN228" t="s">
        <v>74</v>
      </c>
      <c r="BO228" t="s">
        <v>499</v>
      </c>
      <c r="BP228" t="s">
        <v>74</v>
      </c>
      <c r="BQ228" t="s">
        <v>74</v>
      </c>
      <c r="BR228" t="s">
        <v>103</v>
      </c>
      <c r="BS228" t="s">
        <v>4566</v>
      </c>
      <c r="BT228" t="str">
        <f>HYPERLINK("https%3A%2F%2Fwww.webofscience.com%2Fwos%2Fwoscc%2Ffull-record%2FWOS:000265524900005","View Full Record in Web of Science")</f>
        <v>View Full Record in Web of Science</v>
      </c>
    </row>
    <row r="229" spans="1:72" x14ac:dyDescent="0.15">
      <c r="A229" t="s">
        <v>72</v>
      </c>
      <c r="B229" t="s">
        <v>4567</v>
      </c>
      <c r="C229" t="s">
        <v>74</v>
      </c>
      <c r="D229" t="s">
        <v>74</v>
      </c>
      <c r="E229" t="s">
        <v>74</v>
      </c>
      <c r="F229" t="s">
        <v>4568</v>
      </c>
      <c r="G229" t="s">
        <v>74</v>
      </c>
      <c r="H229" t="s">
        <v>74</v>
      </c>
      <c r="I229" t="s">
        <v>4569</v>
      </c>
      <c r="J229" t="s">
        <v>1884</v>
      </c>
      <c r="K229" t="s">
        <v>74</v>
      </c>
      <c r="L229" t="s">
        <v>74</v>
      </c>
      <c r="M229" t="s">
        <v>78</v>
      </c>
      <c r="N229" t="s">
        <v>172</v>
      </c>
      <c r="O229" t="s">
        <v>74</v>
      </c>
      <c r="P229" t="s">
        <v>74</v>
      </c>
      <c r="Q229" t="s">
        <v>74</v>
      </c>
      <c r="R229" t="s">
        <v>74</v>
      </c>
      <c r="S229" t="s">
        <v>74</v>
      </c>
      <c r="T229" t="s">
        <v>74</v>
      </c>
      <c r="U229" t="s">
        <v>4570</v>
      </c>
      <c r="V229" t="s">
        <v>4571</v>
      </c>
      <c r="W229" t="s">
        <v>4572</v>
      </c>
      <c r="X229" t="s">
        <v>4573</v>
      </c>
      <c r="Y229" t="s">
        <v>4574</v>
      </c>
      <c r="Z229" t="s">
        <v>4575</v>
      </c>
      <c r="AA229" t="s">
        <v>4576</v>
      </c>
      <c r="AB229" t="s">
        <v>4577</v>
      </c>
      <c r="AC229" t="s">
        <v>4578</v>
      </c>
      <c r="AD229" t="s">
        <v>4579</v>
      </c>
      <c r="AE229" t="s">
        <v>4580</v>
      </c>
      <c r="AF229" t="s">
        <v>74</v>
      </c>
      <c r="AG229">
        <v>105</v>
      </c>
      <c r="AH229">
        <v>187</v>
      </c>
      <c r="AI229">
        <v>190</v>
      </c>
      <c r="AJ229">
        <v>0</v>
      </c>
      <c r="AK229">
        <v>43</v>
      </c>
      <c r="AL229" t="s">
        <v>1398</v>
      </c>
      <c r="AM229" t="s">
        <v>1399</v>
      </c>
      <c r="AN229" t="s">
        <v>1400</v>
      </c>
      <c r="AO229" t="s">
        <v>1896</v>
      </c>
      <c r="AP229" t="s">
        <v>1897</v>
      </c>
      <c r="AQ229" t="s">
        <v>74</v>
      </c>
      <c r="AR229" t="s">
        <v>1898</v>
      </c>
      <c r="AS229" t="s">
        <v>1899</v>
      </c>
      <c r="AT229" t="s">
        <v>3655</v>
      </c>
      <c r="AU229">
        <v>2009</v>
      </c>
      <c r="AV229">
        <v>22</v>
      </c>
      <c r="AW229">
        <v>8</v>
      </c>
      <c r="AX229" t="s">
        <v>74</v>
      </c>
      <c r="AY229" t="s">
        <v>74</v>
      </c>
      <c r="AZ229" t="s">
        <v>74</v>
      </c>
      <c r="BA229" t="s">
        <v>74</v>
      </c>
      <c r="BB229">
        <v>1861</v>
      </c>
      <c r="BC229">
        <v>1896</v>
      </c>
      <c r="BD229" t="s">
        <v>74</v>
      </c>
      <c r="BE229" t="s">
        <v>4581</v>
      </c>
      <c r="BF229" t="str">
        <f>HYPERLINK("http://dx.doi.org/10.1175/2008JCLI2508.1","http://dx.doi.org/10.1175/2008JCLI2508.1")</f>
        <v>http://dx.doi.org/10.1175/2008JCLI2508.1</v>
      </c>
      <c r="BG229" t="s">
        <v>74</v>
      </c>
      <c r="BH229" t="s">
        <v>74</v>
      </c>
      <c r="BI229">
        <v>36</v>
      </c>
      <c r="BJ229" t="s">
        <v>398</v>
      </c>
      <c r="BK229" t="s">
        <v>100</v>
      </c>
      <c r="BL229" t="s">
        <v>398</v>
      </c>
      <c r="BM229" t="s">
        <v>4582</v>
      </c>
      <c r="BN229" t="s">
        <v>74</v>
      </c>
      <c r="BO229" t="s">
        <v>839</v>
      </c>
      <c r="BP229" t="s">
        <v>74</v>
      </c>
      <c r="BQ229" t="s">
        <v>74</v>
      </c>
      <c r="BR229" t="s">
        <v>103</v>
      </c>
      <c r="BS229" t="s">
        <v>4583</v>
      </c>
      <c r="BT229" t="str">
        <f>HYPERLINK("https%3A%2F%2Fwww.webofscience.com%2Fwos%2Fwoscc%2Ffull-record%2FWOS:000266002800001","View Full Record in Web of Science")</f>
        <v>View Full Record in Web of Science</v>
      </c>
    </row>
    <row r="230" spans="1:72" x14ac:dyDescent="0.15">
      <c r="A230" t="s">
        <v>72</v>
      </c>
      <c r="B230" t="s">
        <v>4584</v>
      </c>
      <c r="C230" t="s">
        <v>74</v>
      </c>
      <c r="D230" t="s">
        <v>74</v>
      </c>
      <c r="E230" t="s">
        <v>74</v>
      </c>
      <c r="F230" t="s">
        <v>4585</v>
      </c>
      <c r="G230" t="s">
        <v>74</v>
      </c>
      <c r="H230" t="s">
        <v>74</v>
      </c>
      <c r="I230" t="s">
        <v>4586</v>
      </c>
      <c r="J230" t="s">
        <v>4587</v>
      </c>
      <c r="K230" t="s">
        <v>74</v>
      </c>
      <c r="L230" t="s">
        <v>74</v>
      </c>
      <c r="M230" t="s">
        <v>78</v>
      </c>
      <c r="N230" t="s">
        <v>79</v>
      </c>
      <c r="O230" t="s">
        <v>74</v>
      </c>
      <c r="P230" t="s">
        <v>74</v>
      </c>
      <c r="Q230" t="s">
        <v>74</v>
      </c>
      <c r="R230" t="s">
        <v>74</v>
      </c>
      <c r="S230" t="s">
        <v>74</v>
      </c>
      <c r="T230" t="s">
        <v>4588</v>
      </c>
      <c r="U230" t="s">
        <v>4589</v>
      </c>
      <c r="V230" t="s">
        <v>4590</v>
      </c>
      <c r="W230" t="s">
        <v>4591</v>
      </c>
      <c r="X230" t="s">
        <v>4592</v>
      </c>
      <c r="Y230" t="s">
        <v>4593</v>
      </c>
      <c r="Z230" t="s">
        <v>4594</v>
      </c>
      <c r="AA230" t="s">
        <v>4595</v>
      </c>
      <c r="AB230" t="s">
        <v>4596</v>
      </c>
      <c r="AC230" t="s">
        <v>4597</v>
      </c>
      <c r="AD230" t="s">
        <v>4598</v>
      </c>
      <c r="AE230" t="s">
        <v>4599</v>
      </c>
      <c r="AF230" t="s">
        <v>74</v>
      </c>
      <c r="AG230">
        <v>41</v>
      </c>
      <c r="AH230">
        <v>34</v>
      </c>
      <c r="AI230">
        <v>44</v>
      </c>
      <c r="AJ230">
        <v>0</v>
      </c>
      <c r="AK230">
        <v>34</v>
      </c>
      <c r="AL230" t="s">
        <v>4600</v>
      </c>
      <c r="AM230" t="s">
        <v>4601</v>
      </c>
      <c r="AN230" t="s">
        <v>4602</v>
      </c>
      <c r="AO230" t="s">
        <v>4603</v>
      </c>
      <c r="AP230" t="s">
        <v>4604</v>
      </c>
      <c r="AQ230" t="s">
        <v>74</v>
      </c>
      <c r="AR230" t="s">
        <v>4605</v>
      </c>
      <c r="AS230" t="s">
        <v>4606</v>
      </c>
      <c r="AT230" t="s">
        <v>3655</v>
      </c>
      <c r="AU230">
        <v>2009</v>
      </c>
      <c r="AV230">
        <v>20</v>
      </c>
      <c r="AW230">
        <v>2</v>
      </c>
      <c r="AX230" t="s">
        <v>74</v>
      </c>
      <c r="AY230" t="s">
        <v>74</v>
      </c>
      <c r="AZ230" t="s">
        <v>74</v>
      </c>
      <c r="BA230" t="s">
        <v>74</v>
      </c>
      <c r="BB230">
        <v>430</v>
      </c>
      <c r="BC230">
        <v>437</v>
      </c>
      <c r="BD230" t="s">
        <v>74</v>
      </c>
      <c r="BE230" t="s">
        <v>4607</v>
      </c>
      <c r="BF230" t="str">
        <f>HYPERLINK("http://dx.doi.org/10.1007/s12583-009-0035-y","http://dx.doi.org/10.1007/s12583-009-0035-y")</f>
        <v>http://dx.doi.org/10.1007/s12583-009-0035-y</v>
      </c>
      <c r="BG230" t="s">
        <v>74</v>
      </c>
      <c r="BH230" t="s">
        <v>74</v>
      </c>
      <c r="BI230">
        <v>8</v>
      </c>
      <c r="BJ230" t="s">
        <v>496</v>
      </c>
      <c r="BK230" t="s">
        <v>100</v>
      </c>
      <c r="BL230" t="s">
        <v>497</v>
      </c>
      <c r="BM230" t="s">
        <v>4608</v>
      </c>
      <c r="BN230" t="s">
        <v>74</v>
      </c>
      <c r="BO230" t="s">
        <v>74</v>
      </c>
      <c r="BP230" t="s">
        <v>74</v>
      </c>
      <c r="BQ230" t="s">
        <v>74</v>
      </c>
      <c r="BR230" t="s">
        <v>103</v>
      </c>
      <c r="BS230" t="s">
        <v>4609</v>
      </c>
      <c r="BT230" t="str">
        <f>HYPERLINK("https%3A%2F%2Fwww.webofscience.com%2Fwos%2Fwoscc%2Ffull-record%2FWOS:000265653900016","View Full Record in Web of Science")</f>
        <v>View Full Record in Web of Science</v>
      </c>
    </row>
    <row r="231" spans="1:72" x14ac:dyDescent="0.15">
      <c r="A231" t="s">
        <v>72</v>
      </c>
      <c r="B231" t="s">
        <v>4610</v>
      </c>
      <c r="C231" t="s">
        <v>74</v>
      </c>
      <c r="D231" t="s">
        <v>74</v>
      </c>
      <c r="E231" t="s">
        <v>74</v>
      </c>
      <c r="F231" t="s">
        <v>4611</v>
      </c>
      <c r="G231" t="s">
        <v>74</v>
      </c>
      <c r="H231" t="s">
        <v>74</v>
      </c>
      <c r="I231" t="s">
        <v>4612</v>
      </c>
      <c r="J231" t="s">
        <v>4613</v>
      </c>
      <c r="K231" t="s">
        <v>74</v>
      </c>
      <c r="L231" t="s">
        <v>74</v>
      </c>
      <c r="M231" t="s">
        <v>78</v>
      </c>
      <c r="N231" t="s">
        <v>79</v>
      </c>
      <c r="O231" t="s">
        <v>74</v>
      </c>
      <c r="P231" t="s">
        <v>74</v>
      </c>
      <c r="Q231" t="s">
        <v>74</v>
      </c>
      <c r="R231" t="s">
        <v>74</v>
      </c>
      <c r="S231" t="s">
        <v>74</v>
      </c>
      <c r="T231" t="s">
        <v>4614</v>
      </c>
      <c r="U231" t="s">
        <v>4615</v>
      </c>
      <c r="V231" t="s">
        <v>4616</v>
      </c>
      <c r="W231" t="s">
        <v>4617</v>
      </c>
      <c r="X231" t="s">
        <v>3127</v>
      </c>
      <c r="Y231" t="s">
        <v>4618</v>
      </c>
      <c r="Z231" t="s">
        <v>4619</v>
      </c>
      <c r="AA231" t="s">
        <v>4620</v>
      </c>
      <c r="AB231" t="s">
        <v>4621</v>
      </c>
      <c r="AC231" t="s">
        <v>74</v>
      </c>
      <c r="AD231" t="s">
        <v>74</v>
      </c>
      <c r="AE231" t="s">
        <v>74</v>
      </c>
      <c r="AF231" t="s">
        <v>74</v>
      </c>
      <c r="AG231">
        <v>58</v>
      </c>
      <c r="AH231">
        <v>58</v>
      </c>
      <c r="AI231">
        <v>65</v>
      </c>
      <c r="AJ231">
        <v>2</v>
      </c>
      <c r="AK231">
        <v>37</v>
      </c>
      <c r="AL231" t="s">
        <v>303</v>
      </c>
      <c r="AM231" t="s">
        <v>304</v>
      </c>
      <c r="AN231" t="s">
        <v>305</v>
      </c>
      <c r="AO231" t="s">
        <v>4622</v>
      </c>
      <c r="AP231" t="s">
        <v>4623</v>
      </c>
      <c r="AQ231" t="s">
        <v>74</v>
      </c>
      <c r="AR231" t="s">
        <v>4624</v>
      </c>
      <c r="AS231" t="s">
        <v>4625</v>
      </c>
      <c r="AT231" t="s">
        <v>3655</v>
      </c>
      <c r="AU231">
        <v>2009</v>
      </c>
      <c r="AV231">
        <v>55</v>
      </c>
      <c r="AW231">
        <v>4</v>
      </c>
      <c r="AX231" t="s">
        <v>74</v>
      </c>
      <c r="AY231" t="s">
        <v>74</v>
      </c>
      <c r="AZ231" t="s">
        <v>74</v>
      </c>
      <c r="BA231" t="s">
        <v>74</v>
      </c>
      <c r="BB231">
        <v>336</v>
      </c>
      <c r="BC231">
        <v>343</v>
      </c>
      <c r="BD231" t="s">
        <v>74</v>
      </c>
      <c r="BE231" t="s">
        <v>4626</v>
      </c>
      <c r="BF231" t="str">
        <f>HYPERLINK("http://dx.doi.org/10.1016/j.jinsphys.2008.11.016","http://dx.doi.org/10.1016/j.jinsphys.2008.11.016")</f>
        <v>http://dx.doi.org/10.1016/j.jinsphys.2008.11.016</v>
      </c>
      <c r="BG231" t="s">
        <v>74</v>
      </c>
      <c r="BH231" t="s">
        <v>74</v>
      </c>
      <c r="BI231">
        <v>8</v>
      </c>
      <c r="BJ231" t="s">
        <v>4627</v>
      </c>
      <c r="BK231" t="s">
        <v>100</v>
      </c>
      <c r="BL231" t="s">
        <v>4627</v>
      </c>
      <c r="BM231" t="s">
        <v>4628</v>
      </c>
      <c r="BN231">
        <v>19171152</v>
      </c>
      <c r="BO231" t="s">
        <v>74</v>
      </c>
      <c r="BP231" t="s">
        <v>74</v>
      </c>
      <c r="BQ231" t="s">
        <v>74</v>
      </c>
      <c r="BR231" t="s">
        <v>103</v>
      </c>
      <c r="BS231" t="s">
        <v>4629</v>
      </c>
      <c r="BT231" t="str">
        <f>HYPERLINK("https%3A%2F%2Fwww.webofscience.com%2Fwos%2Fwoscc%2Ffull-record%2FWOS:000264666700007","View Full Record in Web of Science")</f>
        <v>View Full Record in Web of Science</v>
      </c>
    </row>
    <row r="232" spans="1:72" x14ac:dyDescent="0.15">
      <c r="A232" t="s">
        <v>72</v>
      </c>
      <c r="B232" t="s">
        <v>4630</v>
      </c>
      <c r="C232" t="s">
        <v>74</v>
      </c>
      <c r="D232" t="s">
        <v>74</v>
      </c>
      <c r="E232" t="s">
        <v>74</v>
      </c>
      <c r="F232" t="s">
        <v>4631</v>
      </c>
      <c r="G232" t="s">
        <v>74</v>
      </c>
      <c r="H232" t="s">
        <v>74</v>
      </c>
      <c r="I232" t="s">
        <v>4632</v>
      </c>
      <c r="J232" t="s">
        <v>4633</v>
      </c>
      <c r="K232" t="s">
        <v>74</v>
      </c>
      <c r="L232" t="s">
        <v>74</v>
      </c>
      <c r="M232" t="s">
        <v>78</v>
      </c>
      <c r="N232" t="s">
        <v>79</v>
      </c>
      <c r="O232" t="s">
        <v>74</v>
      </c>
      <c r="P232" t="s">
        <v>74</v>
      </c>
      <c r="Q232" t="s">
        <v>74</v>
      </c>
      <c r="R232" t="s">
        <v>74</v>
      </c>
      <c r="S232" t="s">
        <v>74</v>
      </c>
      <c r="T232" t="s">
        <v>4634</v>
      </c>
      <c r="U232" t="s">
        <v>4635</v>
      </c>
      <c r="V232" t="s">
        <v>4636</v>
      </c>
      <c r="W232" t="s">
        <v>4637</v>
      </c>
      <c r="X232" t="s">
        <v>4638</v>
      </c>
      <c r="Y232" t="s">
        <v>4639</v>
      </c>
      <c r="Z232" t="s">
        <v>4640</v>
      </c>
      <c r="AA232" t="s">
        <v>4641</v>
      </c>
      <c r="AB232" t="s">
        <v>4642</v>
      </c>
      <c r="AC232" t="s">
        <v>4643</v>
      </c>
      <c r="AD232" t="s">
        <v>4644</v>
      </c>
      <c r="AE232" t="s">
        <v>4645</v>
      </c>
      <c r="AF232" t="s">
        <v>74</v>
      </c>
      <c r="AG232">
        <v>62</v>
      </c>
      <c r="AH232">
        <v>69</v>
      </c>
      <c r="AI232">
        <v>78</v>
      </c>
      <c r="AJ232">
        <v>0</v>
      </c>
      <c r="AK232">
        <v>27</v>
      </c>
      <c r="AL232" t="s">
        <v>553</v>
      </c>
      <c r="AM232" t="s">
        <v>252</v>
      </c>
      <c r="AN232" t="s">
        <v>554</v>
      </c>
      <c r="AO232" t="s">
        <v>4646</v>
      </c>
      <c r="AP232" t="s">
        <v>74</v>
      </c>
      <c r="AQ232" t="s">
        <v>74</v>
      </c>
      <c r="AR232" t="s">
        <v>4647</v>
      </c>
      <c r="AS232" t="s">
        <v>4648</v>
      </c>
      <c r="AT232" t="s">
        <v>3655</v>
      </c>
      <c r="AU232">
        <v>2009</v>
      </c>
      <c r="AV232">
        <v>77</v>
      </c>
      <c r="AW232" t="s">
        <v>972</v>
      </c>
      <c r="AX232" t="s">
        <v>74</v>
      </c>
      <c r="AY232" t="s">
        <v>74</v>
      </c>
      <c r="AZ232" t="s">
        <v>74</v>
      </c>
      <c r="BA232" t="s">
        <v>74</v>
      </c>
      <c r="BB232">
        <v>21</v>
      </c>
      <c r="BC232">
        <v>44</v>
      </c>
      <c r="BD232" t="s">
        <v>74</v>
      </c>
      <c r="BE232" t="s">
        <v>4649</v>
      </c>
      <c r="BF232" t="str">
        <f>HYPERLINK("http://dx.doi.org/10.1016/j.jmarsys.2008.11.008","http://dx.doi.org/10.1016/j.jmarsys.2008.11.008")</f>
        <v>http://dx.doi.org/10.1016/j.jmarsys.2008.11.008</v>
      </c>
      <c r="BG232" t="s">
        <v>74</v>
      </c>
      <c r="BH232" t="s">
        <v>74</v>
      </c>
      <c r="BI232">
        <v>24</v>
      </c>
      <c r="BJ232" t="s">
        <v>4650</v>
      </c>
      <c r="BK232" t="s">
        <v>100</v>
      </c>
      <c r="BL232" t="s">
        <v>4651</v>
      </c>
      <c r="BM232" t="s">
        <v>4652</v>
      </c>
      <c r="BN232" t="s">
        <v>74</v>
      </c>
      <c r="BO232" t="s">
        <v>74</v>
      </c>
      <c r="BP232" t="s">
        <v>74</v>
      </c>
      <c r="BQ232" t="s">
        <v>74</v>
      </c>
      <c r="BR232" t="s">
        <v>103</v>
      </c>
      <c r="BS232" t="s">
        <v>4653</v>
      </c>
      <c r="BT232" t="str">
        <f>HYPERLINK("https%3A%2F%2Fwww.webofscience.com%2Fwos%2Fwoscc%2Ffull-record%2FWOS:000265806800002","View Full Record in Web of Science")</f>
        <v>View Full Record in Web of Science</v>
      </c>
    </row>
    <row r="233" spans="1:72" x14ac:dyDescent="0.15">
      <c r="A233" t="s">
        <v>72</v>
      </c>
      <c r="B233" t="s">
        <v>4654</v>
      </c>
      <c r="C233" t="s">
        <v>74</v>
      </c>
      <c r="D233" t="s">
        <v>74</v>
      </c>
      <c r="E233" t="s">
        <v>74</v>
      </c>
      <c r="F233" t="s">
        <v>4655</v>
      </c>
      <c r="G233" t="s">
        <v>74</v>
      </c>
      <c r="H233" t="s">
        <v>74</v>
      </c>
      <c r="I233" t="s">
        <v>4656</v>
      </c>
      <c r="J233" t="s">
        <v>4657</v>
      </c>
      <c r="K233" t="s">
        <v>74</v>
      </c>
      <c r="L233" t="s">
        <v>74</v>
      </c>
      <c r="M233" t="s">
        <v>78</v>
      </c>
      <c r="N233" t="s">
        <v>79</v>
      </c>
      <c r="O233" t="s">
        <v>74</v>
      </c>
      <c r="P233" t="s">
        <v>74</v>
      </c>
      <c r="Q233" t="s">
        <v>74</v>
      </c>
      <c r="R233" t="s">
        <v>74</v>
      </c>
      <c r="S233" t="s">
        <v>74</v>
      </c>
      <c r="T233" t="s">
        <v>4658</v>
      </c>
      <c r="U233" t="s">
        <v>4659</v>
      </c>
      <c r="V233" t="s">
        <v>4660</v>
      </c>
      <c r="W233" t="s">
        <v>4661</v>
      </c>
      <c r="X233" t="s">
        <v>4662</v>
      </c>
      <c r="Y233" t="s">
        <v>4663</v>
      </c>
      <c r="Z233" t="s">
        <v>4664</v>
      </c>
      <c r="AA233" t="s">
        <v>74</v>
      </c>
      <c r="AB233" t="s">
        <v>74</v>
      </c>
      <c r="AC233" t="s">
        <v>74</v>
      </c>
      <c r="AD233" t="s">
        <v>74</v>
      </c>
      <c r="AE233" t="s">
        <v>74</v>
      </c>
      <c r="AF233" t="s">
        <v>74</v>
      </c>
      <c r="AG233">
        <v>33</v>
      </c>
      <c r="AH233">
        <v>15</v>
      </c>
      <c r="AI233">
        <v>19</v>
      </c>
      <c r="AJ233">
        <v>1</v>
      </c>
      <c r="AK233">
        <v>10</v>
      </c>
      <c r="AL233" t="s">
        <v>91</v>
      </c>
      <c r="AM233" t="s">
        <v>374</v>
      </c>
      <c r="AN233" t="s">
        <v>375</v>
      </c>
      <c r="AO233" t="s">
        <v>4665</v>
      </c>
      <c r="AP233" t="s">
        <v>4666</v>
      </c>
      <c r="AQ233" t="s">
        <v>74</v>
      </c>
      <c r="AR233" t="s">
        <v>4667</v>
      </c>
      <c r="AS233" t="s">
        <v>4668</v>
      </c>
      <c r="AT233" t="s">
        <v>3655</v>
      </c>
      <c r="AU233">
        <v>2009</v>
      </c>
      <c r="AV233">
        <v>65</v>
      </c>
      <c r="AW233">
        <v>2</v>
      </c>
      <c r="AX233" t="s">
        <v>74</v>
      </c>
      <c r="AY233" t="s">
        <v>74</v>
      </c>
      <c r="AZ233" t="s">
        <v>74</v>
      </c>
      <c r="BA233" t="s">
        <v>74</v>
      </c>
      <c r="BB233">
        <v>235</v>
      </c>
      <c r="BC233">
        <v>244</v>
      </c>
      <c r="BD233" t="s">
        <v>74</v>
      </c>
      <c r="BE233" t="s">
        <v>4669</v>
      </c>
      <c r="BF233" t="str">
        <f>HYPERLINK("http://dx.doi.org/10.1007/s10872-009-0022-z","http://dx.doi.org/10.1007/s10872-009-0022-z")</f>
        <v>http://dx.doi.org/10.1007/s10872-009-0022-z</v>
      </c>
      <c r="BG233" t="s">
        <v>74</v>
      </c>
      <c r="BH233" t="s">
        <v>74</v>
      </c>
      <c r="BI233">
        <v>10</v>
      </c>
      <c r="BJ233" t="s">
        <v>689</v>
      </c>
      <c r="BK233" t="s">
        <v>100</v>
      </c>
      <c r="BL233" t="s">
        <v>689</v>
      </c>
      <c r="BM233" t="s">
        <v>4670</v>
      </c>
      <c r="BN233" t="s">
        <v>74</v>
      </c>
      <c r="BO233" t="s">
        <v>74</v>
      </c>
      <c r="BP233" t="s">
        <v>74</v>
      </c>
      <c r="BQ233" t="s">
        <v>74</v>
      </c>
      <c r="BR233" t="s">
        <v>103</v>
      </c>
      <c r="BS233" t="s">
        <v>4671</v>
      </c>
      <c r="BT233" t="str">
        <f>HYPERLINK("https%3A%2F%2Fwww.webofscience.com%2Fwos%2Fwoscc%2Ffull-record%2FWOS:000263978200009","View Full Record in Web of Science")</f>
        <v>View Full Record in Web of Science</v>
      </c>
    </row>
    <row r="234" spans="1:72" x14ac:dyDescent="0.15">
      <c r="A234" t="s">
        <v>72</v>
      </c>
      <c r="B234" t="s">
        <v>4672</v>
      </c>
      <c r="C234" t="s">
        <v>74</v>
      </c>
      <c r="D234" t="s">
        <v>74</v>
      </c>
      <c r="E234" t="s">
        <v>74</v>
      </c>
      <c r="F234" t="s">
        <v>4673</v>
      </c>
      <c r="G234" t="s">
        <v>74</v>
      </c>
      <c r="H234" t="s">
        <v>74</v>
      </c>
      <c r="I234" t="s">
        <v>4674</v>
      </c>
      <c r="J234" t="s">
        <v>4675</v>
      </c>
      <c r="K234" t="s">
        <v>74</v>
      </c>
      <c r="L234" t="s">
        <v>74</v>
      </c>
      <c r="M234" t="s">
        <v>78</v>
      </c>
      <c r="N234" t="s">
        <v>172</v>
      </c>
      <c r="O234" t="s">
        <v>74</v>
      </c>
      <c r="P234" t="s">
        <v>74</v>
      </c>
      <c r="Q234" t="s">
        <v>74</v>
      </c>
      <c r="R234" t="s">
        <v>74</v>
      </c>
      <c r="S234" t="s">
        <v>74</v>
      </c>
      <c r="T234" t="s">
        <v>4676</v>
      </c>
      <c r="U234" t="s">
        <v>4677</v>
      </c>
      <c r="V234" t="s">
        <v>4678</v>
      </c>
      <c r="W234" t="s">
        <v>4679</v>
      </c>
      <c r="X234" t="s">
        <v>4680</v>
      </c>
      <c r="Y234" t="s">
        <v>4681</v>
      </c>
      <c r="Z234" t="s">
        <v>4682</v>
      </c>
      <c r="AA234" t="s">
        <v>4683</v>
      </c>
      <c r="AB234" t="s">
        <v>4684</v>
      </c>
      <c r="AC234" t="s">
        <v>4685</v>
      </c>
      <c r="AD234" t="s">
        <v>4686</v>
      </c>
      <c r="AE234" t="s">
        <v>4687</v>
      </c>
      <c r="AF234" t="s">
        <v>74</v>
      </c>
      <c r="AG234">
        <v>102</v>
      </c>
      <c r="AH234">
        <v>32</v>
      </c>
      <c r="AI234">
        <v>35</v>
      </c>
      <c r="AJ234">
        <v>3</v>
      </c>
      <c r="AK234">
        <v>51</v>
      </c>
      <c r="AL234" t="s">
        <v>1947</v>
      </c>
      <c r="AM234" t="s">
        <v>1948</v>
      </c>
      <c r="AN234" t="s">
        <v>1949</v>
      </c>
      <c r="AO234" t="s">
        <v>4688</v>
      </c>
      <c r="AP234" t="s">
        <v>4689</v>
      </c>
      <c r="AQ234" t="s">
        <v>74</v>
      </c>
      <c r="AR234" t="s">
        <v>4690</v>
      </c>
      <c r="AS234" t="s">
        <v>4691</v>
      </c>
      <c r="AT234" t="s">
        <v>3655</v>
      </c>
      <c r="AU234">
        <v>2009</v>
      </c>
      <c r="AV234">
        <v>150</v>
      </c>
      <c r="AW234">
        <v>2</v>
      </c>
      <c r="AX234" t="s">
        <v>74</v>
      </c>
      <c r="AY234" t="s">
        <v>74</v>
      </c>
      <c r="AZ234" t="s">
        <v>74</v>
      </c>
      <c r="BA234" t="s">
        <v>74</v>
      </c>
      <c r="BB234">
        <v>469</v>
      </c>
      <c r="BC234">
        <v>481</v>
      </c>
      <c r="BD234" t="s">
        <v>74</v>
      </c>
      <c r="BE234" t="s">
        <v>4692</v>
      </c>
      <c r="BF234" t="str">
        <f>HYPERLINK("http://dx.doi.org/10.1007/s10336-008-0365-z","http://dx.doi.org/10.1007/s10336-008-0365-z")</f>
        <v>http://dx.doi.org/10.1007/s10336-008-0365-z</v>
      </c>
      <c r="BG234" t="s">
        <v>74</v>
      </c>
      <c r="BH234" t="s">
        <v>74</v>
      </c>
      <c r="BI234">
        <v>13</v>
      </c>
      <c r="BJ234" t="s">
        <v>1854</v>
      </c>
      <c r="BK234" t="s">
        <v>100</v>
      </c>
      <c r="BL234" t="s">
        <v>908</v>
      </c>
      <c r="BM234" t="s">
        <v>4693</v>
      </c>
      <c r="BN234" t="s">
        <v>74</v>
      </c>
      <c r="BO234" t="s">
        <v>74</v>
      </c>
      <c r="BP234" t="s">
        <v>74</v>
      </c>
      <c r="BQ234" t="s">
        <v>74</v>
      </c>
      <c r="BR234" t="s">
        <v>103</v>
      </c>
      <c r="BS234" t="s">
        <v>4694</v>
      </c>
      <c r="BT234" t="str">
        <f>HYPERLINK("https%3A%2F%2Fwww.webofscience.com%2Fwos%2Fwoscc%2Ffull-record%2FWOS:000264043500015","View Full Record in Web of Science")</f>
        <v>View Full Record in Web of Science</v>
      </c>
    </row>
    <row r="235" spans="1:72" x14ac:dyDescent="0.15">
      <c r="A235" t="s">
        <v>72</v>
      </c>
      <c r="B235" t="s">
        <v>4695</v>
      </c>
      <c r="C235" t="s">
        <v>74</v>
      </c>
      <c r="D235" t="s">
        <v>74</v>
      </c>
      <c r="E235" t="s">
        <v>74</v>
      </c>
      <c r="F235" t="s">
        <v>4696</v>
      </c>
      <c r="G235" t="s">
        <v>74</v>
      </c>
      <c r="H235" t="s">
        <v>74</v>
      </c>
      <c r="I235" t="s">
        <v>4697</v>
      </c>
      <c r="J235" t="s">
        <v>4698</v>
      </c>
      <c r="K235" t="s">
        <v>74</v>
      </c>
      <c r="L235" t="s">
        <v>74</v>
      </c>
      <c r="M235" t="s">
        <v>78</v>
      </c>
      <c r="N235" t="s">
        <v>79</v>
      </c>
      <c r="O235" t="s">
        <v>74</v>
      </c>
      <c r="P235" t="s">
        <v>74</v>
      </c>
      <c r="Q235" t="s">
        <v>74</v>
      </c>
      <c r="R235" t="s">
        <v>74</v>
      </c>
      <c r="S235" t="s">
        <v>74</v>
      </c>
      <c r="T235" t="s">
        <v>74</v>
      </c>
      <c r="U235" t="s">
        <v>4699</v>
      </c>
      <c r="V235" t="s">
        <v>4700</v>
      </c>
      <c r="W235" t="s">
        <v>4701</v>
      </c>
      <c r="X235" t="s">
        <v>4702</v>
      </c>
      <c r="Y235" t="s">
        <v>4703</v>
      </c>
      <c r="Z235" t="s">
        <v>4704</v>
      </c>
      <c r="AA235" t="s">
        <v>74</v>
      </c>
      <c r="AB235" t="s">
        <v>74</v>
      </c>
      <c r="AC235" t="s">
        <v>4705</v>
      </c>
      <c r="AD235" t="s">
        <v>4706</v>
      </c>
      <c r="AE235" t="s">
        <v>4707</v>
      </c>
      <c r="AF235" t="s">
        <v>74</v>
      </c>
      <c r="AG235">
        <v>34</v>
      </c>
      <c r="AH235">
        <v>22</v>
      </c>
      <c r="AI235">
        <v>24</v>
      </c>
      <c r="AJ235">
        <v>0</v>
      </c>
      <c r="AK235">
        <v>4</v>
      </c>
      <c r="AL235" t="s">
        <v>1398</v>
      </c>
      <c r="AM235" t="s">
        <v>1399</v>
      </c>
      <c r="AN235" t="s">
        <v>1400</v>
      </c>
      <c r="AO235" t="s">
        <v>4708</v>
      </c>
      <c r="AP235" t="s">
        <v>4709</v>
      </c>
      <c r="AQ235" t="s">
        <v>74</v>
      </c>
      <c r="AR235" t="s">
        <v>4710</v>
      </c>
      <c r="AS235" t="s">
        <v>4711</v>
      </c>
      <c r="AT235" t="s">
        <v>3655</v>
      </c>
      <c r="AU235">
        <v>2009</v>
      </c>
      <c r="AV235">
        <v>39</v>
      </c>
      <c r="AW235">
        <v>4</v>
      </c>
      <c r="AX235" t="s">
        <v>74</v>
      </c>
      <c r="AY235" t="s">
        <v>74</v>
      </c>
      <c r="AZ235" t="s">
        <v>74</v>
      </c>
      <c r="BA235" t="s">
        <v>74</v>
      </c>
      <c r="BB235">
        <v>986</v>
      </c>
      <c r="BC235">
        <v>1002</v>
      </c>
      <c r="BD235" t="s">
        <v>74</v>
      </c>
      <c r="BE235" t="s">
        <v>4712</v>
      </c>
      <c r="BF235" t="str">
        <f>HYPERLINK("http://dx.doi.org/10.1175/2008JPO4023.1","http://dx.doi.org/10.1175/2008JPO4023.1")</f>
        <v>http://dx.doi.org/10.1175/2008JPO4023.1</v>
      </c>
      <c r="BG235" t="s">
        <v>74</v>
      </c>
      <c r="BH235" t="s">
        <v>74</v>
      </c>
      <c r="BI235">
        <v>17</v>
      </c>
      <c r="BJ235" t="s">
        <v>689</v>
      </c>
      <c r="BK235" t="s">
        <v>100</v>
      </c>
      <c r="BL235" t="s">
        <v>689</v>
      </c>
      <c r="BM235" t="s">
        <v>4713</v>
      </c>
      <c r="BN235" t="s">
        <v>74</v>
      </c>
      <c r="BO235" t="s">
        <v>4714</v>
      </c>
      <c r="BP235" t="s">
        <v>74</v>
      </c>
      <c r="BQ235" t="s">
        <v>74</v>
      </c>
      <c r="BR235" t="s">
        <v>103</v>
      </c>
      <c r="BS235" t="s">
        <v>4715</v>
      </c>
      <c r="BT235" t="str">
        <f>HYPERLINK("https%3A%2F%2Fwww.webofscience.com%2Fwos%2Fwoscc%2Ffull-record%2FWOS:000265639700010","View Full Record in Web of Science")</f>
        <v>View Full Record in Web of Science</v>
      </c>
    </row>
    <row r="236" spans="1:72" x14ac:dyDescent="0.15">
      <c r="A236" t="s">
        <v>72</v>
      </c>
      <c r="B236" t="s">
        <v>4716</v>
      </c>
      <c r="C236" t="s">
        <v>74</v>
      </c>
      <c r="D236" t="s">
        <v>74</v>
      </c>
      <c r="E236" t="s">
        <v>74</v>
      </c>
      <c r="F236" t="s">
        <v>4717</v>
      </c>
      <c r="G236" t="s">
        <v>74</v>
      </c>
      <c r="H236" t="s">
        <v>74</v>
      </c>
      <c r="I236" t="s">
        <v>4718</v>
      </c>
      <c r="J236" t="s">
        <v>4719</v>
      </c>
      <c r="K236" t="s">
        <v>74</v>
      </c>
      <c r="L236" t="s">
        <v>74</v>
      </c>
      <c r="M236" t="s">
        <v>78</v>
      </c>
      <c r="N236" t="s">
        <v>79</v>
      </c>
      <c r="O236" t="s">
        <v>74</v>
      </c>
      <c r="P236" t="s">
        <v>74</v>
      </c>
      <c r="Q236" t="s">
        <v>74</v>
      </c>
      <c r="R236" t="s">
        <v>74</v>
      </c>
      <c r="S236" t="s">
        <v>74</v>
      </c>
      <c r="T236" t="s">
        <v>4720</v>
      </c>
      <c r="U236" t="s">
        <v>4721</v>
      </c>
      <c r="V236" t="s">
        <v>4722</v>
      </c>
      <c r="W236" t="s">
        <v>4723</v>
      </c>
      <c r="X236" t="s">
        <v>4724</v>
      </c>
      <c r="Y236" t="s">
        <v>4725</v>
      </c>
      <c r="Z236" t="s">
        <v>4726</v>
      </c>
      <c r="AA236" t="s">
        <v>4727</v>
      </c>
      <c r="AB236" t="s">
        <v>4728</v>
      </c>
      <c r="AC236" t="s">
        <v>4729</v>
      </c>
      <c r="AD236" t="s">
        <v>4730</v>
      </c>
      <c r="AE236" t="s">
        <v>4731</v>
      </c>
      <c r="AF236" t="s">
        <v>74</v>
      </c>
      <c r="AG236">
        <v>46</v>
      </c>
      <c r="AH236">
        <v>27</v>
      </c>
      <c r="AI236">
        <v>28</v>
      </c>
      <c r="AJ236">
        <v>0</v>
      </c>
      <c r="AK236">
        <v>9</v>
      </c>
      <c r="AL236" t="s">
        <v>303</v>
      </c>
      <c r="AM236" t="s">
        <v>304</v>
      </c>
      <c r="AN236" t="s">
        <v>305</v>
      </c>
      <c r="AO236" t="s">
        <v>4732</v>
      </c>
      <c r="AP236" t="s">
        <v>74</v>
      </c>
      <c r="AQ236" t="s">
        <v>74</v>
      </c>
      <c r="AR236" t="s">
        <v>4733</v>
      </c>
      <c r="AS236" t="s">
        <v>4734</v>
      </c>
      <c r="AT236" t="s">
        <v>3655</v>
      </c>
      <c r="AU236">
        <v>2009</v>
      </c>
      <c r="AV236">
        <v>27</v>
      </c>
      <c r="AW236">
        <v>4</v>
      </c>
      <c r="AX236" t="s">
        <v>74</v>
      </c>
      <c r="AY236" t="s">
        <v>74</v>
      </c>
      <c r="AZ236" t="s">
        <v>2297</v>
      </c>
      <c r="BA236" t="s">
        <v>74</v>
      </c>
      <c r="BB236">
        <v>309</v>
      </c>
      <c r="BC236">
        <v>325</v>
      </c>
      <c r="BD236" t="s">
        <v>74</v>
      </c>
      <c r="BE236" t="s">
        <v>4735</v>
      </c>
      <c r="BF236" t="str">
        <f>HYPERLINK("http://dx.doi.org/10.1016/j.jsames.2008.11.009","http://dx.doi.org/10.1016/j.jsames.2008.11.009")</f>
        <v>http://dx.doi.org/10.1016/j.jsames.2008.11.009</v>
      </c>
      <c r="BG236" t="s">
        <v>74</v>
      </c>
      <c r="BH236" t="s">
        <v>74</v>
      </c>
      <c r="BI236">
        <v>17</v>
      </c>
      <c r="BJ236" t="s">
        <v>496</v>
      </c>
      <c r="BK236" t="s">
        <v>100</v>
      </c>
      <c r="BL236" t="s">
        <v>497</v>
      </c>
      <c r="BM236" t="s">
        <v>4736</v>
      </c>
      <c r="BN236" t="s">
        <v>74</v>
      </c>
      <c r="BO236" t="s">
        <v>217</v>
      </c>
      <c r="BP236" t="s">
        <v>74</v>
      </c>
      <c r="BQ236" t="s">
        <v>74</v>
      </c>
      <c r="BR236" t="s">
        <v>103</v>
      </c>
      <c r="BS236" t="s">
        <v>4737</v>
      </c>
      <c r="BT236" t="str">
        <f>HYPERLINK("https%3A%2F%2Fwww.webofscience.com%2Fwos%2Fwoscc%2Ffull-record%2FWOS:000266672900006","View Full Record in Web of Science")</f>
        <v>View Full Record in Web of Science</v>
      </c>
    </row>
    <row r="237" spans="1:72" x14ac:dyDescent="0.15">
      <c r="A237" t="s">
        <v>72</v>
      </c>
      <c r="B237" t="s">
        <v>4738</v>
      </c>
      <c r="C237" t="s">
        <v>74</v>
      </c>
      <c r="D237" t="s">
        <v>74</v>
      </c>
      <c r="E237" t="s">
        <v>74</v>
      </c>
      <c r="F237" t="s">
        <v>4739</v>
      </c>
      <c r="G237" t="s">
        <v>74</v>
      </c>
      <c r="H237" t="s">
        <v>74</v>
      </c>
      <c r="I237" t="s">
        <v>4740</v>
      </c>
      <c r="J237" t="s">
        <v>4741</v>
      </c>
      <c r="K237" t="s">
        <v>74</v>
      </c>
      <c r="L237" t="s">
        <v>74</v>
      </c>
      <c r="M237" t="s">
        <v>78</v>
      </c>
      <c r="N237" t="s">
        <v>172</v>
      </c>
      <c r="O237" t="s">
        <v>74</v>
      </c>
      <c r="P237" t="s">
        <v>74</v>
      </c>
      <c r="Q237" t="s">
        <v>74</v>
      </c>
      <c r="R237" t="s">
        <v>74</v>
      </c>
      <c r="S237" t="s">
        <v>74</v>
      </c>
      <c r="T237" t="s">
        <v>4742</v>
      </c>
      <c r="U237" t="s">
        <v>4743</v>
      </c>
      <c r="V237" t="s">
        <v>4744</v>
      </c>
      <c r="W237" t="s">
        <v>4745</v>
      </c>
      <c r="X237" t="s">
        <v>4746</v>
      </c>
      <c r="Y237" t="s">
        <v>4747</v>
      </c>
      <c r="Z237" t="s">
        <v>4748</v>
      </c>
      <c r="AA237" t="s">
        <v>74</v>
      </c>
      <c r="AB237" t="s">
        <v>74</v>
      </c>
      <c r="AC237" t="s">
        <v>74</v>
      </c>
      <c r="AD237" t="s">
        <v>74</v>
      </c>
      <c r="AE237" t="s">
        <v>74</v>
      </c>
      <c r="AF237" t="s">
        <v>74</v>
      </c>
      <c r="AG237">
        <v>153</v>
      </c>
      <c r="AH237">
        <v>70</v>
      </c>
      <c r="AI237">
        <v>73</v>
      </c>
      <c r="AJ237">
        <v>0</v>
      </c>
      <c r="AK237">
        <v>6</v>
      </c>
      <c r="AL237" t="s">
        <v>4749</v>
      </c>
      <c r="AM237" t="s">
        <v>4750</v>
      </c>
      <c r="AN237" t="s">
        <v>4751</v>
      </c>
      <c r="AO237" t="s">
        <v>4752</v>
      </c>
      <c r="AP237" t="s">
        <v>4753</v>
      </c>
      <c r="AQ237" t="s">
        <v>74</v>
      </c>
      <c r="AR237" t="s">
        <v>4754</v>
      </c>
      <c r="AS237" t="s">
        <v>4755</v>
      </c>
      <c r="AT237" t="s">
        <v>3655</v>
      </c>
      <c r="AU237">
        <v>2009</v>
      </c>
      <c r="AV237">
        <v>73</v>
      </c>
      <c r="AW237">
        <v>4</v>
      </c>
      <c r="AX237" t="s">
        <v>74</v>
      </c>
      <c r="AY237" t="s">
        <v>74</v>
      </c>
      <c r="AZ237" t="s">
        <v>74</v>
      </c>
      <c r="BA237" t="s">
        <v>74</v>
      </c>
      <c r="BB237">
        <v>489</v>
      </c>
      <c r="BC237">
        <v>518</v>
      </c>
      <c r="BD237" t="s">
        <v>74</v>
      </c>
      <c r="BE237" t="s">
        <v>4756</v>
      </c>
      <c r="BF237" t="str">
        <f>HYPERLINK("http://dx.doi.org/10.1007/s12594-009-0034-8","http://dx.doi.org/10.1007/s12594-009-0034-8")</f>
        <v>http://dx.doi.org/10.1007/s12594-009-0034-8</v>
      </c>
      <c r="BG237" t="s">
        <v>74</v>
      </c>
      <c r="BH237" t="s">
        <v>74</v>
      </c>
      <c r="BI237">
        <v>30</v>
      </c>
      <c r="BJ237" t="s">
        <v>496</v>
      </c>
      <c r="BK237" t="s">
        <v>100</v>
      </c>
      <c r="BL237" t="s">
        <v>497</v>
      </c>
      <c r="BM237" t="s">
        <v>4757</v>
      </c>
      <c r="BN237" t="s">
        <v>74</v>
      </c>
      <c r="BO237" t="s">
        <v>74</v>
      </c>
      <c r="BP237" t="s">
        <v>74</v>
      </c>
      <c r="BQ237" t="s">
        <v>74</v>
      </c>
      <c r="BR237" t="s">
        <v>103</v>
      </c>
      <c r="BS237" t="s">
        <v>4758</v>
      </c>
      <c r="BT237" t="str">
        <f>HYPERLINK("https%3A%2F%2Fwww.webofscience.com%2Fwos%2Fwoscc%2Ffull-record%2FWOS:000265047500005","View Full Record in Web of Science")</f>
        <v>View Full Record in Web of Science</v>
      </c>
    </row>
    <row r="238" spans="1:72" x14ac:dyDescent="0.15">
      <c r="A238" t="s">
        <v>72</v>
      </c>
      <c r="B238" t="s">
        <v>4759</v>
      </c>
      <c r="C238" t="s">
        <v>74</v>
      </c>
      <c r="D238" t="s">
        <v>74</v>
      </c>
      <c r="E238" t="s">
        <v>74</v>
      </c>
      <c r="F238" t="s">
        <v>4760</v>
      </c>
      <c r="G238" t="s">
        <v>74</v>
      </c>
      <c r="H238" t="s">
        <v>74</v>
      </c>
      <c r="I238" t="s">
        <v>4761</v>
      </c>
      <c r="J238" t="s">
        <v>4762</v>
      </c>
      <c r="K238" t="s">
        <v>74</v>
      </c>
      <c r="L238" t="s">
        <v>74</v>
      </c>
      <c r="M238" t="s">
        <v>4763</v>
      </c>
      <c r="N238" t="s">
        <v>79</v>
      </c>
      <c r="O238" t="s">
        <v>74</v>
      </c>
      <c r="P238" t="s">
        <v>74</v>
      </c>
      <c r="Q238" t="s">
        <v>74</v>
      </c>
      <c r="R238" t="s">
        <v>74</v>
      </c>
      <c r="S238" t="s">
        <v>74</v>
      </c>
      <c r="T238" t="s">
        <v>4764</v>
      </c>
      <c r="U238" t="s">
        <v>4765</v>
      </c>
      <c r="V238" t="s">
        <v>4766</v>
      </c>
      <c r="W238" t="s">
        <v>4767</v>
      </c>
      <c r="X238" t="s">
        <v>4768</v>
      </c>
      <c r="Y238" t="s">
        <v>4769</v>
      </c>
      <c r="Z238" t="s">
        <v>4770</v>
      </c>
      <c r="AA238" t="s">
        <v>74</v>
      </c>
      <c r="AB238" t="s">
        <v>74</v>
      </c>
      <c r="AC238" t="s">
        <v>74</v>
      </c>
      <c r="AD238" t="s">
        <v>74</v>
      </c>
      <c r="AE238" t="s">
        <v>74</v>
      </c>
      <c r="AF238" t="s">
        <v>74</v>
      </c>
      <c r="AG238">
        <v>30</v>
      </c>
      <c r="AH238">
        <v>1</v>
      </c>
      <c r="AI238">
        <v>1</v>
      </c>
      <c r="AJ238">
        <v>0</v>
      </c>
      <c r="AK238">
        <v>0</v>
      </c>
      <c r="AL238" t="s">
        <v>4771</v>
      </c>
      <c r="AM238" t="s">
        <v>4772</v>
      </c>
      <c r="AN238" t="s">
        <v>4773</v>
      </c>
      <c r="AO238" t="s">
        <v>4774</v>
      </c>
      <c r="AP238" t="s">
        <v>4775</v>
      </c>
      <c r="AQ238" t="s">
        <v>74</v>
      </c>
      <c r="AR238" t="s">
        <v>4776</v>
      </c>
      <c r="AS238" t="s">
        <v>4777</v>
      </c>
      <c r="AT238" t="s">
        <v>3655</v>
      </c>
      <c r="AU238">
        <v>2009</v>
      </c>
      <c r="AV238">
        <v>45</v>
      </c>
      <c r="AW238">
        <v>2</v>
      </c>
      <c r="AX238" t="s">
        <v>74</v>
      </c>
      <c r="AY238" t="s">
        <v>74</v>
      </c>
      <c r="AZ238" t="s">
        <v>74</v>
      </c>
      <c r="BA238" t="s">
        <v>74</v>
      </c>
      <c r="BB238">
        <v>157</v>
      </c>
      <c r="BC238">
        <v>171</v>
      </c>
      <c r="BD238" t="s">
        <v>74</v>
      </c>
      <c r="BE238" t="s">
        <v>74</v>
      </c>
      <c r="BF238" t="s">
        <v>74</v>
      </c>
      <c r="BG238" t="s">
        <v>74</v>
      </c>
      <c r="BH238" t="s">
        <v>74</v>
      </c>
      <c r="BI238">
        <v>15</v>
      </c>
      <c r="BJ238" t="s">
        <v>496</v>
      </c>
      <c r="BK238" t="s">
        <v>2781</v>
      </c>
      <c r="BL238" t="s">
        <v>497</v>
      </c>
      <c r="BM238" t="s">
        <v>4778</v>
      </c>
      <c r="BN238" t="s">
        <v>74</v>
      </c>
      <c r="BO238" t="s">
        <v>74</v>
      </c>
      <c r="BP238" t="s">
        <v>74</v>
      </c>
      <c r="BQ238" t="s">
        <v>74</v>
      </c>
      <c r="BR238" t="s">
        <v>103</v>
      </c>
      <c r="BS238" t="s">
        <v>4779</v>
      </c>
      <c r="BT238" t="str">
        <f>HYPERLINK("https%3A%2F%2Fwww.webofscience.com%2Fwos%2Fwoscc%2Ffull-record%2FWOS:000453985800006","View Full Record in Web of Science")</f>
        <v>View Full Record in Web of Science</v>
      </c>
    </row>
    <row r="239" spans="1:72" x14ac:dyDescent="0.15">
      <c r="A239" t="s">
        <v>72</v>
      </c>
      <c r="B239" t="s">
        <v>4780</v>
      </c>
      <c r="C239" t="s">
        <v>74</v>
      </c>
      <c r="D239" t="s">
        <v>74</v>
      </c>
      <c r="E239" t="s">
        <v>74</v>
      </c>
      <c r="F239" t="s">
        <v>4781</v>
      </c>
      <c r="G239" t="s">
        <v>74</v>
      </c>
      <c r="H239" t="s">
        <v>74</v>
      </c>
      <c r="I239" t="s">
        <v>4782</v>
      </c>
      <c r="J239" t="s">
        <v>4783</v>
      </c>
      <c r="K239" t="s">
        <v>74</v>
      </c>
      <c r="L239" t="s">
        <v>74</v>
      </c>
      <c r="M239" t="s">
        <v>78</v>
      </c>
      <c r="N239" t="s">
        <v>79</v>
      </c>
      <c r="O239" t="s">
        <v>74</v>
      </c>
      <c r="P239" t="s">
        <v>74</v>
      </c>
      <c r="Q239" t="s">
        <v>74</v>
      </c>
      <c r="R239" t="s">
        <v>74</v>
      </c>
      <c r="S239" t="s">
        <v>74</v>
      </c>
      <c r="T239" t="s">
        <v>4784</v>
      </c>
      <c r="U239" t="s">
        <v>4785</v>
      </c>
      <c r="V239" t="s">
        <v>4786</v>
      </c>
      <c r="W239" t="s">
        <v>4787</v>
      </c>
      <c r="X239" t="s">
        <v>4788</v>
      </c>
      <c r="Y239" t="s">
        <v>4789</v>
      </c>
      <c r="Z239" t="s">
        <v>4790</v>
      </c>
      <c r="AA239" t="s">
        <v>4791</v>
      </c>
      <c r="AB239" t="s">
        <v>4792</v>
      </c>
      <c r="AC239" t="s">
        <v>4793</v>
      </c>
      <c r="AD239" t="s">
        <v>4794</v>
      </c>
      <c r="AE239" t="s">
        <v>4795</v>
      </c>
      <c r="AF239" t="s">
        <v>74</v>
      </c>
      <c r="AG239">
        <v>69</v>
      </c>
      <c r="AH239">
        <v>17</v>
      </c>
      <c r="AI239">
        <v>21</v>
      </c>
      <c r="AJ239">
        <v>0</v>
      </c>
      <c r="AK239">
        <v>13</v>
      </c>
      <c r="AL239" t="s">
        <v>489</v>
      </c>
      <c r="AM239" t="s">
        <v>490</v>
      </c>
      <c r="AN239" t="s">
        <v>491</v>
      </c>
      <c r="AO239" t="s">
        <v>4796</v>
      </c>
      <c r="AP239" t="s">
        <v>4797</v>
      </c>
      <c r="AQ239" t="s">
        <v>74</v>
      </c>
      <c r="AR239" t="s">
        <v>4798</v>
      </c>
      <c r="AS239" t="s">
        <v>4799</v>
      </c>
      <c r="AT239" t="s">
        <v>3655</v>
      </c>
      <c r="AU239">
        <v>2009</v>
      </c>
      <c r="AV239">
        <v>73</v>
      </c>
      <c r="AW239">
        <v>3</v>
      </c>
      <c r="AX239" t="s">
        <v>74</v>
      </c>
      <c r="AY239" t="s">
        <v>74</v>
      </c>
      <c r="AZ239" t="s">
        <v>74</v>
      </c>
      <c r="BA239" t="s">
        <v>74</v>
      </c>
      <c r="BB239">
        <v>399</v>
      </c>
      <c r="BC239">
        <v>406</v>
      </c>
      <c r="BD239" t="s">
        <v>74</v>
      </c>
      <c r="BE239" t="s">
        <v>4800</v>
      </c>
      <c r="BF239" t="str">
        <f>HYPERLINK("http://dx.doi.org/10.2193/2007-461","http://dx.doi.org/10.2193/2007-461")</f>
        <v>http://dx.doi.org/10.2193/2007-461</v>
      </c>
      <c r="BG239" t="s">
        <v>74</v>
      </c>
      <c r="BH239" t="s">
        <v>74</v>
      </c>
      <c r="BI239">
        <v>8</v>
      </c>
      <c r="BJ239" t="s">
        <v>4801</v>
      </c>
      <c r="BK239" t="s">
        <v>100</v>
      </c>
      <c r="BL239" t="s">
        <v>4802</v>
      </c>
      <c r="BM239" t="s">
        <v>4803</v>
      </c>
      <c r="BN239" t="s">
        <v>74</v>
      </c>
      <c r="BO239" t="s">
        <v>4804</v>
      </c>
      <c r="BP239" t="s">
        <v>74</v>
      </c>
      <c r="BQ239" t="s">
        <v>74</v>
      </c>
      <c r="BR239" t="s">
        <v>103</v>
      </c>
      <c r="BS239" t="s">
        <v>4805</v>
      </c>
      <c r="BT239" t="str">
        <f>HYPERLINK("https%3A%2F%2Fwww.webofscience.com%2Fwos%2Fwoscc%2Ffull-record%2FWOS:000265032100014","View Full Record in Web of Science")</f>
        <v>View Full Record in Web of Science</v>
      </c>
    </row>
    <row r="240" spans="1:72" x14ac:dyDescent="0.15">
      <c r="A240" t="s">
        <v>72</v>
      </c>
      <c r="B240" t="s">
        <v>4806</v>
      </c>
      <c r="C240" t="s">
        <v>74</v>
      </c>
      <c r="D240" t="s">
        <v>74</v>
      </c>
      <c r="E240" t="s">
        <v>74</v>
      </c>
      <c r="F240" t="s">
        <v>4807</v>
      </c>
      <c r="G240" t="s">
        <v>74</v>
      </c>
      <c r="H240" t="s">
        <v>74</v>
      </c>
      <c r="I240" t="s">
        <v>4808</v>
      </c>
      <c r="J240" t="s">
        <v>2130</v>
      </c>
      <c r="K240" t="s">
        <v>74</v>
      </c>
      <c r="L240" t="s">
        <v>74</v>
      </c>
      <c r="M240" t="s">
        <v>78</v>
      </c>
      <c r="N240" t="s">
        <v>79</v>
      </c>
      <c r="O240" t="s">
        <v>74</v>
      </c>
      <c r="P240" t="s">
        <v>74</v>
      </c>
      <c r="Q240" t="s">
        <v>74</v>
      </c>
      <c r="R240" t="s">
        <v>74</v>
      </c>
      <c r="S240" t="s">
        <v>74</v>
      </c>
      <c r="T240" t="s">
        <v>74</v>
      </c>
      <c r="U240" t="s">
        <v>4809</v>
      </c>
      <c r="V240" t="s">
        <v>4810</v>
      </c>
      <c r="W240" t="s">
        <v>4811</v>
      </c>
      <c r="X240" t="s">
        <v>4812</v>
      </c>
      <c r="Y240" t="s">
        <v>4813</v>
      </c>
      <c r="Z240" t="s">
        <v>4814</v>
      </c>
      <c r="AA240" t="s">
        <v>4815</v>
      </c>
      <c r="AB240" t="s">
        <v>4816</v>
      </c>
      <c r="AC240" t="s">
        <v>4817</v>
      </c>
      <c r="AD240" t="s">
        <v>4818</v>
      </c>
      <c r="AE240" t="s">
        <v>4819</v>
      </c>
      <c r="AF240" t="s">
        <v>74</v>
      </c>
      <c r="AG240">
        <v>26</v>
      </c>
      <c r="AH240">
        <v>56</v>
      </c>
      <c r="AI240">
        <v>60</v>
      </c>
      <c r="AJ240">
        <v>2</v>
      </c>
      <c r="AK240">
        <v>11</v>
      </c>
      <c r="AL240" t="s">
        <v>2142</v>
      </c>
      <c r="AM240" t="s">
        <v>2143</v>
      </c>
      <c r="AN240" t="s">
        <v>2144</v>
      </c>
      <c r="AO240" t="s">
        <v>2145</v>
      </c>
      <c r="AP240" t="s">
        <v>74</v>
      </c>
      <c r="AQ240" t="s">
        <v>74</v>
      </c>
      <c r="AR240" t="s">
        <v>2146</v>
      </c>
      <c r="AS240" t="s">
        <v>2147</v>
      </c>
      <c r="AT240" t="s">
        <v>3655</v>
      </c>
      <c r="AU240">
        <v>2009</v>
      </c>
      <c r="AV240">
        <v>7</v>
      </c>
      <c r="AW240" t="s">
        <v>74</v>
      </c>
      <c r="AX240" t="s">
        <v>74</v>
      </c>
      <c r="AY240" t="s">
        <v>74</v>
      </c>
      <c r="AZ240" t="s">
        <v>74</v>
      </c>
      <c r="BA240" t="s">
        <v>74</v>
      </c>
      <c r="BB240">
        <v>304</v>
      </c>
      <c r="BC240">
        <v>308</v>
      </c>
      <c r="BD240" t="s">
        <v>74</v>
      </c>
      <c r="BE240" t="s">
        <v>4820</v>
      </c>
      <c r="BF240" t="str">
        <f>HYPERLINK("http://dx.doi.org/10.4319/lom.2009.7.304","http://dx.doi.org/10.4319/lom.2009.7.304")</f>
        <v>http://dx.doi.org/10.4319/lom.2009.7.304</v>
      </c>
      <c r="BG240" t="s">
        <v>74</v>
      </c>
      <c r="BH240" t="s">
        <v>74</v>
      </c>
      <c r="BI240">
        <v>5</v>
      </c>
      <c r="BJ240" t="s">
        <v>2106</v>
      </c>
      <c r="BK240" t="s">
        <v>100</v>
      </c>
      <c r="BL240" t="s">
        <v>2107</v>
      </c>
      <c r="BM240" t="s">
        <v>4821</v>
      </c>
      <c r="BN240" t="s">
        <v>74</v>
      </c>
      <c r="BO240" t="s">
        <v>217</v>
      </c>
      <c r="BP240" t="s">
        <v>74</v>
      </c>
      <c r="BQ240" t="s">
        <v>74</v>
      </c>
      <c r="BR240" t="s">
        <v>103</v>
      </c>
      <c r="BS240" t="s">
        <v>4822</v>
      </c>
      <c r="BT240" t="str">
        <f>HYPERLINK("https%3A%2F%2Fwww.webofscience.com%2Fwos%2Fwoscc%2Ffull-record%2FWOS:000267010800005","View Full Record in Web of Science")</f>
        <v>View Full Record in Web of Science</v>
      </c>
    </row>
    <row r="241" spans="1:72" x14ac:dyDescent="0.15">
      <c r="A241" t="s">
        <v>72</v>
      </c>
      <c r="B241" t="s">
        <v>4823</v>
      </c>
      <c r="C241" t="s">
        <v>74</v>
      </c>
      <c r="D241" t="s">
        <v>74</v>
      </c>
      <c r="E241" t="s">
        <v>74</v>
      </c>
      <c r="F241" t="s">
        <v>4824</v>
      </c>
      <c r="G241" t="s">
        <v>74</v>
      </c>
      <c r="H241" t="s">
        <v>74</v>
      </c>
      <c r="I241" t="s">
        <v>4825</v>
      </c>
      <c r="J241" t="s">
        <v>2154</v>
      </c>
      <c r="K241" t="s">
        <v>74</v>
      </c>
      <c r="L241" t="s">
        <v>74</v>
      </c>
      <c r="M241" t="s">
        <v>78</v>
      </c>
      <c r="N241" t="s">
        <v>79</v>
      </c>
      <c r="O241" t="s">
        <v>74</v>
      </c>
      <c r="P241" t="s">
        <v>74</v>
      </c>
      <c r="Q241" t="s">
        <v>74</v>
      </c>
      <c r="R241" t="s">
        <v>74</v>
      </c>
      <c r="S241" t="s">
        <v>74</v>
      </c>
      <c r="T241" t="s">
        <v>74</v>
      </c>
      <c r="U241" t="s">
        <v>4826</v>
      </c>
      <c r="V241" t="s">
        <v>4827</v>
      </c>
      <c r="W241" t="s">
        <v>4828</v>
      </c>
      <c r="X241" t="s">
        <v>4829</v>
      </c>
      <c r="Y241" t="s">
        <v>4830</v>
      </c>
      <c r="Z241" t="s">
        <v>4831</v>
      </c>
      <c r="AA241" t="s">
        <v>74</v>
      </c>
      <c r="AB241" t="s">
        <v>74</v>
      </c>
      <c r="AC241" t="s">
        <v>4832</v>
      </c>
      <c r="AD241" t="s">
        <v>4833</v>
      </c>
      <c r="AE241" t="s">
        <v>4834</v>
      </c>
      <c r="AF241" t="s">
        <v>74</v>
      </c>
      <c r="AG241">
        <v>40</v>
      </c>
      <c r="AH241">
        <v>11</v>
      </c>
      <c r="AI241">
        <v>11</v>
      </c>
      <c r="AJ241">
        <v>0</v>
      </c>
      <c r="AK241">
        <v>9</v>
      </c>
      <c r="AL241" t="s">
        <v>91</v>
      </c>
      <c r="AM241" t="s">
        <v>92</v>
      </c>
      <c r="AN241" t="s">
        <v>93</v>
      </c>
      <c r="AO241" t="s">
        <v>2165</v>
      </c>
      <c r="AP241" t="s">
        <v>74</v>
      </c>
      <c r="AQ241" t="s">
        <v>74</v>
      </c>
      <c r="AR241" t="s">
        <v>2167</v>
      </c>
      <c r="AS241" t="s">
        <v>2168</v>
      </c>
      <c r="AT241" t="s">
        <v>3655</v>
      </c>
      <c r="AU241">
        <v>2009</v>
      </c>
      <c r="AV241">
        <v>156</v>
      </c>
      <c r="AW241">
        <v>5</v>
      </c>
      <c r="AX241" t="s">
        <v>74</v>
      </c>
      <c r="AY241" t="s">
        <v>74</v>
      </c>
      <c r="AZ241" t="s">
        <v>74</v>
      </c>
      <c r="BA241" t="s">
        <v>74</v>
      </c>
      <c r="BB241">
        <v>1049</v>
      </c>
      <c r="BC241">
        <v>1056</v>
      </c>
      <c r="BD241" t="s">
        <v>74</v>
      </c>
      <c r="BE241" t="s">
        <v>4835</v>
      </c>
      <c r="BF241" t="str">
        <f>HYPERLINK("http://dx.doi.org/10.1007/s00227-009-1149-6","http://dx.doi.org/10.1007/s00227-009-1149-6")</f>
        <v>http://dx.doi.org/10.1007/s00227-009-1149-6</v>
      </c>
      <c r="BG241" t="s">
        <v>74</v>
      </c>
      <c r="BH241" t="s">
        <v>74</v>
      </c>
      <c r="BI241">
        <v>8</v>
      </c>
      <c r="BJ241" t="s">
        <v>448</v>
      </c>
      <c r="BK241" t="s">
        <v>100</v>
      </c>
      <c r="BL241" t="s">
        <v>448</v>
      </c>
      <c r="BM241" t="s">
        <v>4836</v>
      </c>
      <c r="BN241" t="s">
        <v>74</v>
      </c>
      <c r="BO241" t="s">
        <v>4837</v>
      </c>
      <c r="BP241" t="s">
        <v>74</v>
      </c>
      <c r="BQ241" t="s">
        <v>74</v>
      </c>
      <c r="BR241" t="s">
        <v>103</v>
      </c>
      <c r="BS241" t="s">
        <v>4838</v>
      </c>
      <c r="BT241" t="str">
        <f>HYPERLINK("https%3A%2F%2Fwww.webofscience.com%2Fwos%2Fwoscc%2Ffull-record%2FWOS:000263829900020","View Full Record in Web of Science")</f>
        <v>View Full Record in Web of Science</v>
      </c>
    </row>
    <row r="242" spans="1:72" x14ac:dyDescent="0.15">
      <c r="A242" t="s">
        <v>72</v>
      </c>
      <c r="B242" t="s">
        <v>4839</v>
      </c>
      <c r="C242" t="s">
        <v>74</v>
      </c>
      <c r="D242" t="s">
        <v>74</v>
      </c>
      <c r="E242" t="s">
        <v>74</v>
      </c>
      <c r="F242" t="s">
        <v>4840</v>
      </c>
      <c r="G242" t="s">
        <v>74</v>
      </c>
      <c r="H242" t="s">
        <v>74</v>
      </c>
      <c r="I242" t="s">
        <v>4841</v>
      </c>
      <c r="J242" t="s">
        <v>2154</v>
      </c>
      <c r="K242" t="s">
        <v>74</v>
      </c>
      <c r="L242" t="s">
        <v>74</v>
      </c>
      <c r="M242" t="s">
        <v>78</v>
      </c>
      <c r="N242" t="s">
        <v>79</v>
      </c>
      <c r="O242" t="s">
        <v>74</v>
      </c>
      <c r="P242" t="s">
        <v>74</v>
      </c>
      <c r="Q242" t="s">
        <v>74</v>
      </c>
      <c r="R242" t="s">
        <v>74</v>
      </c>
      <c r="S242" t="s">
        <v>74</v>
      </c>
      <c r="T242" t="s">
        <v>74</v>
      </c>
      <c r="U242" t="s">
        <v>4842</v>
      </c>
      <c r="V242" t="s">
        <v>4843</v>
      </c>
      <c r="W242" t="s">
        <v>4844</v>
      </c>
      <c r="X242" t="s">
        <v>3073</v>
      </c>
      <c r="Y242" t="s">
        <v>4845</v>
      </c>
      <c r="Z242" t="s">
        <v>4846</v>
      </c>
      <c r="AA242" t="s">
        <v>4847</v>
      </c>
      <c r="AB242" t="s">
        <v>4848</v>
      </c>
      <c r="AC242" t="s">
        <v>4849</v>
      </c>
      <c r="AD242" t="s">
        <v>4850</v>
      </c>
      <c r="AE242" t="s">
        <v>4851</v>
      </c>
      <c r="AF242" t="s">
        <v>74</v>
      </c>
      <c r="AG242">
        <v>46</v>
      </c>
      <c r="AH242">
        <v>17</v>
      </c>
      <c r="AI242">
        <v>19</v>
      </c>
      <c r="AJ242">
        <v>3</v>
      </c>
      <c r="AK242">
        <v>16</v>
      </c>
      <c r="AL242" t="s">
        <v>1947</v>
      </c>
      <c r="AM242" t="s">
        <v>1948</v>
      </c>
      <c r="AN242" t="s">
        <v>1949</v>
      </c>
      <c r="AO242" t="s">
        <v>2165</v>
      </c>
      <c r="AP242" t="s">
        <v>2166</v>
      </c>
      <c r="AQ242" t="s">
        <v>74</v>
      </c>
      <c r="AR242" t="s">
        <v>2167</v>
      </c>
      <c r="AS242" t="s">
        <v>2168</v>
      </c>
      <c r="AT242" t="s">
        <v>3655</v>
      </c>
      <c r="AU242">
        <v>2009</v>
      </c>
      <c r="AV242">
        <v>156</v>
      </c>
      <c r="AW242">
        <v>5</v>
      </c>
      <c r="AX242" t="s">
        <v>74</v>
      </c>
      <c r="AY242" t="s">
        <v>74</v>
      </c>
      <c r="AZ242" t="s">
        <v>74</v>
      </c>
      <c r="BA242" t="s">
        <v>74</v>
      </c>
      <c r="BB242">
        <v>1073</v>
      </c>
      <c r="BC242">
        <v>1081</v>
      </c>
      <c r="BD242" t="s">
        <v>74</v>
      </c>
      <c r="BE242" t="s">
        <v>4852</v>
      </c>
      <c r="BF242" t="str">
        <f>HYPERLINK("http://dx.doi.org/10.1007/s00227-009-1154-9","http://dx.doi.org/10.1007/s00227-009-1154-9")</f>
        <v>http://dx.doi.org/10.1007/s00227-009-1154-9</v>
      </c>
      <c r="BG242" t="s">
        <v>74</v>
      </c>
      <c r="BH242" t="s">
        <v>74</v>
      </c>
      <c r="BI242">
        <v>9</v>
      </c>
      <c r="BJ242" t="s">
        <v>448</v>
      </c>
      <c r="BK242" t="s">
        <v>100</v>
      </c>
      <c r="BL242" t="s">
        <v>448</v>
      </c>
      <c r="BM242" t="s">
        <v>4836</v>
      </c>
      <c r="BN242" t="s">
        <v>74</v>
      </c>
      <c r="BO242" t="s">
        <v>1012</v>
      </c>
      <c r="BP242" t="s">
        <v>74</v>
      </c>
      <c r="BQ242" t="s">
        <v>74</v>
      </c>
      <c r="BR242" t="s">
        <v>103</v>
      </c>
      <c r="BS242" t="s">
        <v>4853</v>
      </c>
      <c r="BT242" t="str">
        <f>HYPERLINK("https%3A%2F%2Fwww.webofscience.com%2Fwos%2Fwoscc%2Ffull-record%2FWOS:000263829900022","View Full Record in Web of Science")</f>
        <v>View Full Record in Web of Science</v>
      </c>
    </row>
    <row r="243" spans="1:72" x14ac:dyDescent="0.15">
      <c r="A243" t="s">
        <v>72</v>
      </c>
      <c r="B243" t="s">
        <v>4854</v>
      </c>
      <c r="C243" t="s">
        <v>74</v>
      </c>
      <c r="D243" t="s">
        <v>74</v>
      </c>
      <c r="E243" t="s">
        <v>74</v>
      </c>
      <c r="F243" t="s">
        <v>4855</v>
      </c>
      <c r="G243" t="s">
        <v>74</v>
      </c>
      <c r="H243" t="s">
        <v>74</v>
      </c>
      <c r="I243" t="s">
        <v>4856</v>
      </c>
      <c r="J243" t="s">
        <v>4857</v>
      </c>
      <c r="K243" t="s">
        <v>74</v>
      </c>
      <c r="L243" t="s">
        <v>74</v>
      </c>
      <c r="M243" t="s">
        <v>78</v>
      </c>
      <c r="N243" t="s">
        <v>79</v>
      </c>
      <c r="O243" t="s">
        <v>74</v>
      </c>
      <c r="P243" t="s">
        <v>74</v>
      </c>
      <c r="Q243" t="s">
        <v>74</v>
      </c>
      <c r="R243" t="s">
        <v>74</v>
      </c>
      <c r="S243" t="s">
        <v>74</v>
      </c>
      <c r="T243" t="s">
        <v>4858</v>
      </c>
      <c r="U243" t="s">
        <v>4859</v>
      </c>
      <c r="V243" t="s">
        <v>4860</v>
      </c>
      <c r="W243" t="s">
        <v>4861</v>
      </c>
      <c r="X243" t="s">
        <v>4862</v>
      </c>
      <c r="Y243" t="s">
        <v>4863</v>
      </c>
      <c r="Z243" t="s">
        <v>74</v>
      </c>
      <c r="AA243" t="s">
        <v>74</v>
      </c>
      <c r="AB243" t="s">
        <v>74</v>
      </c>
      <c r="AC243" t="s">
        <v>4864</v>
      </c>
      <c r="AD243" t="s">
        <v>4865</v>
      </c>
      <c r="AE243" t="s">
        <v>4866</v>
      </c>
      <c r="AF243" t="s">
        <v>74</v>
      </c>
      <c r="AG243">
        <v>41</v>
      </c>
      <c r="AH243">
        <v>77</v>
      </c>
      <c r="AI243">
        <v>93</v>
      </c>
      <c r="AJ243">
        <v>2</v>
      </c>
      <c r="AK243">
        <v>50</v>
      </c>
      <c r="AL243" t="s">
        <v>489</v>
      </c>
      <c r="AM243" t="s">
        <v>490</v>
      </c>
      <c r="AN243" t="s">
        <v>491</v>
      </c>
      <c r="AO243" t="s">
        <v>4867</v>
      </c>
      <c r="AP243" t="s">
        <v>4868</v>
      </c>
      <c r="AQ243" t="s">
        <v>74</v>
      </c>
      <c r="AR243" t="s">
        <v>4869</v>
      </c>
      <c r="AS243" t="s">
        <v>4870</v>
      </c>
      <c r="AT243" t="s">
        <v>3655</v>
      </c>
      <c r="AU243">
        <v>2009</v>
      </c>
      <c r="AV243">
        <v>25</v>
      </c>
      <c r="AW243">
        <v>2</v>
      </c>
      <c r="AX243" t="s">
        <v>74</v>
      </c>
      <c r="AY243" t="s">
        <v>74</v>
      </c>
      <c r="AZ243" t="s">
        <v>74</v>
      </c>
      <c r="BA243" t="s">
        <v>74</v>
      </c>
      <c r="BB243">
        <v>402</v>
      </c>
      <c r="BC243">
        <v>415</v>
      </c>
      <c r="BD243" t="s">
        <v>74</v>
      </c>
      <c r="BE243" t="s">
        <v>4871</v>
      </c>
      <c r="BF243" t="str">
        <f>HYPERLINK("http://dx.doi.org/10.1111/j.1748-7692.2008.00263.x","http://dx.doi.org/10.1111/j.1748-7692.2008.00263.x")</f>
        <v>http://dx.doi.org/10.1111/j.1748-7692.2008.00263.x</v>
      </c>
      <c r="BG243" t="s">
        <v>74</v>
      </c>
      <c r="BH243" t="s">
        <v>74</v>
      </c>
      <c r="BI243">
        <v>14</v>
      </c>
      <c r="BJ243" t="s">
        <v>2084</v>
      </c>
      <c r="BK243" t="s">
        <v>100</v>
      </c>
      <c r="BL243" t="s">
        <v>2084</v>
      </c>
      <c r="BM243" t="s">
        <v>4872</v>
      </c>
      <c r="BN243" t="s">
        <v>74</v>
      </c>
      <c r="BO243" t="s">
        <v>1106</v>
      </c>
      <c r="BP243" t="s">
        <v>74</v>
      </c>
      <c r="BQ243" t="s">
        <v>74</v>
      </c>
      <c r="BR243" t="s">
        <v>103</v>
      </c>
      <c r="BS243" t="s">
        <v>4873</v>
      </c>
      <c r="BT243" t="str">
        <f>HYPERLINK("https%3A%2F%2Fwww.webofscience.com%2Fwos%2Fwoscc%2Ffull-record%2FWOS:000265228700009","View Full Record in Web of Science")</f>
        <v>View Full Record in Web of Science</v>
      </c>
    </row>
    <row r="244" spans="1:72" x14ac:dyDescent="0.15">
      <c r="A244" t="s">
        <v>72</v>
      </c>
      <c r="B244" t="s">
        <v>4874</v>
      </c>
      <c r="C244" t="s">
        <v>74</v>
      </c>
      <c r="D244" t="s">
        <v>74</v>
      </c>
      <c r="E244" t="s">
        <v>74</v>
      </c>
      <c r="F244" t="s">
        <v>4875</v>
      </c>
      <c r="G244" t="s">
        <v>74</v>
      </c>
      <c r="H244" t="s">
        <v>74</v>
      </c>
      <c r="I244" t="s">
        <v>4876</v>
      </c>
      <c r="J244" t="s">
        <v>4857</v>
      </c>
      <c r="K244" t="s">
        <v>74</v>
      </c>
      <c r="L244" t="s">
        <v>74</v>
      </c>
      <c r="M244" t="s">
        <v>78</v>
      </c>
      <c r="N244" t="s">
        <v>79</v>
      </c>
      <c r="O244" t="s">
        <v>74</v>
      </c>
      <c r="P244" t="s">
        <v>74</v>
      </c>
      <c r="Q244" t="s">
        <v>74</v>
      </c>
      <c r="R244" t="s">
        <v>74</v>
      </c>
      <c r="S244" t="s">
        <v>74</v>
      </c>
      <c r="T244" t="s">
        <v>74</v>
      </c>
      <c r="U244" t="s">
        <v>4877</v>
      </c>
      <c r="V244" t="s">
        <v>74</v>
      </c>
      <c r="W244" t="s">
        <v>4878</v>
      </c>
      <c r="X244" t="s">
        <v>4879</v>
      </c>
      <c r="Y244" t="s">
        <v>4880</v>
      </c>
      <c r="Z244" t="s">
        <v>4881</v>
      </c>
      <c r="AA244" t="s">
        <v>4882</v>
      </c>
      <c r="AB244" t="s">
        <v>4883</v>
      </c>
      <c r="AC244" t="s">
        <v>4884</v>
      </c>
      <c r="AD244" t="s">
        <v>4884</v>
      </c>
      <c r="AE244" t="s">
        <v>4885</v>
      </c>
      <c r="AF244" t="s">
        <v>74</v>
      </c>
      <c r="AG244">
        <v>19</v>
      </c>
      <c r="AH244">
        <v>19</v>
      </c>
      <c r="AI244">
        <v>20</v>
      </c>
      <c r="AJ244">
        <v>0</v>
      </c>
      <c r="AK244">
        <v>20</v>
      </c>
      <c r="AL244" t="s">
        <v>489</v>
      </c>
      <c r="AM244" t="s">
        <v>490</v>
      </c>
      <c r="AN244" t="s">
        <v>491</v>
      </c>
      <c r="AO244" t="s">
        <v>4867</v>
      </c>
      <c r="AP244" t="s">
        <v>4868</v>
      </c>
      <c r="AQ244" t="s">
        <v>74</v>
      </c>
      <c r="AR244" t="s">
        <v>4869</v>
      </c>
      <c r="AS244" t="s">
        <v>4870</v>
      </c>
      <c r="AT244" t="s">
        <v>3655</v>
      </c>
      <c r="AU244">
        <v>2009</v>
      </c>
      <c r="AV244">
        <v>25</v>
      </c>
      <c r="AW244">
        <v>2</v>
      </c>
      <c r="AX244" t="s">
        <v>74</v>
      </c>
      <c r="AY244" t="s">
        <v>74</v>
      </c>
      <c r="AZ244" t="s">
        <v>74</v>
      </c>
      <c r="BA244" t="s">
        <v>74</v>
      </c>
      <c r="BB244">
        <v>455</v>
      </c>
      <c r="BC244">
        <v>461</v>
      </c>
      <c r="BD244" t="s">
        <v>74</v>
      </c>
      <c r="BE244" t="s">
        <v>4886</v>
      </c>
      <c r="BF244" t="str">
        <f>HYPERLINK("http://dx.doi.org/10.1111/j.1748-7692.2008.00276.x","http://dx.doi.org/10.1111/j.1748-7692.2008.00276.x")</f>
        <v>http://dx.doi.org/10.1111/j.1748-7692.2008.00276.x</v>
      </c>
      <c r="BG244" t="s">
        <v>74</v>
      </c>
      <c r="BH244" t="s">
        <v>74</v>
      </c>
      <c r="BI244">
        <v>7</v>
      </c>
      <c r="BJ244" t="s">
        <v>2084</v>
      </c>
      <c r="BK244" t="s">
        <v>100</v>
      </c>
      <c r="BL244" t="s">
        <v>2084</v>
      </c>
      <c r="BM244" t="s">
        <v>4872</v>
      </c>
      <c r="BN244" t="s">
        <v>74</v>
      </c>
      <c r="BO244" t="s">
        <v>74</v>
      </c>
      <c r="BP244" t="s">
        <v>74</v>
      </c>
      <c r="BQ244" t="s">
        <v>74</v>
      </c>
      <c r="BR244" t="s">
        <v>103</v>
      </c>
      <c r="BS244" t="s">
        <v>4887</v>
      </c>
      <c r="BT244" t="str">
        <f>HYPERLINK("https%3A%2F%2Fwww.webofscience.com%2Fwos%2Fwoscc%2Ffull-record%2FWOS:000265228700015","View Full Record in Web of Science")</f>
        <v>View Full Record in Web of Science</v>
      </c>
    </row>
    <row r="245" spans="1:72" x14ac:dyDescent="0.15">
      <c r="A245" t="s">
        <v>72</v>
      </c>
      <c r="B245" t="s">
        <v>4888</v>
      </c>
      <c r="C245" t="s">
        <v>74</v>
      </c>
      <c r="D245" t="s">
        <v>74</v>
      </c>
      <c r="E245" t="s">
        <v>74</v>
      </c>
      <c r="F245" t="s">
        <v>4889</v>
      </c>
      <c r="G245" t="s">
        <v>74</v>
      </c>
      <c r="H245" t="s">
        <v>74</v>
      </c>
      <c r="I245" t="s">
        <v>4890</v>
      </c>
      <c r="J245" t="s">
        <v>4857</v>
      </c>
      <c r="K245" t="s">
        <v>74</v>
      </c>
      <c r="L245" t="s">
        <v>74</v>
      </c>
      <c r="M245" t="s">
        <v>78</v>
      </c>
      <c r="N245" t="s">
        <v>79</v>
      </c>
      <c r="O245" t="s">
        <v>74</v>
      </c>
      <c r="P245" t="s">
        <v>74</v>
      </c>
      <c r="Q245" t="s">
        <v>74</v>
      </c>
      <c r="R245" t="s">
        <v>74</v>
      </c>
      <c r="S245" t="s">
        <v>74</v>
      </c>
      <c r="T245" t="s">
        <v>74</v>
      </c>
      <c r="U245" t="s">
        <v>4891</v>
      </c>
      <c r="V245" t="s">
        <v>74</v>
      </c>
      <c r="W245" t="s">
        <v>4892</v>
      </c>
      <c r="X245" t="s">
        <v>4893</v>
      </c>
      <c r="Y245" t="s">
        <v>4894</v>
      </c>
      <c r="Z245" t="s">
        <v>4895</v>
      </c>
      <c r="AA245" t="s">
        <v>74</v>
      </c>
      <c r="AB245" t="s">
        <v>74</v>
      </c>
      <c r="AC245" t="s">
        <v>4896</v>
      </c>
      <c r="AD245" t="s">
        <v>4896</v>
      </c>
      <c r="AE245" t="s">
        <v>4897</v>
      </c>
      <c r="AF245" t="s">
        <v>74</v>
      </c>
      <c r="AG245">
        <v>34</v>
      </c>
      <c r="AH245">
        <v>7</v>
      </c>
      <c r="AI245">
        <v>7</v>
      </c>
      <c r="AJ245">
        <v>0</v>
      </c>
      <c r="AK245">
        <v>2</v>
      </c>
      <c r="AL245" t="s">
        <v>489</v>
      </c>
      <c r="AM245" t="s">
        <v>490</v>
      </c>
      <c r="AN245" t="s">
        <v>491</v>
      </c>
      <c r="AO245" t="s">
        <v>4867</v>
      </c>
      <c r="AP245" t="s">
        <v>4868</v>
      </c>
      <c r="AQ245" t="s">
        <v>74</v>
      </c>
      <c r="AR245" t="s">
        <v>4869</v>
      </c>
      <c r="AS245" t="s">
        <v>4870</v>
      </c>
      <c r="AT245" t="s">
        <v>3655</v>
      </c>
      <c r="AU245">
        <v>2009</v>
      </c>
      <c r="AV245">
        <v>25</v>
      </c>
      <c r="AW245">
        <v>2</v>
      </c>
      <c r="AX245" t="s">
        <v>74</v>
      </c>
      <c r="AY245" t="s">
        <v>74</v>
      </c>
      <c r="AZ245" t="s">
        <v>74</v>
      </c>
      <c r="BA245" t="s">
        <v>74</v>
      </c>
      <c r="BB245">
        <v>478</v>
      </c>
      <c r="BC245">
        <v>486</v>
      </c>
      <c r="BD245" t="s">
        <v>74</v>
      </c>
      <c r="BE245" t="s">
        <v>4898</v>
      </c>
      <c r="BF245" t="str">
        <f>HYPERLINK("http://dx.doi.org/10.1111/j.1748-7692.2008.00269.x","http://dx.doi.org/10.1111/j.1748-7692.2008.00269.x")</f>
        <v>http://dx.doi.org/10.1111/j.1748-7692.2008.00269.x</v>
      </c>
      <c r="BG245" t="s">
        <v>74</v>
      </c>
      <c r="BH245" t="s">
        <v>74</v>
      </c>
      <c r="BI245">
        <v>9</v>
      </c>
      <c r="BJ245" t="s">
        <v>2084</v>
      </c>
      <c r="BK245" t="s">
        <v>100</v>
      </c>
      <c r="BL245" t="s">
        <v>2084</v>
      </c>
      <c r="BM245" t="s">
        <v>4872</v>
      </c>
      <c r="BN245" t="s">
        <v>74</v>
      </c>
      <c r="BO245" t="s">
        <v>74</v>
      </c>
      <c r="BP245" t="s">
        <v>74</v>
      </c>
      <c r="BQ245" t="s">
        <v>74</v>
      </c>
      <c r="BR245" t="s">
        <v>103</v>
      </c>
      <c r="BS245" t="s">
        <v>4899</v>
      </c>
      <c r="BT245" t="str">
        <f>HYPERLINK("https%3A%2F%2Fwww.webofscience.com%2Fwos%2Fwoscc%2Ffull-record%2FWOS:000265228700017","View Full Record in Web of Science")</f>
        <v>View Full Record in Web of Science</v>
      </c>
    </row>
    <row r="246" spans="1:72" x14ac:dyDescent="0.15">
      <c r="A246" t="s">
        <v>72</v>
      </c>
      <c r="B246" t="s">
        <v>4900</v>
      </c>
      <c r="C246" t="s">
        <v>74</v>
      </c>
      <c r="D246" t="s">
        <v>74</v>
      </c>
      <c r="E246" t="s">
        <v>74</v>
      </c>
      <c r="F246" t="s">
        <v>4901</v>
      </c>
      <c r="G246" t="s">
        <v>74</v>
      </c>
      <c r="H246" t="s">
        <v>74</v>
      </c>
      <c r="I246" t="s">
        <v>4902</v>
      </c>
      <c r="J246" t="s">
        <v>4903</v>
      </c>
      <c r="K246" t="s">
        <v>74</v>
      </c>
      <c r="L246" t="s">
        <v>74</v>
      </c>
      <c r="M246" t="s">
        <v>78</v>
      </c>
      <c r="N246" t="s">
        <v>79</v>
      </c>
      <c r="O246" t="s">
        <v>74</v>
      </c>
      <c r="P246" t="s">
        <v>74</v>
      </c>
      <c r="Q246" t="s">
        <v>74</v>
      </c>
      <c r="R246" t="s">
        <v>74</v>
      </c>
      <c r="S246" t="s">
        <v>74</v>
      </c>
      <c r="T246" t="s">
        <v>4904</v>
      </c>
      <c r="U246" t="s">
        <v>4905</v>
      </c>
      <c r="V246" t="s">
        <v>4906</v>
      </c>
      <c r="W246" t="s">
        <v>4907</v>
      </c>
      <c r="X246" t="s">
        <v>4908</v>
      </c>
      <c r="Y246" t="s">
        <v>4909</v>
      </c>
      <c r="Z246" t="s">
        <v>4910</v>
      </c>
      <c r="AA246" t="s">
        <v>4911</v>
      </c>
      <c r="AB246" t="s">
        <v>4912</v>
      </c>
      <c r="AC246" t="s">
        <v>4913</v>
      </c>
      <c r="AD246" t="s">
        <v>4914</v>
      </c>
      <c r="AE246" t="s">
        <v>4915</v>
      </c>
      <c r="AF246" t="s">
        <v>74</v>
      </c>
      <c r="AG246">
        <v>36</v>
      </c>
      <c r="AH246">
        <v>14</v>
      </c>
      <c r="AI246">
        <v>16</v>
      </c>
      <c r="AJ246">
        <v>0</v>
      </c>
      <c r="AK246">
        <v>7</v>
      </c>
      <c r="AL246" t="s">
        <v>4916</v>
      </c>
      <c r="AM246" t="s">
        <v>4917</v>
      </c>
      <c r="AN246" t="s">
        <v>4918</v>
      </c>
      <c r="AO246" t="s">
        <v>4919</v>
      </c>
      <c r="AP246" t="s">
        <v>4920</v>
      </c>
      <c r="AQ246" t="s">
        <v>74</v>
      </c>
      <c r="AR246" t="s">
        <v>4921</v>
      </c>
      <c r="AS246" t="s">
        <v>4922</v>
      </c>
      <c r="AT246" t="s">
        <v>3655</v>
      </c>
      <c r="AU246">
        <v>2009</v>
      </c>
      <c r="AV246">
        <v>73</v>
      </c>
      <c r="AW246">
        <v>2</v>
      </c>
      <c r="AX246" t="s">
        <v>74</v>
      </c>
      <c r="AY246" t="s">
        <v>74</v>
      </c>
      <c r="AZ246" t="s">
        <v>74</v>
      </c>
      <c r="BA246" t="s">
        <v>74</v>
      </c>
      <c r="BB246">
        <v>205</v>
      </c>
      <c r="BC246">
        <v>226</v>
      </c>
      <c r="BD246" t="s">
        <v>74</v>
      </c>
      <c r="BE246" t="s">
        <v>4923</v>
      </c>
      <c r="BF246" t="str">
        <f>HYPERLINK("http://dx.doi.org/10.1180/minmag.2009.073.2.205","http://dx.doi.org/10.1180/minmag.2009.073.2.205")</f>
        <v>http://dx.doi.org/10.1180/minmag.2009.073.2.205</v>
      </c>
      <c r="BG246" t="s">
        <v>74</v>
      </c>
      <c r="BH246" t="s">
        <v>74</v>
      </c>
      <c r="BI246">
        <v>22</v>
      </c>
      <c r="BJ246" t="s">
        <v>4924</v>
      </c>
      <c r="BK246" t="s">
        <v>100</v>
      </c>
      <c r="BL246" t="s">
        <v>4924</v>
      </c>
      <c r="BM246" t="s">
        <v>4925</v>
      </c>
      <c r="BN246" t="s">
        <v>74</v>
      </c>
      <c r="BO246" t="s">
        <v>1012</v>
      </c>
      <c r="BP246" t="s">
        <v>74</v>
      </c>
      <c r="BQ246" t="s">
        <v>74</v>
      </c>
      <c r="BR246" t="s">
        <v>103</v>
      </c>
      <c r="BS246" t="s">
        <v>4926</v>
      </c>
      <c r="BT246" t="str">
        <f>HYPERLINK("https%3A%2F%2Fwww.webofscience.com%2Fwos%2Fwoscc%2Ffull-record%2FWOS:000269515000004","View Full Record in Web of Science")</f>
        <v>View Full Record in Web of Science</v>
      </c>
    </row>
    <row r="247" spans="1:72" x14ac:dyDescent="0.15">
      <c r="A247" t="s">
        <v>72</v>
      </c>
      <c r="B247" t="s">
        <v>4927</v>
      </c>
      <c r="C247" t="s">
        <v>74</v>
      </c>
      <c r="D247" t="s">
        <v>74</v>
      </c>
      <c r="E247" t="s">
        <v>74</v>
      </c>
      <c r="F247" t="s">
        <v>4928</v>
      </c>
      <c r="G247" t="s">
        <v>74</v>
      </c>
      <c r="H247" t="s">
        <v>74</v>
      </c>
      <c r="I247" t="s">
        <v>4929</v>
      </c>
      <c r="J247" t="s">
        <v>4930</v>
      </c>
      <c r="K247" t="s">
        <v>74</v>
      </c>
      <c r="L247" t="s">
        <v>74</v>
      </c>
      <c r="M247" t="s">
        <v>78</v>
      </c>
      <c r="N247" t="s">
        <v>79</v>
      </c>
      <c r="O247" t="s">
        <v>74</v>
      </c>
      <c r="P247" t="s">
        <v>74</v>
      </c>
      <c r="Q247" t="s">
        <v>74</v>
      </c>
      <c r="R247" t="s">
        <v>74</v>
      </c>
      <c r="S247" t="s">
        <v>74</v>
      </c>
      <c r="T247" t="s">
        <v>4931</v>
      </c>
      <c r="U247" t="s">
        <v>74</v>
      </c>
      <c r="V247" t="s">
        <v>4932</v>
      </c>
      <c r="W247" t="s">
        <v>4933</v>
      </c>
      <c r="X247" t="s">
        <v>4934</v>
      </c>
      <c r="Y247" t="s">
        <v>4935</v>
      </c>
      <c r="Z247" t="s">
        <v>4936</v>
      </c>
      <c r="AA247" t="s">
        <v>4937</v>
      </c>
      <c r="AB247" t="s">
        <v>74</v>
      </c>
      <c r="AC247" t="s">
        <v>74</v>
      </c>
      <c r="AD247" t="s">
        <v>74</v>
      </c>
      <c r="AE247" t="s">
        <v>74</v>
      </c>
      <c r="AF247" t="s">
        <v>74</v>
      </c>
      <c r="AG247">
        <v>6</v>
      </c>
      <c r="AH247">
        <v>0</v>
      </c>
      <c r="AI247">
        <v>0</v>
      </c>
      <c r="AJ247">
        <v>0</v>
      </c>
      <c r="AK247">
        <v>0</v>
      </c>
      <c r="AL247" t="s">
        <v>1761</v>
      </c>
      <c r="AM247" t="s">
        <v>1762</v>
      </c>
      <c r="AN247" t="s">
        <v>1763</v>
      </c>
      <c r="AO247" t="s">
        <v>4938</v>
      </c>
      <c r="AP247" t="s">
        <v>4939</v>
      </c>
      <c r="AQ247" t="s">
        <v>74</v>
      </c>
      <c r="AR247" t="s">
        <v>4940</v>
      </c>
      <c r="AS247" t="s">
        <v>4941</v>
      </c>
      <c r="AT247" t="s">
        <v>3655</v>
      </c>
      <c r="AU247">
        <v>2009</v>
      </c>
      <c r="AV247">
        <v>64</v>
      </c>
      <c r="AW247">
        <v>2</v>
      </c>
      <c r="AX247" t="s">
        <v>74</v>
      </c>
      <c r="AY247" t="s">
        <v>74</v>
      </c>
      <c r="AZ247" t="s">
        <v>74</v>
      </c>
      <c r="BA247" t="s">
        <v>74</v>
      </c>
      <c r="BB247">
        <v>202</v>
      </c>
      <c r="BC247">
        <v>207</v>
      </c>
      <c r="BD247" t="s">
        <v>74</v>
      </c>
      <c r="BE247" t="s">
        <v>4942</v>
      </c>
      <c r="BF247" t="str">
        <f>HYPERLINK("http://dx.doi.org/10.3103/S0027134909020210","http://dx.doi.org/10.3103/S0027134909020210")</f>
        <v>http://dx.doi.org/10.3103/S0027134909020210</v>
      </c>
      <c r="BG247" t="s">
        <v>74</v>
      </c>
      <c r="BH247" t="s">
        <v>74</v>
      </c>
      <c r="BI247">
        <v>6</v>
      </c>
      <c r="BJ247" t="s">
        <v>4943</v>
      </c>
      <c r="BK247" t="s">
        <v>100</v>
      </c>
      <c r="BL247" t="s">
        <v>2458</v>
      </c>
      <c r="BM247" t="s">
        <v>4944</v>
      </c>
      <c r="BN247" t="s">
        <v>74</v>
      </c>
      <c r="BO247" t="s">
        <v>74</v>
      </c>
      <c r="BP247" t="s">
        <v>74</v>
      </c>
      <c r="BQ247" t="s">
        <v>74</v>
      </c>
      <c r="BR247" t="s">
        <v>103</v>
      </c>
      <c r="BS247" t="s">
        <v>4945</v>
      </c>
      <c r="BT247" t="str">
        <f>HYPERLINK("https%3A%2F%2Fwww.webofscience.com%2Fwos%2Fwoscc%2Ffull-record%2FWOS:000266167400021","View Full Record in Web of Science")</f>
        <v>View Full Record in Web of Science</v>
      </c>
    </row>
    <row r="248" spans="1:72" x14ac:dyDescent="0.15">
      <c r="A248" t="s">
        <v>72</v>
      </c>
      <c r="B248" t="s">
        <v>4946</v>
      </c>
      <c r="C248" t="s">
        <v>74</v>
      </c>
      <c r="D248" t="s">
        <v>74</v>
      </c>
      <c r="E248" t="s">
        <v>74</v>
      </c>
      <c r="F248" t="s">
        <v>4947</v>
      </c>
      <c r="G248" t="s">
        <v>74</v>
      </c>
      <c r="H248" t="s">
        <v>74</v>
      </c>
      <c r="I248" t="s">
        <v>4948</v>
      </c>
      <c r="J248" t="s">
        <v>4949</v>
      </c>
      <c r="K248" t="s">
        <v>74</v>
      </c>
      <c r="L248" t="s">
        <v>74</v>
      </c>
      <c r="M248" t="s">
        <v>78</v>
      </c>
      <c r="N248" t="s">
        <v>79</v>
      </c>
      <c r="O248" t="s">
        <v>74</v>
      </c>
      <c r="P248" t="s">
        <v>74</v>
      </c>
      <c r="Q248" t="s">
        <v>74</v>
      </c>
      <c r="R248" t="s">
        <v>74</v>
      </c>
      <c r="S248" t="s">
        <v>74</v>
      </c>
      <c r="T248" t="s">
        <v>74</v>
      </c>
      <c r="U248" t="s">
        <v>4950</v>
      </c>
      <c r="V248" t="s">
        <v>4951</v>
      </c>
      <c r="W248" t="s">
        <v>4952</v>
      </c>
      <c r="X248" t="s">
        <v>4953</v>
      </c>
      <c r="Y248" t="s">
        <v>4954</v>
      </c>
      <c r="Z248" t="s">
        <v>4955</v>
      </c>
      <c r="AA248" t="s">
        <v>4956</v>
      </c>
      <c r="AB248" t="s">
        <v>4957</v>
      </c>
      <c r="AC248" t="s">
        <v>4958</v>
      </c>
      <c r="AD248" t="s">
        <v>4959</v>
      </c>
      <c r="AE248" t="s">
        <v>4960</v>
      </c>
      <c r="AF248" t="s">
        <v>74</v>
      </c>
      <c r="AG248">
        <v>30</v>
      </c>
      <c r="AH248">
        <v>238</v>
      </c>
      <c r="AI248">
        <v>257</v>
      </c>
      <c r="AJ248">
        <v>2</v>
      </c>
      <c r="AK248">
        <v>97</v>
      </c>
      <c r="AL248" t="s">
        <v>3225</v>
      </c>
      <c r="AM248" t="s">
        <v>92</v>
      </c>
      <c r="AN248" t="s">
        <v>4961</v>
      </c>
      <c r="AO248" t="s">
        <v>4962</v>
      </c>
      <c r="AP248" t="s">
        <v>4963</v>
      </c>
      <c r="AQ248" t="s">
        <v>74</v>
      </c>
      <c r="AR248" t="s">
        <v>4964</v>
      </c>
      <c r="AS248" t="s">
        <v>4965</v>
      </c>
      <c r="AT248" t="s">
        <v>3655</v>
      </c>
      <c r="AU248">
        <v>2009</v>
      </c>
      <c r="AV248">
        <v>2</v>
      </c>
      <c r="AW248">
        <v>4</v>
      </c>
      <c r="AX248" t="s">
        <v>74</v>
      </c>
      <c r="AY248" t="s">
        <v>74</v>
      </c>
      <c r="AZ248" t="s">
        <v>74</v>
      </c>
      <c r="BA248" t="s">
        <v>74</v>
      </c>
      <c r="BB248">
        <v>276</v>
      </c>
      <c r="BC248">
        <v>280</v>
      </c>
      <c r="BD248" t="s">
        <v>74</v>
      </c>
      <c r="BE248" t="s">
        <v>4966</v>
      </c>
      <c r="BF248" t="str">
        <f>HYPERLINK("http://dx.doi.org/10.1038/NGEO460","http://dx.doi.org/10.1038/NGEO460")</f>
        <v>http://dx.doi.org/10.1038/NGEO460</v>
      </c>
      <c r="BG248" t="s">
        <v>74</v>
      </c>
      <c r="BH248" t="s">
        <v>74</v>
      </c>
      <c r="BI248">
        <v>5</v>
      </c>
      <c r="BJ248" t="s">
        <v>496</v>
      </c>
      <c r="BK248" t="s">
        <v>100</v>
      </c>
      <c r="BL248" t="s">
        <v>497</v>
      </c>
      <c r="BM248" t="s">
        <v>4967</v>
      </c>
      <c r="BN248" t="s">
        <v>74</v>
      </c>
      <c r="BO248" t="s">
        <v>74</v>
      </c>
      <c r="BP248" t="s">
        <v>74</v>
      </c>
      <c r="BQ248" t="s">
        <v>74</v>
      </c>
      <c r="BR248" t="s">
        <v>103</v>
      </c>
      <c r="BS248" t="s">
        <v>4968</v>
      </c>
      <c r="BT248" t="str">
        <f>HYPERLINK("https%3A%2F%2Fwww.webofscience.com%2Fwos%2Fwoscc%2Ffull-record%2FWOS:000265240100018","View Full Record in Web of Science")</f>
        <v>View Full Record in Web of Science</v>
      </c>
    </row>
    <row r="249" spans="1:72" x14ac:dyDescent="0.15">
      <c r="A249" t="s">
        <v>72</v>
      </c>
      <c r="B249" t="s">
        <v>4969</v>
      </c>
      <c r="C249" t="s">
        <v>74</v>
      </c>
      <c r="D249" t="s">
        <v>74</v>
      </c>
      <c r="E249" t="s">
        <v>74</v>
      </c>
      <c r="F249" t="s">
        <v>4970</v>
      </c>
      <c r="G249" t="s">
        <v>74</v>
      </c>
      <c r="H249" t="s">
        <v>74</v>
      </c>
      <c r="I249" t="s">
        <v>4971</v>
      </c>
      <c r="J249" t="s">
        <v>4949</v>
      </c>
      <c r="K249" t="s">
        <v>74</v>
      </c>
      <c r="L249" t="s">
        <v>74</v>
      </c>
      <c r="M249" t="s">
        <v>78</v>
      </c>
      <c r="N249" t="s">
        <v>79</v>
      </c>
      <c r="O249" t="s">
        <v>74</v>
      </c>
      <c r="P249" t="s">
        <v>74</v>
      </c>
      <c r="Q249" t="s">
        <v>74</v>
      </c>
      <c r="R249" t="s">
        <v>74</v>
      </c>
      <c r="S249" t="s">
        <v>74</v>
      </c>
      <c r="T249" t="s">
        <v>74</v>
      </c>
      <c r="U249" t="s">
        <v>4972</v>
      </c>
      <c r="V249" t="s">
        <v>4973</v>
      </c>
      <c r="W249" t="s">
        <v>4974</v>
      </c>
      <c r="X249" t="s">
        <v>4975</v>
      </c>
      <c r="Y249" t="s">
        <v>4976</v>
      </c>
      <c r="Z249" t="s">
        <v>4977</v>
      </c>
      <c r="AA249" t="s">
        <v>4978</v>
      </c>
      <c r="AB249" t="s">
        <v>4979</v>
      </c>
      <c r="AC249" t="s">
        <v>4980</v>
      </c>
      <c r="AD249" t="s">
        <v>4981</v>
      </c>
      <c r="AE249" t="s">
        <v>4982</v>
      </c>
      <c r="AF249" t="s">
        <v>74</v>
      </c>
      <c r="AG249">
        <v>30</v>
      </c>
      <c r="AH249">
        <v>153</v>
      </c>
      <c r="AI249">
        <v>166</v>
      </c>
      <c r="AJ249">
        <v>1</v>
      </c>
      <c r="AK249">
        <v>58</v>
      </c>
      <c r="AL249" t="s">
        <v>3225</v>
      </c>
      <c r="AM249" t="s">
        <v>92</v>
      </c>
      <c r="AN249" t="s">
        <v>4961</v>
      </c>
      <c r="AO249" t="s">
        <v>4962</v>
      </c>
      <c r="AP249" t="s">
        <v>4963</v>
      </c>
      <c r="AQ249" t="s">
        <v>74</v>
      </c>
      <c r="AR249" t="s">
        <v>4964</v>
      </c>
      <c r="AS249" t="s">
        <v>4965</v>
      </c>
      <c r="AT249" t="s">
        <v>3655</v>
      </c>
      <c r="AU249">
        <v>2009</v>
      </c>
      <c r="AV249">
        <v>2</v>
      </c>
      <c r="AW249">
        <v>4</v>
      </c>
      <c r="AX249" t="s">
        <v>74</v>
      </c>
      <c r="AY249" t="s">
        <v>74</v>
      </c>
      <c r="AZ249" t="s">
        <v>74</v>
      </c>
      <c r="BA249" t="s">
        <v>74</v>
      </c>
      <c r="BB249">
        <v>281</v>
      </c>
      <c r="BC249">
        <v>285</v>
      </c>
      <c r="BD249" t="s">
        <v>74</v>
      </c>
      <c r="BE249" t="s">
        <v>4983</v>
      </c>
      <c r="BF249" t="str">
        <f>HYPERLINK("http://dx.doi.org/10.1038/NGEO474","http://dx.doi.org/10.1038/NGEO474")</f>
        <v>http://dx.doi.org/10.1038/NGEO474</v>
      </c>
      <c r="BG249" t="s">
        <v>74</v>
      </c>
      <c r="BH249" t="s">
        <v>74</v>
      </c>
      <c r="BI249">
        <v>5</v>
      </c>
      <c r="BJ249" t="s">
        <v>496</v>
      </c>
      <c r="BK249" t="s">
        <v>100</v>
      </c>
      <c r="BL249" t="s">
        <v>497</v>
      </c>
      <c r="BM249" t="s">
        <v>4967</v>
      </c>
      <c r="BN249" t="s">
        <v>74</v>
      </c>
      <c r="BO249" t="s">
        <v>1012</v>
      </c>
      <c r="BP249" t="s">
        <v>74</v>
      </c>
      <c r="BQ249" t="s">
        <v>74</v>
      </c>
      <c r="BR249" t="s">
        <v>103</v>
      </c>
      <c r="BS249" t="s">
        <v>4984</v>
      </c>
      <c r="BT249" t="str">
        <f>HYPERLINK("https%3A%2F%2Fwww.webofscience.com%2Fwos%2Fwoscc%2Ffull-record%2FWOS:000265240100019","View Full Record in Web of Science")</f>
        <v>View Full Record in Web of Science</v>
      </c>
    </row>
    <row r="250" spans="1:72" x14ac:dyDescent="0.15">
      <c r="A250" t="s">
        <v>72</v>
      </c>
      <c r="B250" t="s">
        <v>4985</v>
      </c>
      <c r="C250" t="s">
        <v>74</v>
      </c>
      <c r="D250" t="s">
        <v>74</v>
      </c>
      <c r="E250" t="s">
        <v>74</v>
      </c>
      <c r="F250" t="s">
        <v>4986</v>
      </c>
      <c r="G250" t="s">
        <v>74</v>
      </c>
      <c r="H250" t="s">
        <v>74</v>
      </c>
      <c r="I250" t="s">
        <v>4987</v>
      </c>
      <c r="J250" t="s">
        <v>4988</v>
      </c>
      <c r="K250" t="s">
        <v>74</v>
      </c>
      <c r="L250" t="s">
        <v>74</v>
      </c>
      <c r="M250" t="s">
        <v>78</v>
      </c>
      <c r="N250" t="s">
        <v>79</v>
      </c>
      <c r="O250" t="s">
        <v>74</v>
      </c>
      <c r="P250" t="s">
        <v>74</v>
      </c>
      <c r="Q250" t="s">
        <v>74</v>
      </c>
      <c r="R250" t="s">
        <v>74</v>
      </c>
      <c r="S250" t="s">
        <v>74</v>
      </c>
      <c r="T250" t="s">
        <v>74</v>
      </c>
      <c r="U250" t="s">
        <v>4989</v>
      </c>
      <c r="V250" t="s">
        <v>4990</v>
      </c>
      <c r="W250" t="s">
        <v>4991</v>
      </c>
      <c r="X250" t="s">
        <v>4992</v>
      </c>
      <c r="Y250" t="s">
        <v>4993</v>
      </c>
      <c r="Z250" t="s">
        <v>4994</v>
      </c>
      <c r="AA250" t="s">
        <v>74</v>
      </c>
      <c r="AB250" t="s">
        <v>74</v>
      </c>
      <c r="AC250" t="s">
        <v>4995</v>
      </c>
      <c r="AD250" t="s">
        <v>4996</v>
      </c>
      <c r="AE250" t="s">
        <v>4997</v>
      </c>
      <c r="AF250" t="s">
        <v>74</v>
      </c>
      <c r="AG250">
        <v>22</v>
      </c>
      <c r="AH250">
        <v>3</v>
      </c>
      <c r="AI250">
        <v>3</v>
      </c>
      <c r="AJ250">
        <v>0</v>
      </c>
      <c r="AK250">
        <v>2</v>
      </c>
      <c r="AL250" t="s">
        <v>2834</v>
      </c>
      <c r="AM250" t="s">
        <v>92</v>
      </c>
      <c r="AN250" t="s">
        <v>2835</v>
      </c>
      <c r="AO250" t="s">
        <v>4998</v>
      </c>
      <c r="AP250" t="s">
        <v>4999</v>
      </c>
      <c r="AQ250" t="s">
        <v>74</v>
      </c>
      <c r="AR250" t="s">
        <v>5000</v>
      </c>
      <c r="AS250" t="s">
        <v>5001</v>
      </c>
      <c r="AT250" t="s">
        <v>3655</v>
      </c>
      <c r="AU250">
        <v>2009</v>
      </c>
      <c r="AV250">
        <v>49</v>
      </c>
      <c r="AW250">
        <v>2</v>
      </c>
      <c r="AX250" t="s">
        <v>74</v>
      </c>
      <c r="AY250" t="s">
        <v>74</v>
      </c>
      <c r="AZ250" t="s">
        <v>74</v>
      </c>
      <c r="BA250" t="s">
        <v>74</v>
      </c>
      <c r="BB250">
        <v>151</v>
      </c>
      <c r="BC250">
        <v>165</v>
      </c>
      <c r="BD250" t="s">
        <v>74</v>
      </c>
      <c r="BE250" t="s">
        <v>5002</v>
      </c>
      <c r="BF250" t="str">
        <f>HYPERLINK("http://dx.doi.org/10.1134/S0001437009020015","http://dx.doi.org/10.1134/S0001437009020015")</f>
        <v>http://dx.doi.org/10.1134/S0001437009020015</v>
      </c>
      <c r="BG250" t="s">
        <v>74</v>
      </c>
      <c r="BH250" t="s">
        <v>74</v>
      </c>
      <c r="BI250">
        <v>15</v>
      </c>
      <c r="BJ250" t="s">
        <v>689</v>
      </c>
      <c r="BK250" t="s">
        <v>100</v>
      </c>
      <c r="BL250" t="s">
        <v>689</v>
      </c>
      <c r="BM250" t="s">
        <v>5003</v>
      </c>
      <c r="BN250" t="s">
        <v>74</v>
      </c>
      <c r="BO250" t="s">
        <v>74</v>
      </c>
      <c r="BP250" t="s">
        <v>74</v>
      </c>
      <c r="BQ250" t="s">
        <v>74</v>
      </c>
      <c r="BR250" t="s">
        <v>103</v>
      </c>
      <c r="BS250" t="s">
        <v>5004</v>
      </c>
      <c r="BT250" t="str">
        <f>HYPERLINK("https%3A%2F%2Fwww.webofscience.com%2Fwos%2Fwoscc%2Ffull-record%2FWOS:000265733100001","View Full Record in Web of Science")</f>
        <v>View Full Record in Web of Science</v>
      </c>
    </row>
    <row r="251" spans="1:72" x14ac:dyDescent="0.15">
      <c r="A251" t="s">
        <v>72</v>
      </c>
      <c r="B251" t="s">
        <v>5005</v>
      </c>
      <c r="C251" t="s">
        <v>74</v>
      </c>
      <c r="D251" t="s">
        <v>74</v>
      </c>
      <c r="E251" t="s">
        <v>74</v>
      </c>
      <c r="F251" t="s">
        <v>5006</v>
      </c>
      <c r="G251" t="s">
        <v>74</v>
      </c>
      <c r="H251" t="s">
        <v>74</v>
      </c>
      <c r="I251" t="s">
        <v>5007</v>
      </c>
      <c r="J251" t="s">
        <v>5008</v>
      </c>
      <c r="K251" t="s">
        <v>74</v>
      </c>
      <c r="L251" t="s">
        <v>74</v>
      </c>
      <c r="M251" t="s">
        <v>78</v>
      </c>
      <c r="N251" t="s">
        <v>79</v>
      </c>
      <c r="O251" t="s">
        <v>74</v>
      </c>
      <c r="P251" t="s">
        <v>74</v>
      </c>
      <c r="Q251" t="s">
        <v>74</v>
      </c>
      <c r="R251" t="s">
        <v>74</v>
      </c>
      <c r="S251" t="s">
        <v>74</v>
      </c>
      <c r="T251" t="s">
        <v>74</v>
      </c>
      <c r="U251" t="s">
        <v>5009</v>
      </c>
      <c r="V251" t="s">
        <v>5010</v>
      </c>
      <c r="W251" t="s">
        <v>5011</v>
      </c>
      <c r="X251" t="s">
        <v>5012</v>
      </c>
      <c r="Y251" t="s">
        <v>5013</v>
      </c>
      <c r="Z251" t="s">
        <v>5014</v>
      </c>
      <c r="AA251" t="s">
        <v>5015</v>
      </c>
      <c r="AB251" t="s">
        <v>5016</v>
      </c>
      <c r="AC251" t="s">
        <v>5017</v>
      </c>
      <c r="AD251" t="s">
        <v>5017</v>
      </c>
      <c r="AE251" t="s">
        <v>5018</v>
      </c>
      <c r="AF251" t="s">
        <v>74</v>
      </c>
      <c r="AG251">
        <v>42</v>
      </c>
      <c r="AH251">
        <v>34</v>
      </c>
      <c r="AI251">
        <v>40</v>
      </c>
      <c r="AJ251">
        <v>1</v>
      </c>
      <c r="AK251">
        <v>40</v>
      </c>
      <c r="AL251" t="s">
        <v>1847</v>
      </c>
      <c r="AM251" t="s">
        <v>1848</v>
      </c>
      <c r="AN251" t="s">
        <v>1849</v>
      </c>
      <c r="AO251" t="s">
        <v>5019</v>
      </c>
      <c r="AP251" t="s">
        <v>74</v>
      </c>
      <c r="AQ251" t="s">
        <v>74</v>
      </c>
      <c r="AR251" t="s">
        <v>5008</v>
      </c>
      <c r="AS251" t="s">
        <v>5020</v>
      </c>
      <c r="AT251" t="s">
        <v>3655</v>
      </c>
      <c r="AU251">
        <v>2009</v>
      </c>
      <c r="AV251">
        <v>118</v>
      </c>
      <c r="AW251">
        <v>4</v>
      </c>
      <c r="AX251" t="s">
        <v>74</v>
      </c>
      <c r="AY251" t="s">
        <v>74</v>
      </c>
      <c r="AZ251" t="s">
        <v>74</v>
      </c>
      <c r="BA251" t="s">
        <v>74</v>
      </c>
      <c r="BB251">
        <v>539</v>
      </c>
      <c r="BC251">
        <v>544</v>
      </c>
      <c r="BD251" t="s">
        <v>74</v>
      </c>
      <c r="BE251" t="s">
        <v>5021</v>
      </c>
      <c r="BF251" t="str">
        <f>HYPERLINK("http://dx.doi.org/10.1111/j.1600-0706.2009.17239.x","http://dx.doi.org/10.1111/j.1600-0706.2009.17239.x")</f>
        <v>http://dx.doi.org/10.1111/j.1600-0706.2009.17239.x</v>
      </c>
      <c r="BG251" t="s">
        <v>74</v>
      </c>
      <c r="BH251" t="s">
        <v>74</v>
      </c>
      <c r="BI251">
        <v>6</v>
      </c>
      <c r="BJ251" t="s">
        <v>2480</v>
      </c>
      <c r="BK251" t="s">
        <v>100</v>
      </c>
      <c r="BL251" t="s">
        <v>424</v>
      </c>
      <c r="BM251" t="s">
        <v>5022</v>
      </c>
      <c r="BN251" t="s">
        <v>74</v>
      </c>
      <c r="BO251" t="s">
        <v>74</v>
      </c>
      <c r="BP251" t="s">
        <v>74</v>
      </c>
      <c r="BQ251" t="s">
        <v>74</v>
      </c>
      <c r="BR251" t="s">
        <v>103</v>
      </c>
      <c r="BS251" t="s">
        <v>5023</v>
      </c>
      <c r="BT251" t="str">
        <f>HYPERLINK("https%3A%2F%2Fwww.webofscience.com%2Fwos%2Fwoscc%2Ffull-record%2FWOS:000264785400008","View Full Record in Web of Science")</f>
        <v>View Full Record in Web of Science</v>
      </c>
    </row>
    <row r="252" spans="1:72" x14ac:dyDescent="0.15">
      <c r="A252" t="s">
        <v>72</v>
      </c>
      <c r="B252" t="s">
        <v>5024</v>
      </c>
      <c r="C252" t="s">
        <v>74</v>
      </c>
      <c r="D252" t="s">
        <v>74</v>
      </c>
      <c r="E252" t="s">
        <v>74</v>
      </c>
      <c r="F252" t="s">
        <v>5025</v>
      </c>
      <c r="G252" t="s">
        <v>74</v>
      </c>
      <c r="H252" t="s">
        <v>74</v>
      </c>
      <c r="I252" t="s">
        <v>5026</v>
      </c>
      <c r="J252" t="s">
        <v>5027</v>
      </c>
      <c r="K252" t="s">
        <v>74</v>
      </c>
      <c r="L252" t="s">
        <v>74</v>
      </c>
      <c r="M252" t="s">
        <v>78</v>
      </c>
      <c r="N252" t="s">
        <v>79</v>
      </c>
      <c r="O252" t="s">
        <v>74</v>
      </c>
      <c r="P252" t="s">
        <v>74</v>
      </c>
      <c r="Q252" t="s">
        <v>74</v>
      </c>
      <c r="R252" t="s">
        <v>74</v>
      </c>
      <c r="S252" t="s">
        <v>74</v>
      </c>
      <c r="T252" t="s">
        <v>5028</v>
      </c>
      <c r="U252" t="s">
        <v>5029</v>
      </c>
      <c r="V252" t="s">
        <v>5030</v>
      </c>
      <c r="W252" t="s">
        <v>5031</v>
      </c>
      <c r="X252" t="s">
        <v>5032</v>
      </c>
      <c r="Y252" t="s">
        <v>5033</v>
      </c>
      <c r="Z252" t="s">
        <v>74</v>
      </c>
      <c r="AA252" t="s">
        <v>5034</v>
      </c>
      <c r="AB252" t="s">
        <v>5035</v>
      </c>
      <c r="AC252" t="s">
        <v>5036</v>
      </c>
      <c r="AD252" t="s">
        <v>5037</v>
      </c>
      <c r="AE252" t="s">
        <v>5038</v>
      </c>
      <c r="AF252" t="s">
        <v>74</v>
      </c>
      <c r="AG252">
        <v>61</v>
      </c>
      <c r="AH252">
        <v>26</v>
      </c>
      <c r="AI252">
        <v>27</v>
      </c>
      <c r="AJ252">
        <v>0</v>
      </c>
      <c r="AK252">
        <v>4</v>
      </c>
      <c r="AL252" t="s">
        <v>5039</v>
      </c>
      <c r="AM252" t="s">
        <v>5040</v>
      </c>
      <c r="AN252" t="s">
        <v>5041</v>
      </c>
      <c r="AO252" t="s">
        <v>5042</v>
      </c>
      <c r="AP252" t="s">
        <v>5043</v>
      </c>
      <c r="AQ252" t="s">
        <v>74</v>
      </c>
      <c r="AR252" t="s">
        <v>5044</v>
      </c>
      <c r="AS252" t="s">
        <v>5045</v>
      </c>
      <c r="AT252" t="s">
        <v>3655</v>
      </c>
      <c r="AU252">
        <v>2009</v>
      </c>
      <c r="AV252">
        <v>79</v>
      </c>
      <c r="AW252">
        <v>4</v>
      </c>
      <c r="AX252">
        <v>1</v>
      </c>
      <c r="AY252" t="s">
        <v>74</v>
      </c>
      <c r="AZ252" t="s">
        <v>74</v>
      </c>
      <c r="BA252" t="s">
        <v>74</v>
      </c>
      <c r="BB252" t="s">
        <v>74</v>
      </c>
      <c r="BC252" t="s">
        <v>74</v>
      </c>
      <c r="BD252">
        <v>41124</v>
      </c>
      <c r="BE252" t="s">
        <v>5046</v>
      </c>
      <c r="BF252" t="str">
        <f>HYPERLINK("http://dx.doi.org/10.1103/PhysRevE.79.041124","http://dx.doi.org/10.1103/PhysRevE.79.041124")</f>
        <v>http://dx.doi.org/10.1103/PhysRevE.79.041124</v>
      </c>
      <c r="BG252" t="s">
        <v>74</v>
      </c>
      <c r="BH252" t="s">
        <v>74</v>
      </c>
      <c r="BI252">
        <v>9</v>
      </c>
      <c r="BJ252" t="s">
        <v>5047</v>
      </c>
      <c r="BK252" t="s">
        <v>100</v>
      </c>
      <c r="BL252" t="s">
        <v>2458</v>
      </c>
      <c r="BM252" t="s">
        <v>5048</v>
      </c>
      <c r="BN252">
        <v>19518190</v>
      </c>
      <c r="BO252" t="s">
        <v>3769</v>
      </c>
      <c r="BP252" t="s">
        <v>74</v>
      </c>
      <c r="BQ252" t="s">
        <v>74</v>
      </c>
      <c r="BR252" t="s">
        <v>103</v>
      </c>
      <c r="BS252" t="s">
        <v>5049</v>
      </c>
      <c r="BT252" t="str">
        <f>HYPERLINK("https%3A%2F%2Fwww.webofscience.com%2Fwos%2Fwoscc%2Ffull-record%2FWOS:000265941300035","View Full Record in Web of Science")</f>
        <v>View Full Record in Web of Science</v>
      </c>
    </row>
    <row r="253" spans="1:72" x14ac:dyDescent="0.15">
      <c r="A253" t="s">
        <v>72</v>
      </c>
      <c r="B253" t="s">
        <v>5050</v>
      </c>
      <c r="C253" t="s">
        <v>74</v>
      </c>
      <c r="D253" t="s">
        <v>74</v>
      </c>
      <c r="E253" t="s">
        <v>74</v>
      </c>
      <c r="F253" t="s">
        <v>5051</v>
      </c>
      <c r="G253" t="s">
        <v>74</v>
      </c>
      <c r="H253" t="s">
        <v>74</v>
      </c>
      <c r="I253" t="s">
        <v>5052</v>
      </c>
      <c r="J253" t="s">
        <v>2579</v>
      </c>
      <c r="K253" t="s">
        <v>74</v>
      </c>
      <c r="L253" t="s">
        <v>74</v>
      </c>
      <c r="M253" t="s">
        <v>78</v>
      </c>
      <c r="N253" t="s">
        <v>79</v>
      </c>
      <c r="O253" t="s">
        <v>74</v>
      </c>
      <c r="P253" t="s">
        <v>74</v>
      </c>
      <c r="Q253" t="s">
        <v>74</v>
      </c>
      <c r="R253" t="s">
        <v>74</v>
      </c>
      <c r="S253" t="s">
        <v>74</v>
      </c>
      <c r="T253" t="s">
        <v>5053</v>
      </c>
      <c r="U253" t="s">
        <v>5054</v>
      </c>
      <c r="V253" t="s">
        <v>5055</v>
      </c>
      <c r="W253" t="s">
        <v>5056</v>
      </c>
      <c r="X253" t="s">
        <v>5057</v>
      </c>
      <c r="Y253" t="s">
        <v>5058</v>
      </c>
      <c r="Z253" t="s">
        <v>5059</v>
      </c>
      <c r="AA253" t="s">
        <v>5060</v>
      </c>
      <c r="AB253" t="s">
        <v>5061</v>
      </c>
      <c r="AC253" t="s">
        <v>5062</v>
      </c>
      <c r="AD253" t="s">
        <v>5063</v>
      </c>
      <c r="AE253" t="s">
        <v>5064</v>
      </c>
      <c r="AF253" t="s">
        <v>74</v>
      </c>
      <c r="AG253">
        <v>30</v>
      </c>
      <c r="AH253">
        <v>56</v>
      </c>
      <c r="AI253">
        <v>61</v>
      </c>
      <c r="AJ253">
        <v>0</v>
      </c>
      <c r="AK253">
        <v>14</v>
      </c>
      <c r="AL253" t="s">
        <v>303</v>
      </c>
      <c r="AM253" t="s">
        <v>304</v>
      </c>
      <c r="AN253" t="s">
        <v>305</v>
      </c>
      <c r="AO253" t="s">
        <v>2592</v>
      </c>
      <c r="AP253" t="s">
        <v>74</v>
      </c>
      <c r="AQ253" t="s">
        <v>74</v>
      </c>
      <c r="AR253" t="s">
        <v>2593</v>
      </c>
      <c r="AS253" t="s">
        <v>2594</v>
      </c>
      <c r="AT253" t="s">
        <v>3655</v>
      </c>
      <c r="AU253">
        <v>2009</v>
      </c>
      <c r="AV253">
        <v>57</v>
      </c>
      <c r="AW253">
        <v>4</v>
      </c>
      <c r="AX253" t="s">
        <v>74</v>
      </c>
      <c r="AY253" t="s">
        <v>74</v>
      </c>
      <c r="AZ253" t="s">
        <v>2297</v>
      </c>
      <c r="BA253" t="s">
        <v>74</v>
      </c>
      <c r="BB253">
        <v>454</v>
      </c>
      <c r="BC253">
        <v>459</v>
      </c>
      <c r="BD253" t="s">
        <v>74</v>
      </c>
      <c r="BE253" t="s">
        <v>5065</v>
      </c>
      <c r="BF253" t="str">
        <f>HYPERLINK("http://dx.doi.org/10.1016/j.pss.2008.06.001","http://dx.doi.org/10.1016/j.pss.2008.06.001")</f>
        <v>http://dx.doi.org/10.1016/j.pss.2008.06.001</v>
      </c>
      <c r="BG253" t="s">
        <v>74</v>
      </c>
      <c r="BH253" t="s">
        <v>74</v>
      </c>
      <c r="BI253">
        <v>6</v>
      </c>
      <c r="BJ253" t="s">
        <v>285</v>
      </c>
      <c r="BK253" t="s">
        <v>100</v>
      </c>
      <c r="BL253" t="s">
        <v>285</v>
      </c>
      <c r="BM253" t="s">
        <v>5066</v>
      </c>
      <c r="BN253" t="s">
        <v>74</v>
      </c>
      <c r="BO253" t="s">
        <v>74</v>
      </c>
      <c r="BP253" t="s">
        <v>74</v>
      </c>
      <c r="BQ253" t="s">
        <v>74</v>
      </c>
      <c r="BR253" t="s">
        <v>103</v>
      </c>
      <c r="BS253" t="s">
        <v>5067</v>
      </c>
      <c r="BT253" t="str">
        <f>HYPERLINK("https%3A%2F%2Fwww.webofscience.com%2Fwos%2Fwoscc%2Ffull-record%2FWOS:000265993800007","View Full Record in Web of Science")</f>
        <v>View Full Record in Web of Science</v>
      </c>
    </row>
    <row r="254" spans="1:72" x14ac:dyDescent="0.15">
      <c r="A254" t="s">
        <v>72</v>
      </c>
      <c r="B254" t="s">
        <v>5068</v>
      </c>
      <c r="C254" t="s">
        <v>74</v>
      </c>
      <c r="D254" t="s">
        <v>74</v>
      </c>
      <c r="E254" t="s">
        <v>74</v>
      </c>
      <c r="F254" t="s">
        <v>5069</v>
      </c>
      <c r="G254" t="s">
        <v>74</v>
      </c>
      <c r="H254" t="s">
        <v>74</v>
      </c>
      <c r="I254" t="s">
        <v>5070</v>
      </c>
      <c r="J254" t="s">
        <v>5071</v>
      </c>
      <c r="K254" t="s">
        <v>74</v>
      </c>
      <c r="L254" t="s">
        <v>74</v>
      </c>
      <c r="M254" t="s">
        <v>78</v>
      </c>
      <c r="N254" t="s">
        <v>79</v>
      </c>
      <c r="O254" t="s">
        <v>74</v>
      </c>
      <c r="P254" t="s">
        <v>74</v>
      </c>
      <c r="Q254" t="s">
        <v>74</v>
      </c>
      <c r="R254" t="s">
        <v>74</v>
      </c>
      <c r="S254" t="s">
        <v>74</v>
      </c>
      <c r="T254" t="s">
        <v>5072</v>
      </c>
      <c r="U254" t="s">
        <v>5073</v>
      </c>
      <c r="V254" t="s">
        <v>5074</v>
      </c>
      <c r="W254" t="s">
        <v>5075</v>
      </c>
      <c r="X254" t="s">
        <v>5076</v>
      </c>
      <c r="Y254" t="s">
        <v>5077</v>
      </c>
      <c r="Z254" t="s">
        <v>5078</v>
      </c>
      <c r="AA254" t="s">
        <v>74</v>
      </c>
      <c r="AB254" t="s">
        <v>74</v>
      </c>
      <c r="AC254" t="s">
        <v>5079</v>
      </c>
      <c r="AD254" t="s">
        <v>5080</v>
      </c>
      <c r="AE254" t="s">
        <v>5081</v>
      </c>
      <c r="AF254" t="s">
        <v>74</v>
      </c>
      <c r="AG254">
        <v>45</v>
      </c>
      <c r="AH254">
        <v>46</v>
      </c>
      <c r="AI254">
        <v>59</v>
      </c>
      <c r="AJ254">
        <v>1</v>
      </c>
      <c r="AK254">
        <v>27</v>
      </c>
      <c r="AL254" t="s">
        <v>489</v>
      </c>
      <c r="AM254" t="s">
        <v>490</v>
      </c>
      <c r="AN254" t="s">
        <v>491</v>
      </c>
      <c r="AO254" t="s">
        <v>5082</v>
      </c>
      <c r="AP254" t="s">
        <v>5083</v>
      </c>
      <c r="AQ254" t="s">
        <v>74</v>
      </c>
      <c r="AR254" t="s">
        <v>5084</v>
      </c>
      <c r="AS254" t="s">
        <v>5085</v>
      </c>
      <c r="AT254" t="s">
        <v>3655</v>
      </c>
      <c r="AU254">
        <v>2009</v>
      </c>
      <c r="AV254">
        <v>32</v>
      </c>
      <c r="AW254">
        <v>4</v>
      </c>
      <c r="AX254" t="s">
        <v>74</v>
      </c>
      <c r="AY254" t="s">
        <v>74</v>
      </c>
      <c r="AZ254" t="s">
        <v>74</v>
      </c>
      <c r="BA254" t="s">
        <v>74</v>
      </c>
      <c r="BB254">
        <v>336</v>
      </c>
      <c r="BC254">
        <v>348</v>
      </c>
      <c r="BD254" t="s">
        <v>74</v>
      </c>
      <c r="BE254" t="s">
        <v>5086</v>
      </c>
      <c r="BF254" t="str">
        <f>HYPERLINK("http://dx.doi.org/10.1111/j.1365-3040.2009.01925.x","http://dx.doi.org/10.1111/j.1365-3040.2009.01925.x")</f>
        <v>http://dx.doi.org/10.1111/j.1365-3040.2009.01925.x</v>
      </c>
      <c r="BG254" t="s">
        <v>74</v>
      </c>
      <c r="BH254" t="s">
        <v>74</v>
      </c>
      <c r="BI254">
        <v>13</v>
      </c>
      <c r="BJ254" t="s">
        <v>2573</v>
      </c>
      <c r="BK254" t="s">
        <v>100</v>
      </c>
      <c r="BL254" t="s">
        <v>2573</v>
      </c>
      <c r="BM254" t="s">
        <v>5087</v>
      </c>
      <c r="BN254">
        <v>19143989</v>
      </c>
      <c r="BO254" t="s">
        <v>499</v>
      </c>
      <c r="BP254" t="s">
        <v>74</v>
      </c>
      <c r="BQ254" t="s">
        <v>74</v>
      </c>
      <c r="BR254" t="s">
        <v>103</v>
      </c>
      <c r="BS254" t="s">
        <v>5088</v>
      </c>
      <c r="BT254" t="str">
        <f>HYPERLINK("https%3A%2F%2Fwww.webofscience.com%2Fwos%2Fwoscc%2Ffull-record%2FWOS:000263910800003","View Full Record in Web of Science")</f>
        <v>View Full Record in Web of Science</v>
      </c>
    </row>
    <row r="255" spans="1:72" x14ac:dyDescent="0.15">
      <c r="A255" t="s">
        <v>72</v>
      </c>
      <c r="B255" t="s">
        <v>5089</v>
      </c>
      <c r="C255" t="s">
        <v>74</v>
      </c>
      <c r="D255" t="s">
        <v>74</v>
      </c>
      <c r="E255" t="s">
        <v>74</v>
      </c>
      <c r="F255" t="s">
        <v>5090</v>
      </c>
      <c r="G255" t="s">
        <v>74</v>
      </c>
      <c r="H255" t="s">
        <v>74</v>
      </c>
      <c r="I255" t="s">
        <v>5091</v>
      </c>
      <c r="J255" t="s">
        <v>77</v>
      </c>
      <c r="K255" t="s">
        <v>74</v>
      </c>
      <c r="L255" t="s">
        <v>74</v>
      </c>
      <c r="M255" t="s">
        <v>78</v>
      </c>
      <c r="N255" t="s">
        <v>79</v>
      </c>
      <c r="O255" t="s">
        <v>74</v>
      </c>
      <c r="P255" t="s">
        <v>74</v>
      </c>
      <c r="Q255" t="s">
        <v>74</v>
      </c>
      <c r="R255" t="s">
        <v>74</v>
      </c>
      <c r="S255" t="s">
        <v>74</v>
      </c>
      <c r="T255" t="s">
        <v>5092</v>
      </c>
      <c r="U255" t="s">
        <v>5093</v>
      </c>
      <c r="V255" t="s">
        <v>5094</v>
      </c>
      <c r="W255" t="s">
        <v>5095</v>
      </c>
      <c r="X255" t="s">
        <v>5096</v>
      </c>
      <c r="Y255" t="s">
        <v>5097</v>
      </c>
      <c r="Z255" t="s">
        <v>5098</v>
      </c>
      <c r="AA255" t="s">
        <v>5099</v>
      </c>
      <c r="AB255" t="s">
        <v>74</v>
      </c>
      <c r="AC255" t="s">
        <v>5100</v>
      </c>
      <c r="AD255" t="s">
        <v>5101</v>
      </c>
      <c r="AE255" t="s">
        <v>5102</v>
      </c>
      <c r="AF255" t="s">
        <v>74</v>
      </c>
      <c r="AG255">
        <v>53</v>
      </c>
      <c r="AH255">
        <v>23</v>
      </c>
      <c r="AI255">
        <v>23</v>
      </c>
      <c r="AJ255">
        <v>1</v>
      </c>
      <c r="AK255">
        <v>9</v>
      </c>
      <c r="AL255" t="s">
        <v>91</v>
      </c>
      <c r="AM255" t="s">
        <v>92</v>
      </c>
      <c r="AN255" t="s">
        <v>93</v>
      </c>
      <c r="AO255" t="s">
        <v>94</v>
      </c>
      <c r="AP255" t="s">
        <v>119</v>
      </c>
      <c r="AQ255" t="s">
        <v>74</v>
      </c>
      <c r="AR255" t="s">
        <v>95</v>
      </c>
      <c r="AS255" t="s">
        <v>96</v>
      </c>
      <c r="AT255" t="s">
        <v>3655</v>
      </c>
      <c r="AU255">
        <v>2009</v>
      </c>
      <c r="AV255">
        <v>32</v>
      </c>
      <c r="AW255">
        <v>4</v>
      </c>
      <c r="AX255" t="s">
        <v>74</v>
      </c>
      <c r="AY255" t="s">
        <v>74</v>
      </c>
      <c r="AZ255" t="s">
        <v>74</v>
      </c>
      <c r="BA255" t="s">
        <v>74</v>
      </c>
      <c r="BB255">
        <v>517</v>
      </c>
      <c r="BC255">
        <v>528</v>
      </c>
      <c r="BD255" t="s">
        <v>74</v>
      </c>
      <c r="BE255" t="s">
        <v>5103</v>
      </c>
      <c r="BF255" t="str">
        <f>HYPERLINK("http://dx.doi.org/10.1007/s00300-008-0544-7","http://dx.doi.org/10.1007/s00300-008-0544-7")</f>
        <v>http://dx.doi.org/10.1007/s00300-008-0544-7</v>
      </c>
      <c r="BG255" t="s">
        <v>74</v>
      </c>
      <c r="BH255" t="s">
        <v>74</v>
      </c>
      <c r="BI255">
        <v>12</v>
      </c>
      <c r="BJ255" t="s">
        <v>99</v>
      </c>
      <c r="BK255" t="s">
        <v>100</v>
      </c>
      <c r="BL255" t="s">
        <v>101</v>
      </c>
      <c r="BM255" t="s">
        <v>5104</v>
      </c>
      <c r="BN255" t="s">
        <v>74</v>
      </c>
      <c r="BO255" t="s">
        <v>74</v>
      </c>
      <c r="BP255" t="s">
        <v>74</v>
      </c>
      <c r="BQ255" t="s">
        <v>74</v>
      </c>
      <c r="BR255" t="s">
        <v>103</v>
      </c>
      <c r="BS255" t="s">
        <v>5105</v>
      </c>
      <c r="BT255" t="str">
        <f>HYPERLINK("https%3A%2F%2Fwww.webofscience.com%2Fwos%2Fwoscc%2Ffull-record%2FWOS:000264328700001","View Full Record in Web of Science")</f>
        <v>View Full Record in Web of Science</v>
      </c>
    </row>
    <row r="256" spans="1:72" x14ac:dyDescent="0.15">
      <c r="A256" t="s">
        <v>72</v>
      </c>
      <c r="B256" t="s">
        <v>5106</v>
      </c>
      <c r="C256" t="s">
        <v>74</v>
      </c>
      <c r="D256" t="s">
        <v>74</v>
      </c>
      <c r="E256" t="s">
        <v>74</v>
      </c>
      <c r="F256" t="s">
        <v>5107</v>
      </c>
      <c r="G256" t="s">
        <v>74</v>
      </c>
      <c r="H256" t="s">
        <v>74</v>
      </c>
      <c r="I256" t="s">
        <v>5108</v>
      </c>
      <c r="J256" t="s">
        <v>77</v>
      </c>
      <c r="K256" t="s">
        <v>74</v>
      </c>
      <c r="L256" t="s">
        <v>74</v>
      </c>
      <c r="M256" t="s">
        <v>78</v>
      </c>
      <c r="N256" t="s">
        <v>79</v>
      </c>
      <c r="O256" t="s">
        <v>74</v>
      </c>
      <c r="P256" t="s">
        <v>74</v>
      </c>
      <c r="Q256" t="s">
        <v>74</v>
      </c>
      <c r="R256" t="s">
        <v>74</v>
      </c>
      <c r="S256" t="s">
        <v>74</v>
      </c>
      <c r="T256" t="s">
        <v>5109</v>
      </c>
      <c r="U256" t="s">
        <v>5110</v>
      </c>
      <c r="V256" t="s">
        <v>5111</v>
      </c>
      <c r="W256" t="s">
        <v>5112</v>
      </c>
      <c r="X256" t="s">
        <v>5113</v>
      </c>
      <c r="Y256" t="s">
        <v>5114</v>
      </c>
      <c r="Z256" t="s">
        <v>5115</v>
      </c>
      <c r="AA256" t="s">
        <v>5116</v>
      </c>
      <c r="AB256" t="s">
        <v>5117</v>
      </c>
      <c r="AC256" t="s">
        <v>5118</v>
      </c>
      <c r="AD256" t="s">
        <v>5119</v>
      </c>
      <c r="AE256" t="s">
        <v>5120</v>
      </c>
      <c r="AF256" t="s">
        <v>74</v>
      </c>
      <c r="AG256">
        <v>41</v>
      </c>
      <c r="AH256">
        <v>8</v>
      </c>
      <c r="AI256">
        <v>9</v>
      </c>
      <c r="AJ256">
        <v>0</v>
      </c>
      <c r="AK256">
        <v>20</v>
      </c>
      <c r="AL256" t="s">
        <v>91</v>
      </c>
      <c r="AM256" t="s">
        <v>92</v>
      </c>
      <c r="AN256" t="s">
        <v>93</v>
      </c>
      <c r="AO256" t="s">
        <v>94</v>
      </c>
      <c r="AP256" t="s">
        <v>74</v>
      </c>
      <c r="AQ256" t="s">
        <v>74</v>
      </c>
      <c r="AR256" t="s">
        <v>95</v>
      </c>
      <c r="AS256" t="s">
        <v>96</v>
      </c>
      <c r="AT256" t="s">
        <v>3655</v>
      </c>
      <c r="AU256">
        <v>2009</v>
      </c>
      <c r="AV256">
        <v>32</v>
      </c>
      <c r="AW256">
        <v>4</v>
      </c>
      <c r="AX256" t="s">
        <v>74</v>
      </c>
      <c r="AY256" t="s">
        <v>74</v>
      </c>
      <c r="AZ256" t="s">
        <v>74</v>
      </c>
      <c r="BA256" t="s">
        <v>74</v>
      </c>
      <c r="BB256">
        <v>561</v>
      </c>
      <c r="BC256">
        <v>568</v>
      </c>
      <c r="BD256" t="s">
        <v>74</v>
      </c>
      <c r="BE256" t="s">
        <v>5121</v>
      </c>
      <c r="BF256" t="str">
        <f>HYPERLINK("http://dx.doi.org/10.1007/s00300-008-0550-9","http://dx.doi.org/10.1007/s00300-008-0550-9")</f>
        <v>http://dx.doi.org/10.1007/s00300-008-0550-9</v>
      </c>
      <c r="BG256" t="s">
        <v>74</v>
      </c>
      <c r="BH256" t="s">
        <v>74</v>
      </c>
      <c r="BI256">
        <v>8</v>
      </c>
      <c r="BJ256" t="s">
        <v>99</v>
      </c>
      <c r="BK256" t="s">
        <v>100</v>
      </c>
      <c r="BL256" t="s">
        <v>101</v>
      </c>
      <c r="BM256" t="s">
        <v>5104</v>
      </c>
      <c r="BN256" t="s">
        <v>74</v>
      </c>
      <c r="BO256" t="s">
        <v>217</v>
      </c>
      <c r="BP256" t="s">
        <v>74</v>
      </c>
      <c r="BQ256" t="s">
        <v>74</v>
      </c>
      <c r="BR256" t="s">
        <v>103</v>
      </c>
      <c r="BS256" t="s">
        <v>5122</v>
      </c>
      <c r="BT256" t="str">
        <f>HYPERLINK("https%3A%2F%2Fwww.webofscience.com%2Fwos%2Fwoscc%2Ffull-record%2FWOS:000264328700005","View Full Record in Web of Science")</f>
        <v>View Full Record in Web of Science</v>
      </c>
    </row>
    <row r="257" spans="1:72" x14ac:dyDescent="0.15">
      <c r="A257" t="s">
        <v>72</v>
      </c>
      <c r="B257" t="s">
        <v>5123</v>
      </c>
      <c r="C257" t="s">
        <v>74</v>
      </c>
      <c r="D257" t="s">
        <v>74</v>
      </c>
      <c r="E257" t="s">
        <v>74</v>
      </c>
      <c r="F257" t="s">
        <v>5124</v>
      </c>
      <c r="G257" t="s">
        <v>74</v>
      </c>
      <c r="H257" t="s">
        <v>74</v>
      </c>
      <c r="I257" t="s">
        <v>5125</v>
      </c>
      <c r="J257" t="s">
        <v>77</v>
      </c>
      <c r="K257" t="s">
        <v>74</v>
      </c>
      <c r="L257" t="s">
        <v>74</v>
      </c>
      <c r="M257" t="s">
        <v>78</v>
      </c>
      <c r="N257" t="s">
        <v>79</v>
      </c>
      <c r="O257" t="s">
        <v>74</v>
      </c>
      <c r="P257" t="s">
        <v>74</v>
      </c>
      <c r="Q257" t="s">
        <v>74</v>
      </c>
      <c r="R257" t="s">
        <v>74</v>
      </c>
      <c r="S257" t="s">
        <v>74</v>
      </c>
      <c r="T257" t="s">
        <v>5126</v>
      </c>
      <c r="U257" t="s">
        <v>5127</v>
      </c>
      <c r="V257" t="s">
        <v>5128</v>
      </c>
      <c r="W257" t="s">
        <v>5129</v>
      </c>
      <c r="X257" t="s">
        <v>824</v>
      </c>
      <c r="Y257" t="s">
        <v>5130</v>
      </c>
      <c r="Z257" t="s">
        <v>5131</v>
      </c>
      <c r="AA257" t="s">
        <v>5132</v>
      </c>
      <c r="AB257" t="s">
        <v>5133</v>
      </c>
      <c r="AC257" t="s">
        <v>5134</v>
      </c>
      <c r="AD257" t="s">
        <v>1490</v>
      </c>
      <c r="AE257" t="s">
        <v>74</v>
      </c>
      <c r="AF257" t="s">
        <v>74</v>
      </c>
      <c r="AG257">
        <v>51</v>
      </c>
      <c r="AH257">
        <v>30</v>
      </c>
      <c r="AI257">
        <v>34</v>
      </c>
      <c r="AJ257">
        <v>2</v>
      </c>
      <c r="AK257">
        <v>20</v>
      </c>
      <c r="AL257" t="s">
        <v>91</v>
      </c>
      <c r="AM257" t="s">
        <v>92</v>
      </c>
      <c r="AN257" t="s">
        <v>137</v>
      </c>
      <c r="AO257" t="s">
        <v>94</v>
      </c>
      <c r="AP257" t="s">
        <v>119</v>
      </c>
      <c r="AQ257" t="s">
        <v>74</v>
      </c>
      <c r="AR257" t="s">
        <v>95</v>
      </c>
      <c r="AS257" t="s">
        <v>96</v>
      </c>
      <c r="AT257" t="s">
        <v>3655</v>
      </c>
      <c r="AU257">
        <v>2009</v>
      </c>
      <c r="AV257">
        <v>32</v>
      </c>
      <c r="AW257">
        <v>4</v>
      </c>
      <c r="AX257" t="s">
        <v>74</v>
      </c>
      <c r="AY257" t="s">
        <v>74</v>
      </c>
      <c r="AZ257" t="s">
        <v>74</v>
      </c>
      <c r="BA257" t="s">
        <v>74</v>
      </c>
      <c r="BB257">
        <v>569</v>
      </c>
      <c r="BC257">
        <v>581</v>
      </c>
      <c r="BD257" t="s">
        <v>74</v>
      </c>
      <c r="BE257" t="s">
        <v>5135</v>
      </c>
      <c r="BF257" t="str">
        <f>HYPERLINK("http://dx.doi.org/10.1007/s00300-008-0552-7","http://dx.doi.org/10.1007/s00300-008-0552-7")</f>
        <v>http://dx.doi.org/10.1007/s00300-008-0552-7</v>
      </c>
      <c r="BG257" t="s">
        <v>74</v>
      </c>
      <c r="BH257" t="s">
        <v>74</v>
      </c>
      <c r="BI257">
        <v>13</v>
      </c>
      <c r="BJ257" t="s">
        <v>99</v>
      </c>
      <c r="BK257" t="s">
        <v>100</v>
      </c>
      <c r="BL257" t="s">
        <v>101</v>
      </c>
      <c r="BM257" t="s">
        <v>5104</v>
      </c>
      <c r="BN257" t="s">
        <v>74</v>
      </c>
      <c r="BO257" t="s">
        <v>74</v>
      </c>
      <c r="BP257" t="s">
        <v>74</v>
      </c>
      <c r="BQ257" t="s">
        <v>74</v>
      </c>
      <c r="BR257" t="s">
        <v>103</v>
      </c>
      <c r="BS257" t="s">
        <v>5136</v>
      </c>
      <c r="BT257" t="str">
        <f>HYPERLINK("https%3A%2F%2Fwww.webofscience.com%2Fwos%2Fwoscc%2Ffull-record%2FWOS:000264328700006","View Full Record in Web of Science")</f>
        <v>View Full Record in Web of Science</v>
      </c>
    </row>
    <row r="258" spans="1:72" x14ac:dyDescent="0.15">
      <c r="A258" t="s">
        <v>72</v>
      </c>
      <c r="B258" t="s">
        <v>5137</v>
      </c>
      <c r="C258" t="s">
        <v>74</v>
      </c>
      <c r="D258" t="s">
        <v>74</v>
      </c>
      <c r="E258" t="s">
        <v>74</v>
      </c>
      <c r="F258" t="s">
        <v>5138</v>
      </c>
      <c r="G258" t="s">
        <v>74</v>
      </c>
      <c r="H258" t="s">
        <v>74</v>
      </c>
      <c r="I258" t="s">
        <v>5139</v>
      </c>
      <c r="J258" t="s">
        <v>77</v>
      </c>
      <c r="K258" t="s">
        <v>74</v>
      </c>
      <c r="L258" t="s">
        <v>74</v>
      </c>
      <c r="M258" t="s">
        <v>78</v>
      </c>
      <c r="N258" t="s">
        <v>79</v>
      </c>
      <c r="O258" t="s">
        <v>74</v>
      </c>
      <c r="P258" t="s">
        <v>74</v>
      </c>
      <c r="Q258" t="s">
        <v>74</v>
      </c>
      <c r="R258" t="s">
        <v>74</v>
      </c>
      <c r="S258" t="s">
        <v>74</v>
      </c>
      <c r="T258" t="s">
        <v>5140</v>
      </c>
      <c r="U258" t="s">
        <v>5141</v>
      </c>
      <c r="V258" t="s">
        <v>5142</v>
      </c>
      <c r="W258" t="s">
        <v>5143</v>
      </c>
      <c r="X258" t="s">
        <v>5144</v>
      </c>
      <c r="Y258" t="s">
        <v>5145</v>
      </c>
      <c r="Z258" t="s">
        <v>5146</v>
      </c>
      <c r="AA258" t="s">
        <v>5147</v>
      </c>
      <c r="AB258" t="s">
        <v>5148</v>
      </c>
      <c r="AC258" t="s">
        <v>5149</v>
      </c>
      <c r="AD258" t="s">
        <v>5150</v>
      </c>
      <c r="AE258" t="s">
        <v>5151</v>
      </c>
      <c r="AF258" t="s">
        <v>74</v>
      </c>
      <c r="AG258">
        <v>31</v>
      </c>
      <c r="AH258">
        <v>14</v>
      </c>
      <c r="AI258">
        <v>14</v>
      </c>
      <c r="AJ258">
        <v>0</v>
      </c>
      <c r="AK258">
        <v>16</v>
      </c>
      <c r="AL258" t="s">
        <v>91</v>
      </c>
      <c r="AM258" t="s">
        <v>92</v>
      </c>
      <c r="AN258" t="s">
        <v>137</v>
      </c>
      <c r="AO258" t="s">
        <v>94</v>
      </c>
      <c r="AP258" t="s">
        <v>119</v>
      </c>
      <c r="AQ258" t="s">
        <v>74</v>
      </c>
      <c r="AR258" t="s">
        <v>95</v>
      </c>
      <c r="AS258" t="s">
        <v>96</v>
      </c>
      <c r="AT258" t="s">
        <v>3655</v>
      </c>
      <c r="AU258">
        <v>2009</v>
      </c>
      <c r="AV258">
        <v>32</v>
      </c>
      <c r="AW258">
        <v>4</v>
      </c>
      <c r="AX258" t="s">
        <v>74</v>
      </c>
      <c r="AY258" t="s">
        <v>74</v>
      </c>
      <c r="AZ258" t="s">
        <v>74</v>
      </c>
      <c r="BA258" t="s">
        <v>74</v>
      </c>
      <c r="BB258">
        <v>583</v>
      </c>
      <c r="BC258">
        <v>591</v>
      </c>
      <c r="BD258" t="s">
        <v>74</v>
      </c>
      <c r="BE258" t="s">
        <v>5152</v>
      </c>
      <c r="BF258" t="str">
        <f>HYPERLINK("http://dx.doi.org/10.1007/s00300-008-0553-6","http://dx.doi.org/10.1007/s00300-008-0553-6")</f>
        <v>http://dx.doi.org/10.1007/s00300-008-0553-6</v>
      </c>
      <c r="BG258" t="s">
        <v>74</v>
      </c>
      <c r="BH258" t="s">
        <v>74</v>
      </c>
      <c r="BI258">
        <v>9</v>
      </c>
      <c r="BJ258" t="s">
        <v>99</v>
      </c>
      <c r="BK258" t="s">
        <v>100</v>
      </c>
      <c r="BL258" t="s">
        <v>101</v>
      </c>
      <c r="BM258" t="s">
        <v>5104</v>
      </c>
      <c r="BN258" t="s">
        <v>74</v>
      </c>
      <c r="BO258" t="s">
        <v>74</v>
      </c>
      <c r="BP258" t="s">
        <v>74</v>
      </c>
      <c r="BQ258" t="s">
        <v>74</v>
      </c>
      <c r="BR258" t="s">
        <v>103</v>
      </c>
      <c r="BS258" t="s">
        <v>5153</v>
      </c>
      <c r="BT258" t="str">
        <f>HYPERLINK("https%3A%2F%2Fwww.webofscience.com%2Fwos%2Fwoscc%2Ffull-record%2FWOS:000264328700007","View Full Record in Web of Science")</f>
        <v>View Full Record in Web of Science</v>
      </c>
    </row>
    <row r="259" spans="1:72" x14ac:dyDescent="0.15">
      <c r="A259" t="s">
        <v>72</v>
      </c>
      <c r="B259" t="s">
        <v>5154</v>
      </c>
      <c r="C259" t="s">
        <v>74</v>
      </c>
      <c r="D259" t="s">
        <v>74</v>
      </c>
      <c r="E259" t="s">
        <v>74</v>
      </c>
      <c r="F259" t="s">
        <v>5155</v>
      </c>
      <c r="G259" t="s">
        <v>74</v>
      </c>
      <c r="H259" t="s">
        <v>74</v>
      </c>
      <c r="I259" t="s">
        <v>5156</v>
      </c>
      <c r="J259" t="s">
        <v>77</v>
      </c>
      <c r="K259" t="s">
        <v>74</v>
      </c>
      <c r="L259" t="s">
        <v>74</v>
      </c>
      <c r="M259" t="s">
        <v>78</v>
      </c>
      <c r="N259" t="s">
        <v>79</v>
      </c>
      <c r="O259" t="s">
        <v>74</v>
      </c>
      <c r="P259" t="s">
        <v>74</v>
      </c>
      <c r="Q259" t="s">
        <v>74</v>
      </c>
      <c r="R259" t="s">
        <v>74</v>
      </c>
      <c r="S259" t="s">
        <v>74</v>
      </c>
      <c r="T259" t="s">
        <v>5157</v>
      </c>
      <c r="U259" t="s">
        <v>5158</v>
      </c>
      <c r="V259" t="s">
        <v>5159</v>
      </c>
      <c r="W259" t="s">
        <v>5160</v>
      </c>
      <c r="X259" t="s">
        <v>5161</v>
      </c>
      <c r="Y259" t="s">
        <v>5162</v>
      </c>
      <c r="Z259" t="s">
        <v>5163</v>
      </c>
      <c r="AA259" t="s">
        <v>438</v>
      </c>
      <c r="AB259" t="s">
        <v>439</v>
      </c>
      <c r="AC259" t="s">
        <v>5164</v>
      </c>
      <c r="AD259" t="s">
        <v>5165</v>
      </c>
      <c r="AE259" t="s">
        <v>5166</v>
      </c>
      <c r="AF259" t="s">
        <v>74</v>
      </c>
      <c r="AG259">
        <v>51</v>
      </c>
      <c r="AH259">
        <v>15</v>
      </c>
      <c r="AI259">
        <v>15</v>
      </c>
      <c r="AJ259">
        <v>0</v>
      </c>
      <c r="AK259">
        <v>4</v>
      </c>
      <c r="AL259" t="s">
        <v>91</v>
      </c>
      <c r="AM259" t="s">
        <v>92</v>
      </c>
      <c r="AN259" t="s">
        <v>93</v>
      </c>
      <c r="AO259" t="s">
        <v>94</v>
      </c>
      <c r="AP259" t="s">
        <v>74</v>
      </c>
      <c r="AQ259" t="s">
        <v>74</v>
      </c>
      <c r="AR259" t="s">
        <v>95</v>
      </c>
      <c r="AS259" t="s">
        <v>96</v>
      </c>
      <c r="AT259" t="s">
        <v>3655</v>
      </c>
      <c r="AU259">
        <v>2009</v>
      </c>
      <c r="AV259">
        <v>32</v>
      </c>
      <c r="AW259">
        <v>4</v>
      </c>
      <c r="AX259" t="s">
        <v>74</v>
      </c>
      <c r="AY259" t="s">
        <v>74</v>
      </c>
      <c r="AZ259" t="s">
        <v>74</v>
      </c>
      <c r="BA259" t="s">
        <v>74</v>
      </c>
      <c r="BB259">
        <v>611</v>
      </c>
      <c r="BC259">
        <v>622</v>
      </c>
      <c r="BD259" t="s">
        <v>74</v>
      </c>
      <c r="BE259" t="s">
        <v>5167</v>
      </c>
      <c r="BF259" t="str">
        <f>HYPERLINK("http://dx.doi.org/10.1007/s00300-008-0561-6","http://dx.doi.org/10.1007/s00300-008-0561-6")</f>
        <v>http://dx.doi.org/10.1007/s00300-008-0561-6</v>
      </c>
      <c r="BG259" t="s">
        <v>74</v>
      </c>
      <c r="BH259" t="s">
        <v>74</v>
      </c>
      <c r="BI259">
        <v>12</v>
      </c>
      <c r="BJ259" t="s">
        <v>99</v>
      </c>
      <c r="BK259" t="s">
        <v>100</v>
      </c>
      <c r="BL259" t="s">
        <v>101</v>
      </c>
      <c r="BM259" t="s">
        <v>5104</v>
      </c>
      <c r="BN259" t="s">
        <v>74</v>
      </c>
      <c r="BO259" t="s">
        <v>74</v>
      </c>
      <c r="BP259" t="s">
        <v>74</v>
      </c>
      <c r="BQ259" t="s">
        <v>74</v>
      </c>
      <c r="BR259" t="s">
        <v>103</v>
      </c>
      <c r="BS259" t="s">
        <v>5168</v>
      </c>
      <c r="BT259" t="str">
        <f>HYPERLINK("https%3A%2F%2Fwww.webofscience.com%2Fwos%2Fwoscc%2Ffull-record%2FWOS:000264328700010","View Full Record in Web of Science")</f>
        <v>View Full Record in Web of Science</v>
      </c>
    </row>
    <row r="260" spans="1:72" x14ac:dyDescent="0.15">
      <c r="A260" t="s">
        <v>72</v>
      </c>
      <c r="B260" t="s">
        <v>5169</v>
      </c>
      <c r="C260" t="s">
        <v>74</v>
      </c>
      <c r="D260" t="s">
        <v>74</v>
      </c>
      <c r="E260" t="s">
        <v>74</v>
      </c>
      <c r="F260" t="s">
        <v>5170</v>
      </c>
      <c r="G260" t="s">
        <v>74</v>
      </c>
      <c r="H260" t="s">
        <v>74</v>
      </c>
      <c r="I260" t="s">
        <v>5171</v>
      </c>
      <c r="J260" t="s">
        <v>77</v>
      </c>
      <c r="K260" t="s">
        <v>74</v>
      </c>
      <c r="L260" t="s">
        <v>74</v>
      </c>
      <c r="M260" t="s">
        <v>78</v>
      </c>
      <c r="N260" t="s">
        <v>79</v>
      </c>
      <c r="O260" t="s">
        <v>74</v>
      </c>
      <c r="P260" t="s">
        <v>74</v>
      </c>
      <c r="Q260" t="s">
        <v>74</v>
      </c>
      <c r="R260" t="s">
        <v>74</v>
      </c>
      <c r="S260" t="s">
        <v>74</v>
      </c>
      <c r="T260" t="s">
        <v>5172</v>
      </c>
      <c r="U260" t="s">
        <v>5173</v>
      </c>
      <c r="V260" t="s">
        <v>5174</v>
      </c>
      <c r="W260" t="s">
        <v>5175</v>
      </c>
      <c r="X260" t="s">
        <v>2158</v>
      </c>
      <c r="Y260" t="s">
        <v>5176</v>
      </c>
      <c r="Z260" t="s">
        <v>5177</v>
      </c>
      <c r="AA260" t="s">
        <v>5178</v>
      </c>
      <c r="AB260" t="s">
        <v>5179</v>
      </c>
      <c r="AC260" t="s">
        <v>5180</v>
      </c>
      <c r="AD260" t="s">
        <v>5181</v>
      </c>
      <c r="AE260" t="s">
        <v>5182</v>
      </c>
      <c r="AF260" t="s">
        <v>74</v>
      </c>
      <c r="AG260">
        <v>34</v>
      </c>
      <c r="AH260">
        <v>9</v>
      </c>
      <c r="AI260">
        <v>10</v>
      </c>
      <c r="AJ260">
        <v>0</v>
      </c>
      <c r="AK260">
        <v>6</v>
      </c>
      <c r="AL260" t="s">
        <v>91</v>
      </c>
      <c r="AM260" t="s">
        <v>92</v>
      </c>
      <c r="AN260" t="s">
        <v>137</v>
      </c>
      <c r="AO260" t="s">
        <v>94</v>
      </c>
      <c r="AP260" t="s">
        <v>119</v>
      </c>
      <c r="AQ260" t="s">
        <v>74</v>
      </c>
      <c r="AR260" t="s">
        <v>95</v>
      </c>
      <c r="AS260" t="s">
        <v>96</v>
      </c>
      <c r="AT260" t="s">
        <v>3655</v>
      </c>
      <c r="AU260">
        <v>2009</v>
      </c>
      <c r="AV260">
        <v>32</v>
      </c>
      <c r="AW260">
        <v>4</v>
      </c>
      <c r="AX260" t="s">
        <v>74</v>
      </c>
      <c r="AY260" t="s">
        <v>74</v>
      </c>
      <c r="AZ260" t="s">
        <v>74</v>
      </c>
      <c r="BA260" t="s">
        <v>74</v>
      </c>
      <c r="BB260">
        <v>623</v>
      </c>
      <c r="BC260">
        <v>636</v>
      </c>
      <c r="BD260" t="s">
        <v>74</v>
      </c>
      <c r="BE260" t="s">
        <v>5183</v>
      </c>
      <c r="BF260" t="str">
        <f>HYPERLINK("http://dx.doi.org/10.1007/s00300-008-0562-5","http://dx.doi.org/10.1007/s00300-008-0562-5")</f>
        <v>http://dx.doi.org/10.1007/s00300-008-0562-5</v>
      </c>
      <c r="BG260" t="s">
        <v>74</v>
      </c>
      <c r="BH260" t="s">
        <v>74</v>
      </c>
      <c r="BI260">
        <v>14</v>
      </c>
      <c r="BJ260" t="s">
        <v>99</v>
      </c>
      <c r="BK260" t="s">
        <v>100</v>
      </c>
      <c r="BL260" t="s">
        <v>101</v>
      </c>
      <c r="BM260" t="s">
        <v>5104</v>
      </c>
      <c r="BN260" t="s">
        <v>74</v>
      </c>
      <c r="BO260" t="s">
        <v>74</v>
      </c>
      <c r="BP260" t="s">
        <v>74</v>
      </c>
      <c r="BQ260" t="s">
        <v>74</v>
      </c>
      <c r="BR260" t="s">
        <v>103</v>
      </c>
      <c r="BS260" t="s">
        <v>5184</v>
      </c>
      <c r="BT260" t="str">
        <f>HYPERLINK("https%3A%2F%2Fwww.webofscience.com%2Fwos%2Fwoscc%2Ffull-record%2FWOS:000264328700011","View Full Record in Web of Science")</f>
        <v>View Full Record in Web of Science</v>
      </c>
    </row>
    <row r="261" spans="1:72" x14ac:dyDescent="0.15">
      <c r="A261" t="s">
        <v>72</v>
      </c>
      <c r="B261" t="s">
        <v>5185</v>
      </c>
      <c r="C261" t="s">
        <v>74</v>
      </c>
      <c r="D261" t="s">
        <v>74</v>
      </c>
      <c r="E261" t="s">
        <v>74</v>
      </c>
      <c r="F261" t="s">
        <v>5186</v>
      </c>
      <c r="G261" t="s">
        <v>74</v>
      </c>
      <c r="H261" t="s">
        <v>74</v>
      </c>
      <c r="I261" t="s">
        <v>5187</v>
      </c>
      <c r="J261" t="s">
        <v>77</v>
      </c>
      <c r="K261" t="s">
        <v>74</v>
      </c>
      <c r="L261" t="s">
        <v>74</v>
      </c>
      <c r="M261" t="s">
        <v>78</v>
      </c>
      <c r="N261" t="s">
        <v>79</v>
      </c>
      <c r="O261" t="s">
        <v>74</v>
      </c>
      <c r="P261" t="s">
        <v>74</v>
      </c>
      <c r="Q261" t="s">
        <v>74</v>
      </c>
      <c r="R261" t="s">
        <v>74</v>
      </c>
      <c r="S261" t="s">
        <v>74</v>
      </c>
      <c r="T261" t="s">
        <v>5188</v>
      </c>
      <c r="U261" t="s">
        <v>5189</v>
      </c>
      <c r="V261" t="s">
        <v>5190</v>
      </c>
      <c r="W261" t="s">
        <v>5191</v>
      </c>
      <c r="X261" t="s">
        <v>5192</v>
      </c>
      <c r="Y261" t="s">
        <v>5193</v>
      </c>
      <c r="Z261" t="s">
        <v>5194</v>
      </c>
      <c r="AA261" t="s">
        <v>5195</v>
      </c>
      <c r="AB261" t="s">
        <v>5196</v>
      </c>
      <c r="AC261" t="s">
        <v>5197</v>
      </c>
      <c r="AD261" t="s">
        <v>5198</v>
      </c>
      <c r="AE261" t="s">
        <v>5199</v>
      </c>
      <c r="AF261" t="s">
        <v>74</v>
      </c>
      <c r="AG261">
        <v>35</v>
      </c>
      <c r="AH261">
        <v>9</v>
      </c>
      <c r="AI261">
        <v>11</v>
      </c>
      <c r="AJ261">
        <v>2</v>
      </c>
      <c r="AK261">
        <v>8</v>
      </c>
      <c r="AL261" t="s">
        <v>91</v>
      </c>
      <c r="AM261" t="s">
        <v>92</v>
      </c>
      <c r="AN261" t="s">
        <v>93</v>
      </c>
      <c r="AO261" t="s">
        <v>94</v>
      </c>
      <c r="AP261" t="s">
        <v>119</v>
      </c>
      <c r="AQ261" t="s">
        <v>74</v>
      </c>
      <c r="AR261" t="s">
        <v>95</v>
      </c>
      <c r="AS261" t="s">
        <v>96</v>
      </c>
      <c r="AT261" t="s">
        <v>3655</v>
      </c>
      <c r="AU261">
        <v>2009</v>
      </c>
      <c r="AV261">
        <v>32</v>
      </c>
      <c r="AW261">
        <v>4</v>
      </c>
      <c r="AX261" t="s">
        <v>74</v>
      </c>
      <c r="AY261" t="s">
        <v>74</v>
      </c>
      <c r="AZ261" t="s">
        <v>74</v>
      </c>
      <c r="BA261" t="s">
        <v>74</v>
      </c>
      <c r="BB261">
        <v>637</v>
      </c>
      <c r="BC261">
        <v>644</v>
      </c>
      <c r="BD261" t="s">
        <v>74</v>
      </c>
      <c r="BE261" t="s">
        <v>5200</v>
      </c>
      <c r="BF261" t="str">
        <f>HYPERLINK("http://dx.doi.org/10.1007/s00300-008-0563-4","http://dx.doi.org/10.1007/s00300-008-0563-4")</f>
        <v>http://dx.doi.org/10.1007/s00300-008-0563-4</v>
      </c>
      <c r="BG261" t="s">
        <v>74</v>
      </c>
      <c r="BH261" t="s">
        <v>74</v>
      </c>
      <c r="BI261">
        <v>8</v>
      </c>
      <c r="BJ261" t="s">
        <v>99</v>
      </c>
      <c r="BK261" t="s">
        <v>100</v>
      </c>
      <c r="BL261" t="s">
        <v>101</v>
      </c>
      <c r="BM261" t="s">
        <v>5104</v>
      </c>
      <c r="BN261" t="s">
        <v>74</v>
      </c>
      <c r="BO261" t="s">
        <v>74</v>
      </c>
      <c r="BP261" t="s">
        <v>74</v>
      </c>
      <c r="BQ261" t="s">
        <v>74</v>
      </c>
      <c r="BR261" t="s">
        <v>103</v>
      </c>
      <c r="BS261" t="s">
        <v>5201</v>
      </c>
      <c r="BT261" t="str">
        <f>HYPERLINK("https%3A%2F%2Fwww.webofscience.com%2Fwos%2Fwoscc%2Ffull-record%2FWOS:000264328700012","View Full Record in Web of Science")</f>
        <v>View Full Record in Web of Science</v>
      </c>
    </row>
    <row r="262" spans="1:72" x14ac:dyDescent="0.15">
      <c r="A262" t="s">
        <v>72</v>
      </c>
      <c r="B262" t="s">
        <v>5202</v>
      </c>
      <c r="C262" t="s">
        <v>74</v>
      </c>
      <c r="D262" t="s">
        <v>74</v>
      </c>
      <c r="E262" t="s">
        <v>74</v>
      </c>
      <c r="F262" t="s">
        <v>5203</v>
      </c>
      <c r="G262" t="s">
        <v>74</v>
      </c>
      <c r="H262" t="s">
        <v>74</v>
      </c>
      <c r="I262" t="s">
        <v>5204</v>
      </c>
      <c r="J262" t="s">
        <v>77</v>
      </c>
      <c r="K262" t="s">
        <v>74</v>
      </c>
      <c r="L262" t="s">
        <v>74</v>
      </c>
      <c r="M262" t="s">
        <v>78</v>
      </c>
      <c r="N262" t="s">
        <v>79</v>
      </c>
      <c r="O262" t="s">
        <v>74</v>
      </c>
      <c r="P262" t="s">
        <v>74</v>
      </c>
      <c r="Q262" t="s">
        <v>74</v>
      </c>
      <c r="R262" t="s">
        <v>74</v>
      </c>
      <c r="S262" t="s">
        <v>74</v>
      </c>
      <c r="T262" t="s">
        <v>5205</v>
      </c>
      <c r="U262" t="s">
        <v>5206</v>
      </c>
      <c r="V262" t="s">
        <v>5207</v>
      </c>
      <c r="W262" t="s">
        <v>5208</v>
      </c>
      <c r="X262" t="s">
        <v>5209</v>
      </c>
      <c r="Y262" t="s">
        <v>5210</v>
      </c>
      <c r="Z262" t="s">
        <v>5211</v>
      </c>
      <c r="AA262" t="s">
        <v>5212</v>
      </c>
      <c r="AB262" t="s">
        <v>5213</v>
      </c>
      <c r="AC262" t="s">
        <v>5214</v>
      </c>
      <c r="AD262" t="s">
        <v>5215</v>
      </c>
      <c r="AE262" t="s">
        <v>74</v>
      </c>
      <c r="AF262" t="s">
        <v>74</v>
      </c>
      <c r="AG262">
        <v>68</v>
      </c>
      <c r="AH262">
        <v>13</v>
      </c>
      <c r="AI262">
        <v>15</v>
      </c>
      <c r="AJ262">
        <v>1</v>
      </c>
      <c r="AK262">
        <v>27</v>
      </c>
      <c r="AL262" t="s">
        <v>91</v>
      </c>
      <c r="AM262" t="s">
        <v>92</v>
      </c>
      <c r="AN262" t="s">
        <v>93</v>
      </c>
      <c r="AO262" t="s">
        <v>94</v>
      </c>
      <c r="AP262" t="s">
        <v>74</v>
      </c>
      <c r="AQ262" t="s">
        <v>74</v>
      </c>
      <c r="AR262" t="s">
        <v>95</v>
      </c>
      <c r="AS262" t="s">
        <v>96</v>
      </c>
      <c r="AT262" t="s">
        <v>3655</v>
      </c>
      <c r="AU262">
        <v>2009</v>
      </c>
      <c r="AV262">
        <v>32</v>
      </c>
      <c r="AW262">
        <v>4</v>
      </c>
      <c r="AX262" t="s">
        <v>74</v>
      </c>
      <c r="AY262" t="s">
        <v>74</v>
      </c>
      <c r="AZ262" t="s">
        <v>74</v>
      </c>
      <c r="BA262" t="s">
        <v>74</v>
      </c>
      <c r="BB262">
        <v>645</v>
      </c>
      <c r="BC262">
        <v>653</v>
      </c>
      <c r="BD262" t="s">
        <v>74</v>
      </c>
      <c r="BE262" t="s">
        <v>5216</v>
      </c>
      <c r="BF262" t="str">
        <f>HYPERLINK("http://dx.doi.org/10.1007/s00300-008-0568-z","http://dx.doi.org/10.1007/s00300-008-0568-z")</f>
        <v>http://dx.doi.org/10.1007/s00300-008-0568-z</v>
      </c>
      <c r="BG262" t="s">
        <v>74</v>
      </c>
      <c r="BH262" t="s">
        <v>74</v>
      </c>
      <c r="BI262">
        <v>9</v>
      </c>
      <c r="BJ262" t="s">
        <v>99</v>
      </c>
      <c r="BK262" t="s">
        <v>100</v>
      </c>
      <c r="BL262" t="s">
        <v>101</v>
      </c>
      <c r="BM262" t="s">
        <v>5104</v>
      </c>
      <c r="BN262" t="s">
        <v>74</v>
      </c>
      <c r="BO262" t="s">
        <v>74</v>
      </c>
      <c r="BP262" t="s">
        <v>74</v>
      </c>
      <c r="BQ262" t="s">
        <v>74</v>
      </c>
      <c r="BR262" t="s">
        <v>103</v>
      </c>
      <c r="BS262" t="s">
        <v>5217</v>
      </c>
      <c r="BT262" t="str">
        <f>HYPERLINK("https%3A%2F%2Fwww.webofscience.com%2Fwos%2Fwoscc%2Ffull-record%2FWOS:000264328700013","View Full Record in Web of Science")</f>
        <v>View Full Record in Web of Science</v>
      </c>
    </row>
    <row r="263" spans="1:72" x14ac:dyDescent="0.15">
      <c r="A263" t="s">
        <v>72</v>
      </c>
      <c r="B263" t="s">
        <v>5218</v>
      </c>
      <c r="C263" t="s">
        <v>74</v>
      </c>
      <c r="D263" t="s">
        <v>74</v>
      </c>
      <c r="E263" t="s">
        <v>74</v>
      </c>
      <c r="F263" t="s">
        <v>5219</v>
      </c>
      <c r="G263" t="s">
        <v>74</v>
      </c>
      <c r="H263" t="s">
        <v>74</v>
      </c>
      <c r="I263" t="s">
        <v>5220</v>
      </c>
      <c r="J263" t="s">
        <v>77</v>
      </c>
      <c r="K263" t="s">
        <v>74</v>
      </c>
      <c r="L263" t="s">
        <v>74</v>
      </c>
      <c r="M263" t="s">
        <v>78</v>
      </c>
      <c r="N263" t="s">
        <v>79</v>
      </c>
      <c r="O263" t="s">
        <v>74</v>
      </c>
      <c r="P263" t="s">
        <v>74</v>
      </c>
      <c r="Q263" t="s">
        <v>74</v>
      </c>
      <c r="R263" t="s">
        <v>74</v>
      </c>
      <c r="S263" t="s">
        <v>74</v>
      </c>
      <c r="T263" t="s">
        <v>5221</v>
      </c>
      <c r="U263" t="s">
        <v>5222</v>
      </c>
      <c r="V263" t="s">
        <v>5223</v>
      </c>
      <c r="W263" t="s">
        <v>5224</v>
      </c>
      <c r="X263" t="s">
        <v>5225</v>
      </c>
      <c r="Y263" t="s">
        <v>5226</v>
      </c>
      <c r="Z263" t="s">
        <v>5227</v>
      </c>
      <c r="AA263" t="s">
        <v>5228</v>
      </c>
      <c r="AB263" t="s">
        <v>5229</v>
      </c>
      <c r="AC263" t="s">
        <v>5230</v>
      </c>
      <c r="AD263" t="s">
        <v>5231</v>
      </c>
      <c r="AE263" t="s">
        <v>5232</v>
      </c>
      <c r="AF263" t="s">
        <v>74</v>
      </c>
      <c r="AG263">
        <v>30</v>
      </c>
      <c r="AH263">
        <v>22</v>
      </c>
      <c r="AI263">
        <v>24</v>
      </c>
      <c r="AJ263">
        <v>0</v>
      </c>
      <c r="AK263">
        <v>8</v>
      </c>
      <c r="AL263" t="s">
        <v>91</v>
      </c>
      <c r="AM263" t="s">
        <v>92</v>
      </c>
      <c r="AN263" t="s">
        <v>93</v>
      </c>
      <c r="AO263" t="s">
        <v>94</v>
      </c>
      <c r="AP263" t="s">
        <v>119</v>
      </c>
      <c r="AQ263" t="s">
        <v>74</v>
      </c>
      <c r="AR263" t="s">
        <v>95</v>
      </c>
      <c r="AS263" t="s">
        <v>96</v>
      </c>
      <c r="AT263" t="s">
        <v>3655</v>
      </c>
      <c r="AU263">
        <v>2009</v>
      </c>
      <c r="AV263">
        <v>32</v>
      </c>
      <c r="AW263">
        <v>4</v>
      </c>
      <c r="AX263" t="s">
        <v>74</v>
      </c>
      <c r="AY263" t="s">
        <v>74</v>
      </c>
      <c r="AZ263" t="s">
        <v>74</v>
      </c>
      <c r="BA263" t="s">
        <v>74</v>
      </c>
      <c r="BB263">
        <v>655</v>
      </c>
      <c r="BC263">
        <v>661</v>
      </c>
      <c r="BD263" t="s">
        <v>74</v>
      </c>
      <c r="BE263" t="s">
        <v>5233</v>
      </c>
      <c r="BF263" t="str">
        <f>HYPERLINK("http://dx.doi.org/10.1007/s00300-008-0570-5","http://dx.doi.org/10.1007/s00300-008-0570-5")</f>
        <v>http://dx.doi.org/10.1007/s00300-008-0570-5</v>
      </c>
      <c r="BG263" t="s">
        <v>74</v>
      </c>
      <c r="BH263" t="s">
        <v>74</v>
      </c>
      <c r="BI263">
        <v>7</v>
      </c>
      <c r="BJ263" t="s">
        <v>99</v>
      </c>
      <c r="BK263" t="s">
        <v>100</v>
      </c>
      <c r="BL263" t="s">
        <v>101</v>
      </c>
      <c r="BM263" t="s">
        <v>5104</v>
      </c>
      <c r="BN263" t="s">
        <v>74</v>
      </c>
      <c r="BO263" t="s">
        <v>74</v>
      </c>
      <c r="BP263" t="s">
        <v>74</v>
      </c>
      <c r="BQ263" t="s">
        <v>74</v>
      </c>
      <c r="BR263" t="s">
        <v>103</v>
      </c>
      <c r="BS263" t="s">
        <v>5234</v>
      </c>
      <c r="BT263" t="str">
        <f>HYPERLINK("https%3A%2F%2Fwww.webofscience.com%2Fwos%2Fwoscc%2Ffull-record%2FWOS:000264328700014","View Full Record in Web of Science")</f>
        <v>View Full Record in Web of Science</v>
      </c>
    </row>
    <row r="264" spans="1:72" x14ac:dyDescent="0.15">
      <c r="A264" t="s">
        <v>72</v>
      </c>
      <c r="B264" t="s">
        <v>5235</v>
      </c>
      <c r="C264" t="s">
        <v>74</v>
      </c>
      <c r="D264" t="s">
        <v>74</v>
      </c>
      <c r="E264" t="s">
        <v>74</v>
      </c>
      <c r="F264" t="s">
        <v>5236</v>
      </c>
      <c r="G264" t="s">
        <v>74</v>
      </c>
      <c r="H264" t="s">
        <v>74</v>
      </c>
      <c r="I264" t="s">
        <v>5237</v>
      </c>
      <c r="J264" t="s">
        <v>5238</v>
      </c>
      <c r="K264" t="s">
        <v>74</v>
      </c>
      <c r="L264" t="s">
        <v>74</v>
      </c>
      <c r="M264" t="s">
        <v>78</v>
      </c>
      <c r="N264" t="s">
        <v>79</v>
      </c>
      <c r="O264" t="s">
        <v>74</v>
      </c>
      <c r="P264" t="s">
        <v>74</v>
      </c>
      <c r="Q264" t="s">
        <v>74</v>
      </c>
      <c r="R264" t="s">
        <v>74</v>
      </c>
      <c r="S264" t="s">
        <v>74</v>
      </c>
      <c r="T264" t="s">
        <v>74</v>
      </c>
      <c r="U264" t="s">
        <v>74</v>
      </c>
      <c r="V264" t="s">
        <v>5239</v>
      </c>
      <c r="W264" t="s">
        <v>5240</v>
      </c>
      <c r="X264" t="s">
        <v>5241</v>
      </c>
      <c r="Y264" t="s">
        <v>5242</v>
      </c>
      <c r="Z264" t="s">
        <v>74</v>
      </c>
      <c r="AA264" t="s">
        <v>74</v>
      </c>
      <c r="AB264" t="s">
        <v>74</v>
      </c>
      <c r="AC264" t="s">
        <v>74</v>
      </c>
      <c r="AD264" t="s">
        <v>74</v>
      </c>
      <c r="AE264" t="s">
        <v>74</v>
      </c>
      <c r="AF264" t="s">
        <v>74</v>
      </c>
      <c r="AG264">
        <v>47</v>
      </c>
      <c r="AH264">
        <v>5</v>
      </c>
      <c r="AI264">
        <v>6</v>
      </c>
      <c r="AJ264">
        <v>0</v>
      </c>
      <c r="AK264">
        <v>4</v>
      </c>
      <c r="AL264" t="s">
        <v>3728</v>
      </c>
      <c r="AM264" t="s">
        <v>92</v>
      </c>
      <c r="AN264" t="s">
        <v>3729</v>
      </c>
      <c r="AO264" t="s">
        <v>5243</v>
      </c>
      <c r="AP264" t="s">
        <v>5244</v>
      </c>
      <c r="AQ264" t="s">
        <v>74</v>
      </c>
      <c r="AR264" t="s">
        <v>5245</v>
      </c>
      <c r="AS264" t="s">
        <v>5246</v>
      </c>
      <c r="AT264" t="s">
        <v>3655</v>
      </c>
      <c r="AU264">
        <v>2009</v>
      </c>
      <c r="AV264">
        <v>45</v>
      </c>
      <c r="AW264">
        <v>233</v>
      </c>
      <c r="AX264" t="s">
        <v>74</v>
      </c>
      <c r="AY264" t="s">
        <v>74</v>
      </c>
      <c r="AZ264" t="s">
        <v>74</v>
      </c>
      <c r="BA264" t="s">
        <v>74</v>
      </c>
      <c r="BB264">
        <v>167</v>
      </c>
      <c r="BC264">
        <v>175</v>
      </c>
      <c r="BD264" t="s">
        <v>74</v>
      </c>
      <c r="BE264" t="s">
        <v>5247</v>
      </c>
      <c r="BF264" t="str">
        <f>HYPERLINK("http://dx.doi.org/10.1017/S0032247408007948","http://dx.doi.org/10.1017/S0032247408007948")</f>
        <v>http://dx.doi.org/10.1017/S0032247408007948</v>
      </c>
      <c r="BG264" t="s">
        <v>74</v>
      </c>
      <c r="BH264" t="s">
        <v>74</v>
      </c>
      <c r="BI264">
        <v>9</v>
      </c>
      <c r="BJ264" t="s">
        <v>1654</v>
      </c>
      <c r="BK264" t="s">
        <v>100</v>
      </c>
      <c r="BL264" t="s">
        <v>424</v>
      </c>
      <c r="BM264" t="s">
        <v>5248</v>
      </c>
      <c r="BN264" t="s">
        <v>74</v>
      </c>
      <c r="BO264" t="s">
        <v>74</v>
      </c>
      <c r="BP264" t="s">
        <v>74</v>
      </c>
      <c r="BQ264" t="s">
        <v>74</v>
      </c>
      <c r="BR264" t="s">
        <v>103</v>
      </c>
      <c r="BS264" t="s">
        <v>5249</v>
      </c>
      <c r="BT264" t="str">
        <f>HYPERLINK("https%3A%2F%2Fwww.webofscience.com%2Fwos%2Fwoscc%2Ffull-record%2FWOS:000264516100007","View Full Record in Web of Science")</f>
        <v>View Full Record in Web of Science</v>
      </c>
    </row>
    <row r="265" spans="1:72" x14ac:dyDescent="0.15">
      <c r="A265" t="s">
        <v>72</v>
      </c>
      <c r="B265" t="s">
        <v>5250</v>
      </c>
      <c r="C265" t="s">
        <v>74</v>
      </c>
      <c r="D265" t="s">
        <v>74</v>
      </c>
      <c r="E265" t="s">
        <v>74</v>
      </c>
      <c r="F265" t="s">
        <v>5251</v>
      </c>
      <c r="G265" t="s">
        <v>74</v>
      </c>
      <c r="H265" t="s">
        <v>74</v>
      </c>
      <c r="I265" t="s">
        <v>5252</v>
      </c>
      <c r="J265" t="s">
        <v>5238</v>
      </c>
      <c r="K265" t="s">
        <v>74</v>
      </c>
      <c r="L265" t="s">
        <v>74</v>
      </c>
      <c r="M265" t="s">
        <v>78</v>
      </c>
      <c r="N265" t="s">
        <v>934</v>
      </c>
      <c r="O265" t="s">
        <v>74</v>
      </c>
      <c r="P265" t="s">
        <v>74</v>
      </c>
      <c r="Q265" t="s">
        <v>74</v>
      </c>
      <c r="R265" t="s">
        <v>74</v>
      </c>
      <c r="S265" t="s">
        <v>74</v>
      </c>
      <c r="T265" t="s">
        <v>74</v>
      </c>
      <c r="U265" t="s">
        <v>74</v>
      </c>
      <c r="V265" t="s">
        <v>5253</v>
      </c>
      <c r="W265" t="s">
        <v>74</v>
      </c>
      <c r="X265" t="s">
        <v>74</v>
      </c>
      <c r="Y265" t="s">
        <v>5254</v>
      </c>
      <c r="Z265" t="s">
        <v>74</v>
      </c>
      <c r="AA265" t="s">
        <v>74</v>
      </c>
      <c r="AB265" t="s">
        <v>74</v>
      </c>
      <c r="AC265" t="s">
        <v>74</v>
      </c>
      <c r="AD265" t="s">
        <v>74</v>
      </c>
      <c r="AE265" t="s">
        <v>74</v>
      </c>
      <c r="AF265" t="s">
        <v>74</v>
      </c>
      <c r="AG265">
        <v>2</v>
      </c>
      <c r="AH265">
        <v>0</v>
      </c>
      <c r="AI265">
        <v>0</v>
      </c>
      <c r="AJ265">
        <v>0</v>
      </c>
      <c r="AK265">
        <v>2</v>
      </c>
      <c r="AL265" t="s">
        <v>3728</v>
      </c>
      <c r="AM265" t="s">
        <v>92</v>
      </c>
      <c r="AN265" t="s">
        <v>3729</v>
      </c>
      <c r="AO265" t="s">
        <v>5243</v>
      </c>
      <c r="AP265" t="s">
        <v>74</v>
      </c>
      <c r="AQ265" t="s">
        <v>74</v>
      </c>
      <c r="AR265" t="s">
        <v>5245</v>
      </c>
      <c r="AS265" t="s">
        <v>5246</v>
      </c>
      <c r="AT265" t="s">
        <v>3655</v>
      </c>
      <c r="AU265">
        <v>2009</v>
      </c>
      <c r="AV265">
        <v>45</v>
      </c>
      <c r="AW265">
        <v>233</v>
      </c>
      <c r="AX265" t="s">
        <v>74</v>
      </c>
      <c r="AY265" t="s">
        <v>74</v>
      </c>
      <c r="AZ265" t="s">
        <v>74</v>
      </c>
      <c r="BA265" t="s">
        <v>74</v>
      </c>
      <c r="BB265">
        <v>177</v>
      </c>
      <c r="BC265">
        <v>179</v>
      </c>
      <c r="BD265" t="s">
        <v>74</v>
      </c>
      <c r="BE265" t="s">
        <v>5255</v>
      </c>
      <c r="BF265" t="str">
        <f>HYPERLINK("http://dx.doi.org/10.1017/S0032247408008036","http://dx.doi.org/10.1017/S0032247408008036")</f>
        <v>http://dx.doi.org/10.1017/S0032247408008036</v>
      </c>
      <c r="BG265" t="s">
        <v>74</v>
      </c>
      <c r="BH265" t="s">
        <v>74</v>
      </c>
      <c r="BI265">
        <v>3</v>
      </c>
      <c r="BJ265" t="s">
        <v>1654</v>
      </c>
      <c r="BK265" t="s">
        <v>100</v>
      </c>
      <c r="BL265" t="s">
        <v>424</v>
      </c>
      <c r="BM265" t="s">
        <v>5248</v>
      </c>
      <c r="BN265" t="s">
        <v>74</v>
      </c>
      <c r="BO265" t="s">
        <v>74</v>
      </c>
      <c r="BP265" t="s">
        <v>74</v>
      </c>
      <c r="BQ265" t="s">
        <v>74</v>
      </c>
      <c r="BR265" t="s">
        <v>103</v>
      </c>
      <c r="BS265" t="s">
        <v>5256</v>
      </c>
      <c r="BT265" t="str">
        <f>HYPERLINK("https%3A%2F%2Fwww.webofscience.com%2Fwos%2Fwoscc%2Ffull-record%2FWOS:000264516100009","View Full Record in Web of Science")</f>
        <v>View Full Record in Web of Science</v>
      </c>
    </row>
    <row r="266" spans="1:72" x14ac:dyDescent="0.15">
      <c r="A266" t="s">
        <v>72</v>
      </c>
      <c r="B266" t="s">
        <v>5257</v>
      </c>
      <c r="C266" t="s">
        <v>74</v>
      </c>
      <c r="D266" t="s">
        <v>74</v>
      </c>
      <c r="E266" t="s">
        <v>74</v>
      </c>
      <c r="F266" t="s">
        <v>5258</v>
      </c>
      <c r="G266" t="s">
        <v>74</v>
      </c>
      <c r="H266" t="s">
        <v>74</v>
      </c>
      <c r="I266" t="s">
        <v>5259</v>
      </c>
      <c r="J266" t="s">
        <v>5260</v>
      </c>
      <c r="K266" t="s">
        <v>74</v>
      </c>
      <c r="L266" t="s">
        <v>74</v>
      </c>
      <c r="M266" t="s">
        <v>78</v>
      </c>
      <c r="N266" t="s">
        <v>79</v>
      </c>
      <c r="O266" t="s">
        <v>74</v>
      </c>
      <c r="P266" t="s">
        <v>74</v>
      </c>
      <c r="Q266" t="s">
        <v>74</v>
      </c>
      <c r="R266" t="s">
        <v>74</v>
      </c>
      <c r="S266" t="s">
        <v>74</v>
      </c>
      <c r="T266" t="s">
        <v>5261</v>
      </c>
      <c r="U266" t="s">
        <v>5262</v>
      </c>
      <c r="V266" t="s">
        <v>5263</v>
      </c>
      <c r="W266" t="s">
        <v>5264</v>
      </c>
      <c r="X266" t="s">
        <v>5265</v>
      </c>
      <c r="Y266" t="s">
        <v>5266</v>
      </c>
      <c r="Z266" t="s">
        <v>5267</v>
      </c>
      <c r="AA266" t="s">
        <v>5268</v>
      </c>
      <c r="AB266" t="s">
        <v>5269</v>
      </c>
      <c r="AC266" t="s">
        <v>5270</v>
      </c>
      <c r="AD266" t="s">
        <v>5271</v>
      </c>
      <c r="AE266" t="s">
        <v>5272</v>
      </c>
      <c r="AF266" t="s">
        <v>74</v>
      </c>
      <c r="AG266">
        <v>37</v>
      </c>
      <c r="AH266">
        <v>30</v>
      </c>
      <c r="AI266">
        <v>34</v>
      </c>
      <c r="AJ266">
        <v>0</v>
      </c>
      <c r="AK266">
        <v>14</v>
      </c>
      <c r="AL266" t="s">
        <v>489</v>
      </c>
      <c r="AM266" t="s">
        <v>490</v>
      </c>
      <c r="AN266" t="s">
        <v>491</v>
      </c>
      <c r="AO266" t="s">
        <v>5273</v>
      </c>
      <c r="AP266" t="s">
        <v>5274</v>
      </c>
      <c r="AQ266" t="s">
        <v>74</v>
      </c>
      <c r="AR266" t="s">
        <v>5275</v>
      </c>
      <c r="AS266" t="s">
        <v>5276</v>
      </c>
      <c r="AT266" t="s">
        <v>3655</v>
      </c>
      <c r="AU266">
        <v>2009</v>
      </c>
      <c r="AV266">
        <v>135</v>
      </c>
      <c r="AW266">
        <v>641</v>
      </c>
      <c r="AX266" t="s">
        <v>5277</v>
      </c>
      <c r="AY266" t="s">
        <v>74</v>
      </c>
      <c r="AZ266" t="s">
        <v>74</v>
      </c>
      <c r="BA266" t="s">
        <v>74</v>
      </c>
      <c r="BB266">
        <v>880</v>
      </c>
      <c r="BC266">
        <v>893</v>
      </c>
      <c r="BD266" t="s">
        <v>74</v>
      </c>
      <c r="BE266" t="s">
        <v>5278</v>
      </c>
      <c r="BF266" t="str">
        <f>HYPERLINK("http://dx.doi.org/10.1002/qj.411","http://dx.doi.org/10.1002/qj.411")</f>
        <v>http://dx.doi.org/10.1002/qj.411</v>
      </c>
      <c r="BG266" t="s">
        <v>74</v>
      </c>
      <c r="BH266" t="s">
        <v>74</v>
      </c>
      <c r="BI266">
        <v>14</v>
      </c>
      <c r="BJ266" t="s">
        <v>398</v>
      </c>
      <c r="BK266" t="s">
        <v>100</v>
      </c>
      <c r="BL266" t="s">
        <v>398</v>
      </c>
      <c r="BM266" t="s">
        <v>5279</v>
      </c>
      <c r="BN266" t="s">
        <v>74</v>
      </c>
      <c r="BO266" t="s">
        <v>74</v>
      </c>
      <c r="BP266" t="s">
        <v>74</v>
      </c>
      <c r="BQ266" t="s">
        <v>74</v>
      </c>
      <c r="BR266" t="s">
        <v>103</v>
      </c>
      <c r="BS266" t="s">
        <v>5280</v>
      </c>
      <c r="BT266" t="str">
        <f>HYPERLINK("https%3A%2F%2Fwww.webofscience.com%2Fwos%2Fwoscc%2Ffull-record%2FWOS:000268222800005","View Full Record in Web of Science")</f>
        <v>View Full Record in Web of Science</v>
      </c>
    </row>
    <row r="267" spans="1:72" x14ac:dyDescent="0.15">
      <c r="A267" t="s">
        <v>72</v>
      </c>
      <c r="B267" t="s">
        <v>5281</v>
      </c>
      <c r="C267" t="s">
        <v>74</v>
      </c>
      <c r="D267" t="s">
        <v>74</v>
      </c>
      <c r="E267" t="s">
        <v>74</v>
      </c>
      <c r="F267" t="s">
        <v>5282</v>
      </c>
      <c r="G267" t="s">
        <v>74</v>
      </c>
      <c r="H267" t="s">
        <v>74</v>
      </c>
      <c r="I267" t="s">
        <v>5283</v>
      </c>
      <c r="J267" t="s">
        <v>5260</v>
      </c>
      <c r="K267" t="s">
        <v>74</v>
      </c>
      <c r="L267" t="s">
        <v>74</v>
      </c>
      <c r="M267" t="s">
        <v>78</v>
      </c>
      <c r="N267" t="s">
        <v>79</v>
      </c>
      <c r="O267" t="s">
        <v>74</v>
      </c>
      <c r="P267" t="s">
        <v>74</v>
      </c>
      <c r="Q267" t="s">
        <v>74</v>
      </c>
      <c r="R267" t="s">
        <v>74</v>
      </c>
      <c r="S267" t="s">
        <v>74</v>
      </c>
      <c r="T267" t="s">
        <v>5284</v>
      </c>
      <c r="U267" t="s">
        <v>5285</v>
      </c>
      <c r="V267" t="s">
        <v>5286</v>
      </c>
      <c r="W267" t="s">
        <v>5287</v>
      </c>
      <c r="X267" t="s">
        <v>5288</v>
      </c>
      <c r="Y267" t="s">
        <v>5289</v>
      </c>
      <c r="Z267" t="s">
        <v>5290</v>
      </c>
      <c r="AA267" t="s">
        <v>74</v>
      </c>
      <c r="AB267" t="s">
        <v>74</v>
      </c>
      <c r="AC267" t="s">
        <v>5291</v>
      </c>
      <c r="AD267" t="s">
        <v>5292</v>
      </c>
      <c r="AE267" t="s">
        <v>5293</v>
      </c>
      <c r="AF267" t="s">
        <v>74</v>
      </c>
      <c r="AG267">
        <v>30</v>
      </c>
      <c r="AH267">
        <v>28</v>
      </c>
      <c r="AI267">
        <v>28</v>
      </c>
      <c r="AJ267">
        <v>0</v>
      </c>
      <c r="AK267">
        <v>7</v>
      </c>
      <c r="AL267" t="s">
        <v>2124</v>
      </c>
      <c r="AM267" t="s">
        <v>490</v>
      </c>
      <c r="AN267" t="s">
        <v>491</v>
      </c>
      <c r="AO267" t="s">
        <v>5273</v>
      </c>
      <c r="AP267" t="s">
        <v>5274</v>
      </c>
      <c r="AQ267" t="s">
        <v>74</v>
      </c>
      <c r="AR267" t="s">
        <v>5275</v>
      </c>
      <c r="AS267" t="s">
        <v>5276</v>
      </c>
      <c r="AT267" t="s">
        <v>3655</v>
      </c>
      <c r="AU267">
        <v>2009</v>
      </c>
      <c r="AV267">
        <v>135</v>
      </c>
      <c r="AW267">
        <v>641</v>
      </c>
      <c r="AX267" t="s">
        <v>5277</v>
      </c>
      <c r="AY267" t="s">
        <v>74</v>
      </c>
      <c r="AZ267" t="s">
        <v>74</v>
      </c>
      <c r="BA267" t="s">
        <v>74</v>
      </c>
      <c r="BB267">
        <v>914</v>
      </c>
      <c r="BC267">
        <v>921</v>
      </c>
      <c r="BD267" t="s">
        <v>74</v>
      </c>
      <c r="BE267" t="s">
        <v>5294</v>
      </c>
      <c r="BF267" t="str">
        <f>HYPERLINK("http://dx.doi.org/10.1002/qj.423","http://dx.doi.org/10.1002/qj.423")</f>
        <v>http://dx.doi.org/10.1002/qj.423</v>
      </c>
      <c r="BG267" t="s">
        <v>74</v>
      </c>
      <c r="BH267" t="s">
        <v>74</v>
      </c>
      <c r="BI267">
        <v>8</v>
      </c>
      <c r="BJ267" t="s">
        <v>398</v>
      </c>
      <c r="BK267" t="s">
        <v>100</v>
      </c>
      <c r="BL267" t="s">
        <v>398</v>
      </c>
      <c r="BM267" t="s">
        <v>5279</v>
      </c>
      <c r="BN267" t="s">
        <v>74</v>
      </c>
      <c r="BO267" t="s">
        <v>74</v>
      </c>
      <c r="BP267" t="s">
        <v>74</v>
      </c>
      <c r="BQ267" t="s">
        <v>74</v>
      </c>
      <c r="BR267" t="s">
        <v>103</v>
      </c>
      <c r="BS267" t="s">
        <v>5295</v>
      </c>
      <c r="BT267" t="str">
        <f>HYPERLINK("https%3A%2F%2Fwww.webofscience.com%2Fwos%2Fwoscc%2Ffull-record%2FWOS:000268222800007","View Full Record in Web of Science")</f>
        <v>View Full Record in Web of Science</v>
      </c>
    </row>
    <row r="268" spans="1:72" x14ac:dyDescent="0.15">
      <c r="A268" t="s">
        <v>72</v>
      </c>
      <c r="B268" t="s">
        <v>5296</v>
      </c>
      <c r="C268" t="s">
        <v>74</v>
      </c>
      <c r="D268" t="s">
        <v>74</v>
      </c>
      <c r="E268" t="s">
        <v>74</v>
      </c>
      <c r="F268" t="s">
        <v>5297</v>
      </c>
      <c r="G268" t="s">
        <v>74</v>
      </c>
      <c r="H268" t="s">
        <v>74</v>
      </c>
      <c r="I268" t="s">
        <v>5298</v>
      </c>
      <c r="J268" t="s">
        <v>5260</v>
      </c>
      <c r="K268" t="s">
        <v>74</v>
      </c>
      <c r="L268" t="s">
        <v>74</v>
      </c>
      <c r="M268" t="s">
        <v>78</v>
      </c>
      <c r="N268" t="s">
        <v>79</v>
      </c>
      <c r="O268" t="s">
        <v>74</v>
      </c>
      <c r="P268" t="s">
        <v>74</v>
      </c>
      <c r="Q268" t="s">
        <v>74</v>
      </c>
      <c r="R268" t="s">
        <v>74</v>
      </c>
      <c r="S268" t="s">
        <v>74</v>
      </c>
      <c r="T268" t="s">
        <v>5299</v>
      </c>
      <c r="U268" t="s">
        <v>5300</v>
      </c>
      <c r="V268" t="s">
        <v>5301</v>
      </c>
      <c r="W268" t="s">
        <v>5302</v>
      </c>
      <c r="X268" t="s">
        <v>5303</v>
      </c>
      <c r="Y268" t="s">
        <v>5304</v>
      </c>
      <c r="Z268" t="s">
        <v>5305</v>
      </c>
      <c r="AA268" t="s">
        <v>5306</v>
      </c>
      <c r="AB268" t="s">
        <v>5307</v>
      </c>
      <c r="AC268" t="s">
        <v>5308</v>
      </c>
      <c r="AD268" t="s">
        <v>5309</v>
      </c>
      <c r="AE268" t="s">
        <v>5310</v>
      </c>
      <c r="AF268" t="s">
        <v>74</v>
      </c>
      <c r="AG268">
        <v>47</v>
      </c>
      <c r="AH268">
        <v>33</v>
      </c>
      <c r="AI268">
        <v>35</v>
      </c>
      <c r="AJ268">
        <v>0</v>
      </c>
      <c r="AK268">
        <v>9</v>
      </c>
      <c r="AL268" t="s">
        <v>489</v>
      </c>
      <c r="AM268" t="s">
        <v>490</v>
      </c>
      <c r="AN268" t="s">
        <v>491</v>
      </c>
      <c r="AO268" t="s">
        <v>5273</v>
      </c>
      <c r="AP268" t="s">
        <v>5274</v>
      </c>
      <c r="AQ268" t="s">
        <v>74</v>
      </c>
      <c r="AR268" t="s">
        <v>5275</v>
      </c>
      <c r="AS268" t="s">
        <v>5276</v>
      </c>
      <c r="AT268" t="s">
        <v>3655</v>
      </c>
      <c r="AU268">
        <v>2009</v>
      </c>
      <c r="AV268">
        <v>135</v>
      </c>
      <c r="AW268">
        <v>641</v>
      </c>
      <c r="AX268" t="s">
        <v>5277</v>
      </c>
      <c r="AY268" t="s">
        <v>74</v>
      </c>
      <c r="AZ268" t="s">
        <v>74</v>
      </c>
      <c r="BA268" t="s">
        <v>74</v>
      </c>
      <c r="BB268">
        <v>1030</v>
      </c>
      <c r="BC268">
        <v>1043</v>
      </c>
      <c r="BD268" t="s">
        <v>74</v>
      </c>
      <c r="BE268" t="s">
        <v>5311</v>
      </c>
      <c r="BF268" t="str">
        <f>HYPERLINK("http://dx.doi.org/10.1002/qj.419","http://dx.doi.org/10.1002/qj.419")</f>
        <v>http://dx.doi.org/10.1002/qj.419</v>
      </c>
      <c r="BG268" t="s">
        <v>74</v>
      </c>
      <c r="BH268" t="s">
        <v>74</v>
      </c>
      <c r="BI268">
        <v>14</v>
      </c>
      <c r="BJ268" t="s">
        <v>398</v>
      </c>
      <c r="BK268" t="s">
        <v>100</v>
      </c>
      <c r="BL268" t="s">
        <v>398</v>
      </c>
      <c r="BM268" t="s">
        <v>5279</v>
      </c>
      <c r="BN268" t="s">
        <v>74</v>
      </c>
      <c r="BO268" t="s">
        <v>1012</v>
      </c>
      <c r="BP268" t="s">
        <v>74</v>
      </c>
      <c r="BQ268" t="s">
        <v>74</v>
      </c>
      <c r="BR268" t="s">
        <v>103</v>
      </c>
      <c r="BS268" t="s">
        <v>5312</v>
      </c>
      <c r="BT268" t="str">
        <f>HYPERLINK("https%3A%2F%2Fwww.webofscience.com%2Fwos%2Fwoscc%2Ffull-record%2FWOS:000268222800016","View Full Record in Web of Science")</f>
        <v>View Full Record in Web of Science</v>
      </c>
    </row>
    <row r="269" spans="1:72" x14ac:dyDescent="0.15">
      <c r="A269" t="s">
        <v>72</v>
      </c>
      <c r="B269" t="s">
        <v>5313</v>
      </c>
      <c r="C269" t="s">
        <v>74</v>
      </c>
      <c r="D269" t="s">
        <v>74</v>
      </c>
      <c r="E269" t="s">
        <v>74</v>
      </c>
      <c r="F269" t="s">
        <v>5314</v>
      </c>
      <c r="G269" t="s">
        <v>74</v>
      </c>
      <c r="H269" t="s">
        <v>74</v>
      </c>
      <c r="I269" t="s">
        <v>5315</v>
      </c>
      <c r="J269" t="s">
        <v>292</v>
      </c>
      <c r="K269" t="s">
        <v>74</v>
      </c>
      <c r="L269" t="s">
        <v>74</v>
      </c>
      <c r="M269" t="s">
        <v>78</v>
      </c>
      <c r="N269" t="s">
        <v>79</v>
      </c>
      <c r="O269" t="s">
        <v>74</v>
      </c>
      <c r="P269" t="s">
        <v>74</v>
      </c>
      <c r="Q269" t="s">
        <v>74</v>
      </c>
      <c r="R269" t="s">
        <v>74</v>
      </c>
      <c r="S269" t="s">
        <v>74</v>
      </c>
      <c r="T269" t="s">
        <v>74</v>
      </c>
      <c r="U269" t="s">
        <v>5316</v>
      </c>
      <c r="V269" t="s">
        <v>5317</v>
      </c>
      <c r="W269" t="s">
        <v>5318</v>
      </c>
      <c r="X269" t="s">
        <v>5319</v>
      </c>
      <c r="Y269" t="s">
        <v>5320</v>
      </c>
      <c r="Z269" t="s">
        <v>5321</v>
      </c>
      <c r="AA269" t="s">
        <v>74</v>
      </c>
      <c r="AB269" t="s">
        <v>5322</v>
      </c>
      <c r="AC269" t="s">
        <v>5323</v>
      </c>
      <c r="AD269" t="s">
        <v>5324</v>
      </c>
      <c r="AE269" t="s">
        <v>5325</v>
      </c>
      <c r="AF269" t="s">
        <v>74</v>
      </c>
      <c r="AG269">
        <v>56</v>
      </c>
      <c r="AH269">
        <v>78</v>
      </c>
      <c r="AI269">
        <v>82</v>
      </c>
      <c r="AJ269">
        <v>0</v>
      </c>
      <c r="AK269">
        <v>23</v>
      </c>
      <c r="AL269" t="s">
        <v>303</v>
      </c>
      <c r="AM269" t="s">
        <v>304</v>
      </c>
      <c r="AN269" t="s">
        <v>305</v>
      </c>
      <c r="AO269" t="s">
        <v>306</v>
      </c>
      <c r="AP269" t="s">
        <v>74</v>
      </c>
      <c r="AQ269" t="s">
        <v>74</v>
      </c>
      <c r="AR269" t="s">
        <v>308</v>
      </c>
      <c r="AS269" t="s">
        <v>309</v>
      </c>
      <c r="AT269" t="s">
        <v>3655</v>
      </c>
      <c r="AU269">
        <v>2009</v>
      </c>
      <c r="AV269">
        <v>28</v>
      </c>
      <c r="AW269" t="s">
        <v>5326</v>
      </c>
      <c r="AX269" t="s">
        <v>74</v>
      </c>
      <c r="AY269" t="s">
        <v>74</v>
      </c>
      <c r="AZ269" t="s">
        <v>2297</v>
      </c>
      <c r="BA269" t="s">
        <v>74</v>
      </c>
      <c r="BB269">
        <v>584</v>
      </c>
      <c r="BC269">
        <v>596</v>
      </c>
      <c r="BD269" t="s">
        <v>74</v>
      </c>
      <c r="BE269" t="s">
        <v>5327</v>
      </c>
      <c r="BF269" t="str">
        <f>HYPERLINK("http://dx.doi.org/10.1016/j.quascirev.2008.05.010","http://dx.doi.org/10.1016/j.quascirev.2008.05.010")</f>
        <v>http://dx.doi.org/10.1016/j.quascirev.2008.05.010</v>
      </c>
      <c r="BG269" t="s">
        <v>74</v>
      </c>
      <c r="BH269" t="s">
        <v>74</v>
      </c>
      <c r="BI269">
        <v>13</v>
      </c>
      <c r="BJ269" t="s">
        <v>312</v>
      </c>
      <c r="BK269" t="s">
        <v>100</v>
      </c>
      <c r="BL269" t="s">
        <v>313</v>
      </c>
      <c r="BM269" t="s">
        <v>5328</v>
      </c>
      <c r="BN269" t="s">
        <v>74</v>
      </c>
      <c r="BO269" t="s">
        <v>74</v>
      </c>
      <c r="BP269" t="s">
        <v>74</v>
      </c>
      <c r="BQ269" t="s">
        <v>74</v>
      </c>
      <c r="BR269" t="s">
        <v>103</v>
      </c>
      <c r="BS269" t="s">
        <v>5329</v>
      </c>
      <c r="BT269" t="str">
        <f>HYPERLINK("https%3A%2F%2Fwww.webofscience.com%2Fwos%2Fwoscc%2Ffull-record%2FWOS:000265005700003","View Full Record in Web of Science")</f>
        <v>View Full Record in Web of Science</v>
      </c>
    </row>
    <row r="270" spans="1:72" x14ac:dyDescent="0.15">
      <c r="A270" t="s">
        <v>72</v>
      </c>
      <c r="B270" t="s">
        <v>5330</v>
      </c>
      <c r="C270" t="s">
        <v>74</v>
      </c>
      <c r="D270" t="s">
        <v>74</v>
      </c>
      <c r="E270" t="s">
        <v>74</v>
      </c>
      <c r="F270" t="s">
        <v>5331</v>
      </c>
      <c r="G270" t="s">
        <v>74</v>
      </c>
      <c r="H270" t="s">
        <v>74</v>
      </c>
      <c r="I270" t="s">
        <v>5332</v>
      </c>
      <c r="J270" t="s">
        <v>292</v>
      </c>
      <c r="K270" t="s">
        <v>74</v>
      </c>
      <c r="L270" t="s">
        <v>74</v>
      </c>
      <c r="M270" t="s">
        <v>78</v>
      </c>
      <c r="N270" t="s">
        <v>79</v>
      </c>
      <c r="O270" t="s">
        <v>74</v>
      </c>
      <c r="P270" t="s">
        <v>74</v>
      </c>
      <c r="Q270" t="s">
        <v>74</v>
      </c>
      <c r="R270" t="s">
        <v>74</v>
      </c>
      <c r="S270" t="s">
        <v>74</v>
      </c>
      <c r="T270" t="s">
        <v>74</v>
      </c>
      <c r="U270" t="s">
        <v>5333</v>
      </c>
      <c r="V270" t="s">
        <v>5334</v>
      </c>
      <c r="W270" t="s">
        <v>5335</v>
      </c>
      <c r="X270" t="s">
        <v>5336</v>
      </c>
      <c r="Y270" t="s">
        <v>5337</v>
      </c>
      <c r="Z270" t="s">
        <v>5338</v>
      </c>
      <c r="AA270" t="s">
        <v>5339</v>
      </c>
      <c r="AB270" t="s">
        <v>5340</v>
      </c>
      <c r="AC270" t="s">
        <v>74</v>
      </c>
      <c r="AD270" t="s">
        <v>74</v>
      </c>
      <c r="AE270" t="s">
        <v>74</v>
      </c>
      <c r="AF270" t="s">
        <v>74</v>
      </c>
      <c r="AG270">
        <v>53</v>
      </c>
      <c r="AH270">
        <v>89</v>
      </c>
      <c r="AI270">
        <v>95</v>
      </c>
      <c r="AJ270">
        <v>0</v>
      </c>
      <c r="AK270">
        <v>19</v>
      </c>
      <c r="AL270" t="s">
        <v>303</v>
      </c>
      <c r="AM270" t="s">
        <v>304</v>
      </c>
      <c r="AN270" t="s">
        <v>305</v>
      </c>
      <c r="AO270" t="s">
        <v>306</v>
      </c>
      <c r="AP270" t="s">
        <v>74</v>
      </c>
      <c r="AQ270" t="s">
        <v>74</v>
      </c>
      <c r="AR270" t="s">
        <v>308</v>
      </c>
      <c r="AS270" t="s">
        <v>309</v>
      </c>
      <c r="AT270" t="s">
        <v>3655</v>
      </c>
      <c r="AU270">
        <v>2009</v>
      </c>
      <c r="AV270">
        <v>28</v>
      </c>
      <c r="AW270" t="s">
        <v>5326</v>
      </c>
      <c r="AX270" t="s">
        <v>74</v>
      </c>
      <c r="AY270" t="s">
        <v>74</v>
      </c>
      <c r="AZ270" t="s">
        <v>2297</v>
      </c>
      <c r="BA270" t="s">
        <v>74</v>
      </c>
      <c r="BB270">
        <v>708</v>
      </c>
      <c r="BC270">
        <v>720</v>
      </c>
      <c r="BD270" t="s">
        <v>74</v>
      </c>
      <c r="BE270" t="s">
        <v>5341</v>
      </c>
      <c r="BF270" t="str">
        <f>HYPERLINK("http://dx.doi.org/10.1016/j.quascirev.2008.07.017","http://dx.doi.org/10.1016/j.quascirev.2008.07.017")</f>
        <v>http://dx.doi.org/10.1016/j.quascirev.2008.07.017</v>
      </c>
      <c r="BG270" t="s">
        <v>74</v>
      </c>
      <c r="BH270" t="s">
        <v>74</v>
      </c>
      <c r="BI270">
        <v>13</v>
      </c>
      <c r="BJ270" t="s">
        <v>312</v>
      </c>
      <c r="BK270" t="s">
        <v>100</v>
      </c>
      <c r="BL270" t="s">
        <v>313</v>
      </c>
      <c r="BM270" t="s">
        <v>5328</v>
      </c>
      <c r="BN270" t="s">
        <v>74</v>
      </c>
      <c r="BO270" t="s">
        <v>74</v>
      </c>
      <c r="BP270" t="s">
        <v>74</v>
      </c>
      <c r="BQ270" t="s">
        <v>74</v>
      </c>
      <c r="BR270" t="s">
        <v>103</v>
      </c>
      <c r="BS270" t="s">
        <v>5342</v>
      </c>
      <c r="BT270" t="str">
        <f>HYPERLINK("https%3A%2F%2Fwww.webofscience.com%2Fwos%2Fwoscc%2Ffull-record%2FWOS:000265005700011","View Full Record in Web of Science")</f>
        <v>View Full Record in Web of Science</v>
      </c>
    </row>
    <row r="271" spans="1:72" x14ac:dyDescent="0.15">
      <c r="A271" t="s">
        <v>72</v>
      </c>
      <c r="B271" t="s">
        <v>5343</v>
      </c>
      <c r="C271" t="s">
        <v>74</v>
      </c>
      <c r="D271" t="s">
        <v>74</v>
      </c>
      <c r="E271" t="s">
        <v>74</v>
      </c>
      <c r="F271" t="s">
        <v>5344</v>
      </c>
      <c r="G271" t="s">
        <v>74</v>
      </c>
      <c r="H271" t="s">
        <v>74</v>
      </c>
      <c r="I271" t="s">
        <v>5345</v>
      </c>
      <c r="J271" t="s">
        <v>5346</v>
      </c>
      <c r="K271" t="s">
        <v>74</v>
      </c>
      <c r="L271" t="s">
        <v>74</v>
      </c>
      <c r="M271" t="s">
        <v>78</v>
      </c>
      <c r="N271" t="s">
        <v>79</v>
      </c>
      <c r="O271" t="s">
        <v>74</v>
      </c>
      <c r="P271" t="s">
        <v>74</v>
      </c>
      <c r="Q271" t="s">
        <v>74</v>
      </c>
      <c r="R271" t="s">
        <v>74</v>
      </c>
      <c r="S271" t="s">
        <v>74</v>
      </c>
      <c r="T271" t="s">
        <v>74</v>
      </c>
      <c r="U271" t="s">
        <v>5347</v>
      </c>
      <c r="V271" t="s">
        <v>5348</v>
      </c>
      <c r="W271" t="s">
        <v>5349</v>
      </c>
      <c r="X271" t="s">
        <v>5350</v>
      </c>
      <c r="Y271" t="s">
        <v>5351</v>
      </c>
      <c r="Z271" t="s">
        <v>74</v>
      </c>
      <c r="AA271" t="s">
        <v>5352</v>
      </c>
      <c r="AB271" t="s">
        <v>5353</v>
      </c>
      <c r="AC271" t="s">
        <v>74</v>
      </c>
      <c r="AD271" t="s">
        <v>74</v>
      </c>
      <c r="AE271" t="s">
        <v>74</v>
      </c>
      <c r="AF271" t="s">
        <v>74</v>
      </c>
      <c r="AG271">
        <v>16</v>
      </c>
      <c r="AH271">
        <v>3</v>
      </c>
      <c r="AI271">
        <v>3</v>
      </c>
      <c r="AJ271">
        <v>0</v>
      </c>
      <c r="AK271">
        <v>0</v>
      </c>
      <c r="AL271" t="s">
        <v>91</v>
      </c>
      <c r="AM271" t="s">
        <v>92</v>
      </c>
      <c r="AN271" t="s">
        <v>93</v>
      </c>
      <c r="AO271" t="s">
        <v>5354</v>
      </c>
      <c r="AP271" t="s">
        <v>74</v>
      </c>
      <c r="AQ271" t="s">
        <v>74</v>
      </c>
      <c r="AR271" t="s">
        <v>5355</v>
      </c>
      <c r="AS271" t="s">
        <v>5356</v>
      </c>
      <c r="AT271" t="s">
        <v>3655</v>
      </c>
      <c r="AU271">
        <v>2009</v>
      </c>
      <c r="AV271">
        <v>52</v>
      </c>
      <c r="AW271">
        <v>4</v>
      </c>
      <c r="AX271" t="s">
        <v>74</v>
      </c>
      <c r="AY271" t="s">
        <v>74</v>
      </c>
      <c r="AZ271" t="s">
        <v>74</v>
      </c>
      <c r="BA271" t="s">
        <v>74</v>
      </c>
      <c r="BB271">
        <v>262</v>
      </c>
      <c r="BC271">
        <v>272</v>
      </c>
      <c r="BD271" t="s">
        <v>74</v>
      </c>
      <c r="BE271" t="s">
        <v>5357</v>
      </c>
      <c r="BF271" t="str">
        <f>HYPERLINK("http://dx.doi.org/10.1007/s11141-009-9135-x","http://dx.doi.org/10.1007/s11141-009-9135-x")</f>
        <v>http://dx.doi.org/10.1007/s11141-009-9135-x</v>
      </c>
      <c r="BG271" t="s">
        <v>74</v>
      </c>
      <c r="BH271" t="s">
        <v>74</v>
      </c>
      <c r="BI271">
        <v>11</v>
      </c>
      <c r="BJ271" t="s">
        <v>5358</v>
      </c>
      <c r="BK271" t="s">
        <v>100</v>
      </c>
      <c r="BL271" t="s">
        <v>5359</v>
      </c>
      <c r="BM271" t="s">
        <v>5360</v>
      </c>
      <c r="BN271" t="s">
        <v>74</v>
      </c>
      <c r="BO271" t="s">
        <v>74</v>
      </c>
      <c r="BP271" t="s">
        <v>74</v>
      </c>
      <c r="BQ271" t="s">
        <v>74</v>
      </c>
      <c r="BR271" t="s">
        <v>103</v>
      </c>
      <c r="BS271" t="s">
        <v>5361</v>
      </c>
      <c r="BT271" t="str">
        <f>HYPERLINK("https%3A%2F%2Fwww.webofscience.com%2Fwos%2Fwoscc%2Ffull-record%2FWOS:000268788400003","View Full Record in Web of Science")</f>
        <v>View Full Record in Web of Science</v>
      </c>
    </row>
    <row r="272" spans="1:72" x14ac:dyDescent="0.15">
      <c r="A272" t="s">
        <v>72</v>
      </c>
      <c r="B272" t="s">
        <v>5362</v>
      </c>
      <c r="C272" t="s">
        <v>74</v>
      </c>
      <c r="D272" t="s">
        <v>74</v>
      </c>
      <c r="E272" t="s">
        <v>74</v>
      </c>
      <c r="F272" t="s">
        <v>5363</v>
      </c>
      <c r="G272" t="s">
        <v>74</v>
      </c>
      <c r="H272" t="s">
        <v>74</v>
      </c>
      <c r="I272" t="s">
        <v>5364</v>
      </c>
      <c r="J272" t="s">
        <v>5365</v>
      </c>
      <c r="K272" t="s">
        <v>74</v>
      </c>
      <c r="L272" t="s">
        <v>74</v>
      </c>
      <c r="M272" t="s">
        <v>78</v>
      </c>
      <c r="N272" t="s">
        <v>79</v>
      </c>
      <c r="O272" t="s">
        <v>74</v>
      </c>
      <c r="P272" t="s">
        <v>74</v>
      </c>
      <c r="Q272" t="s">
        <v>74</v>
      </c>
      <c r="R272" t="s">
        <v>74</v>
      </c>
      <c r="S272" t="s">
        <v>74</v>
      </c>
      <c r="T272" t="s">
        <v>5366</v>
      </c>
      <c r="U272" t="s">
        <v>5367</v>
      </c>
      <c r="V272" t="s">
        <v>5368</v>
      </c>
      <c r="W272" t="s">
        <v>5369</v>
      </c>
      <c r="X272" t="s">
        <v>5370</v>
      </c>
      <c r="Y272" t="s">
        <v>5371</v>
      </c>
      <c r="Z272" t="s">
        <v>5372</v>
      </c>
      <c r="AA272" t="s">
        <v>74</v>
      </c>
      <c r="AB272" t="s">
        <v>5373</v>
      </c>
      <c r="AC272" t="s">
        <v>74</v>
      </c>
      <c r="AD272" t="s">
        <v>74</v>
      </c>
      <c r="AE272" t="s">
        <v>74</v>
      </c>
      <c r="AF272" t="s">
        <v>74</v>
      </c>
      <c r="AG272">
        <v>50</v>
      </c>
      <c r="AH272">
        <v>59</v>
      </c>
      <c r="AI272">
        <v>60</v>
      </c>
      <c r="AJ272">
        <v>0</v>
      </c>
      <c r="AK272">
        <v>10</v>
      </c>
      <c r="AL272" t="s">
        <v>251</v>
      </c>
      <c r="AM272" t="s">
        <v>252</v>
      </c>
      <c r="AN272" t="s">
        <v>253</v>
      </c>
      <c r="AO272" t="s">
        <v>5374</v>
      </c>
      <c r="AP272" t="s">
        <v>5375</v>
      </c>
      <c r="AQ272" t="s">
        <v>74</v>
      </c>
      <c r="AR272" t="s">
        <v>5376</v>
      </c>
      <c r="AS272" t="s">
        <v>5377</v>
      </c>
      <c r="AT272" t="s">
        <v>3655</v>
      </c>
      <c r="AU272">
        <v>2009</v>
      </c>
      <c r="AV272">
        <v>154</v>
      </c>
      <c r="AW272" t="s">
        <v>532</v>
      </c>
      <c r="AX272" t="s">
        <v>74</v>
      </c>
      <c r="AY272" t="s">
        <v>74</v>
      </c>
      <c r="AZ272" t="s">
        <v>74</v>
      </c>
      <c r="BA272" t="s">
        <v>74</v>
      </c>
      <c r="BB272">
        <v>22</v>
      </c>
      <c r="BC272">
        <v>33</v>
      </c>
      <c r="BD272" t="s">
        <v>74</v>
      </c>
      <c r="BE272" t="s">
        <v>5378</v>
      </c>
      <c r="BF272" t="str">
        <f>HYPERLINK("http://dx.doi.org/10.1016/j.revpalbo.2008.11.005","http://dx.doi.org/10.1016/j.revpalbo.2008.11.005")</f>
        <v>http://dx.doi.org/10.1016/j.revpalbo.2008.11.005</v>
      </c>
      <c r="BG272" t="s">
        <v>74</v>
      </c>
      <c r="BH272" t="s">
        <v>74</v>
      </c>
      <c r="BI272">
        <v>12</v>
      </c>
      <c r="BJ272" t="s">
        <v>5379</v>
      </c>
      <c r="BK272" t="s">
        <v>100</v>
      </c>
      <c r="BL272" t="s">
        <v>5379</v>
      </c>
      <c r="BM272" t="s">
        <v>5380</v>
      </c>
      <c r="BN272" t="s">
        <v>74</v>
      </c>
      <c r="BO272" t="s">
        <v>74</v>
      </c>
      <c r="BP272" t="s">
        <v>74</v>
      </c>
      <c r="BQ272" t="s">
        <v>74</v>
      </c>
      <c r="BR272" t="s">
        <v>103</v>
      </c>
      <c r="BS272" t="s">
        <v>5381</v>
      </c>
      <c r="BT272" t="str">
        <f>HYPERLINK("https%3A%2F%2Fwww.webofscience.com%2Fwos%2Fwoscc%2Ffull-record%2FWOS:000265353800003","View Full Record in Web of Science")</f>
        <v>View Full Record in Web of Science</v>
      </c>
    </row>
    <row r="273" spans="1:72" x14ac:dyDescent="0.15">
      <c r="A273" t="s">
        <v>72</v>
      </c>
      <c r="B273" t="s">
        <v>5382</v>
      </c>
      <c r="C273" t="s">
        <v>74</v>
      </c>
      <c r="D273" t="s">
        <v>74</v>
      </c>
      <c r="E273" t="s">
        <v>74</v>
      </c>
      <c r="F273" t="s">
        <v>5383</v>
      </c>
      <c r="G273" t="s">
        <v>74</v>
      </c>
      <c r="H273" t="s">
        <v>74</v>
      </c>
      <c r="I273" t="s">
        <v>5384</v>
      </c>
      <c r="J273" t="s">
        <v>5365</v>
      </c>
      <c r="K273" t="s">
        <v>74</v>
      </c>
      <c r="L273" t="s">
        <v>74</v>
      </c>
      <c r="M273" t="s">
        <v>78</v>
      </c>
      <c r="N273" t="s">
        <v>79</v>
      </c>
      <c r="O273" t="s">
        <v>74</v>
      </c>
      <c r="P273" t="s">
        <v>74</v>
      </c>
      <c r="Q273" t="s">
        <v>74</v>
      </c>
      <c r="R273" t="s">
        <v>74</v>
      </c>
      <c r="S273" t="s">
        <v>74</v>
      </c>
      <c r="T273" t="s">
        <v>5385</v>
      </c>
      <c r="U273" t="s">
        <v>5386</v>
      </c>
      <c r="V273" t="s">
        <v>5387</v>
      </c>
      <c r="W273" t="s">
        <v>5388</v>
      </c>
      <c r="X273" t="s">
        <v>5389</v>
      </c>
      <c r="Y273" t="s">
        <v>5390</v>
      </c>
      <c r="Z273" t="s">
        <v>5391</v>
      </c>
      <c r="AA273" t="s">
        <v>5392</v>
      </c>
      <c r="AB273" t="s">
        <v>5393</v>
      </c>
      <c r="AC273" t="s">
        <v>5394</v>
      </c>
      <c r="AD273" t="s">
        <v>5395</v>
      </c>
      <c r="AE273" t="s">
        <v>5396</v>
      </c>
      <c r="AF273" t="s">
        <v>74</v>
      </c>
      <c r="AG273">
        <v>72</v>
      </c>
      <c r="AH273">
        <v>27</v>
      </c>
      <c r="AI273">
        <v>27</v>
      </c>
      <c r="AJ273">
        <v>0</v>
      </c>
      <c r="AK273">
        <v>6</v>
      </c>
      <c r="AL273" t="s">
        <v>251</v>
      </c>
      <c r="AM273" t="s">
        <v>252</v>
      </c>
      <c r="AN273" t="s">
        <v>253</v>
      </c>
      <c r="AO273" t="s">
        <v>5374</v>
      </c>
      <c r="AP273" t="s">
        <v>5375</v>
      </c>
      <c r="AQ273" t="s">
        <v>74</v>
      </c>
      <c r="AR273" t="s">
        <v>5376</v>
      </c>
      <c r="AS273" t="s">
        <v>5377</v>
      </c>
      <c r="AT273" t="s">
        <v>3655</v>
      </c>
      <c r="AU273">
        <v>2009</v>
      </c>
      <c r="AV273">
        <v>154</v>
      </c>
      <c r="AW273" t="s">
        <v>532</v>
      </c>
      <c r="AX273" t="s">
        <v>74</v>
      </c>
      <c r="AY273" t="s">
        <v>74</v>
      </c>
      <c r="AZ273" t="s">
        <v>74</v>
      </c>
      <c r="BA273" t="s">
        <v>74</v>
      </c>
      <c r="BB273">
        <v>34</v>
      </c>
      <c r="BC273">
        <v>53</v>
      </c>
      <c r="BD273" t="s">
        <v>74</v>
      </c>
      <c r="BE273" t="s">
        <v>5397</v>
      </c>
      <c r="BF273" t="str">
        <f>HYPERLINK("http://dx.doi.org/10.1016/j.revpalbo.2008.11.006","http://dx.doi.org/10.1016/j.revpalbo.2008.11.006")</f>
        <v>http://dx.doi.org/10.1016/j.revpalbo.2008.11.006</v>
      </c>
      <c r="BG273" t="s">
        <v>74</v>
      </c>
      <c r="BH273" t="s">
        <v>74</v>
      </c>
      <c r="BI273">
        <v>20</v>
      </c>
      <c r="BJ273" t="s">
        <v>5379</v>
      </c>
      <c r="BK273" t="s">
        <v>100</v>
      </c>
      <c r="BL273" t="s">
        <v>5379</v>
      </c>
      <c r="BM273" t="s">
        <v>5380</v>
      </c>
      <c r="BN273" t="s">
        <v>74</v>
      </c>
      <c r="BO273" t="s">
        <v>74</v>
      </c>
      <c r="BP273" t="s">
        <v>74</v>
      </c>
      <c r="BQ273" t="s">
        <v>74</v>
      </c>
      <c r="BR273" t="s">
        <v>103</v>
      </c>
      <c r="BS273" t="s">
        <v>5398</v>
      </c>
      <c r="BT273" t="str">
        <f>HYPERLINK("https%3A%2F%2Fwww.webofscience.com%2Fwos%2Fwoscc%2Ffull-record%2FWOS:000265353800004","View Full Record in Web of Science")</f>
        <v>View Full Record in Web of Science</v>
      </c>
    </row>
    <row r="274" spans="1:72" x14ac:dyDescent="0.15">
      <c r="A274" t="s">
        <v>72</v>
      </c>
      <c r="B274" t="s">
        <v>5399</v>
      </c>
      <c r="C274" t="s">
        <v>74</v>
      </c>
      <c r="D274" t="s">
        <v>74</v>
      </c>
      <c r="E274" t="s">
        <v>74</v>
      </c>
      <c r="F274" t="s">
        <v>5400</v>
      </c>
      <c r="G274" t="s">
        <v>74</v>
      </c>
      <c r="H274" t="s">
        <v>74</v>
      </c>
      <c r="I274" t="s">
        <v>5401</v>
      </c>
      <c r="J274" t="s">
        <v>335</v>
      </c>
      <c r="K274" t="s">
        <v>74</v>
      </c>
      <c r="L274" t="s">
        <v>74</v>
      </c>
      <c r="M274" t="s">
        <v>78</v>
      </c>
      <c r="N274" t="s">
        <v>79</v>
      </c>
      <c r="O274" t="s">
        <v>74</v>
      </c>
      <c r="P274" t="s">
        <v>74</v>
      </c>
      <c r="Q274" t="s">
        <v>74</v>
      </c>
      <c r="R274" t="s">
        <v>74</v>
      </c>
      <c r="S274" t="s">
        <v>74</v>
      </c>
      <c r="T274" t="s">
        <v>5402</v>
      </c>
      <c r="U274" t="s">
        <v>5403</v>
      </c>
      <c r="V274" t="s">
        <v>5404</v>
      </c>
      <c r="W274" t="s">
        <v>5405</v>
      </c>
      <c r="X274" t="s">
        <v>5406</v>
      </c>
      <c r="Y274" t="s">
        <v>5407</v>
      </c>
      <c r="Z274" t="s">
        <v>5408</v>
      </c>
      <c r="AA274" t="s">
        <v>5409</v>
      </c>
      <c r="AB274" t="s">
        <v>5410</v>
      </c>
      <c r="AC274" t="s">
        <v>5411</v>
      </c>
      <c r="AD274" t="s">
        <v>1026</v>
      </c>
      <c r="AE274" t="s">
        <v>5412</v>
      </c>
      <c r="AF274" t="s">
        <v>74</v>
      </c>
      <c r="AG274">
        <v>16</v>
      </c>
      <c r="AH274">
        <v>10</v>
      </c>
      <c r="AI274">
        <v>11</v>
      </c>
      <c r="AJ274">
        <v>0</v>
      </c>
      <c r="AK274">
        <v>3</v>
      </c>
      <c r="AL274" t="s">
        <v>347</v>
      </c>
      <c r="AM274" t="s">
        <v>348</v>
      </c>
      <c r="AN274" t="s">
        <v>5413</v>
      </c>
      <c r="AO274" t="s">
        <v>350</v>
      </c>
      <c r="AP274" t="s">
        <v>74</v>
      </c>
      <c r="AQ274" t="s">
        <v>74</v>
      </c>
      <c r="AR274" t="s">
        <v>352</v>
      </c>
      <c r="AS274" t="s">
        <v>353</v>
      </c>
      <c r="AT274" t="s">
        <v>3655</v>
      </c>
      <c r="AU274">
        <v>2009</v>
      </c>
      <c r="AV274">
        <v>80</v>
      </c>
      <c r="AW274">
        <v>4</v>
      </c>
      <c r="AX274" t="s">
        <v>74</v>
      </c>
      <c r="AY274" t="s">
        <v>74</v>
      </c>
      <c r="AZ274" t="s">
        <v>74</v>
      </c>
      <c r="BA274" t="s">
        <v>74</v>
      </c>
      <c r="BB274" t="s">
        <v>74</v>
      </c>
      <c r="BC274" t="s">
        <v>74</v>
      </c>
      <c r="BD274">
        <v>44501</v>
      </c>
      <c r="BE274" t="s">
        <v>5414</v>
      </c>
      <c r="BF274" t="str">
        <f>HYPERLINK("http://dx.doi.org/10.1063/1.3108527","http://dx.doi.org/10.1063/1.3108527")</f>
        <v>http://dx.doi.org/10.1063/1.3108527</v>
      </c>
      <c r="BG274" t="s">
        <v>74</v>
      </c>
      <c r="BH274" t="s">
        <v>74</v>
      </c>
      <c r="BI274">
        <v>12</v>
      </c>
      <c r="BJ274" t="s">
        <v>355</v>
      </c>
      <c r="BK274" t="s">
        <v>100</v>
      </c>
      <c r="BL274" t="s">
        <v>356</v>
      </c>
      <c r="BM274" t="s">
        <v>5415</v>
      </c>
      <c r="BN274">
        <v>19405679</v>
      </c>
      <c r="BO274" t="s">
        <v>217</v>
      </c>
      <c r="BP274" t="s">
        <v>74</v>
      </c>
      <c r="BQ274" t="s">
        <v>74</v>
      </c>
      <c r="BR274" t="s">
        <v>103</v>
      </c>
      <c r="BS274" t="s">
        <v>5416</v>
      </c>
      <c r="BT274" t="str">
        <f>HYPERLINK("https%3A%2F%2Fwww.webofscience.com%2Fwos%2Fwoscc%2Ffull-record%2FWOS:000266597100036","View Full Record in Web of Science")</f>
        <v>View Full Record in Web of Science</v>
      </c>
    </row>
    <row r="275" spans="1:72" x14ac:dyDescent="0.15">
      <c r="A275" t="s">
        <v>72</v>
      </c>
      <c r="B275" t="s">
        <v>5417</v>
      </c>
      <c r="C275" t="s">
        <v>74</v>
      </c>
      <c r="D275" t="s">
        <v>74</v>
      </c>
      <c r="E275" t="s">
        <v>74</v>
      </c>
      <c r="F275" t="s">
        <v>5418</v>
      </c>
      <c r="G275" t="s">
        <v>74</v>
      </c>
      <c r="H275" t="s">
        <v>74</v>
      </c>
      <c r="I275" t="s">
        <v>5419</v>
      </c>
      <c r="J275" t="s">
        <v>5420</v>
      </c>
      <c r="K275" t="s">
        <v>74</v>
      </c>
      <c r="L275" t="s">
        <v>74</v>
      </c>
      <c r="M275" t="s">
        <v>933</v>
      </c>
      <c r="N275" t="s">
        <v>79</v>
      </c>
      <c r="O275" t="s">
        <v>74</v>
      </c>
      <c r="P275" t="s">
        <v>74</v>
      </c>
      <c r="Q275" t="s">
        <v>74</v>
      </c>
      <c r="R275" t="s">
        <v>74</v>
      </c>
      <c r="S275" t="s">
        <v>74</v>
      </c>
      <c r="T275" t="s">
        <v>74</v>
      </c>
      <c r="U275" t="s">
        <v>74</v>
      </c>
      <c r="V275" t="s">
        <v>74</v>
      </c>
      <c r="W275" t="s">
        <v>5421</v>
      </c>
      <c r="X275" t="s">
        <v>5422</v>
      </c>
      <c r="Y275" t="s">
        <v>5423</v>
      </c>
      <c r="Z275" t="s">
        <v>5424</v>
      </c>
      <c r="AA275" t="s">
        <v>74</v>
      </c>
      <c r="AB275" t="s">
        <v>74</v>
      </c>
      <c r="AC275" t="s">
        <v>74</v>
      </c>
      <c r="AD275" t="s">
        <v>74</v>
      </c>
      <c r="AE275" t="s">
        <v>74</v>
      </c>
      <c r="AF275" t="s">
        <v>74</v>
      </c>
      <c r="AG275">
        <v>32</v>
      </c>
      <c r="AH275">
        <v>0</v>
      </c>
      <c r="AI275">
        <v>0</v>
      </c>
      <c r="AJ275">
        <v>0</v>
      </c>
      <c r="AK275">
        <v>4</v>
      </c>
      <c r="AL275" t="s">
        <v>5425</v>
      </c>
      <c r="AM275" t="s">
        <v>5426</v>
      </c>
      <c r="AN275" t="s">
        <v>5427</v>
      </c>
      <c r="AO275" t="s">
        <v>5428</v>
      </c>
      <c r="AP275" t="s">
        <v>74</v>
      </c>
      <c r="AQ275" t="s">
        <v>74</v>
      </c>
      <c r="AR275" t="s">
        <v>5429</v>
      </c>
      <c r="AS275" t="s">
        <v>5430</v>
      </c>
      <c r="AT275" t="s">
        <v>3655</v>
      </c>
      <c r="AU275">
        <v>2009</v>
      </c>
      <c r="AV275" t="s">
        <v>74</v>
      </c>
      <c r="AW275">
        <v>74</v>
      </c>
      <c r="AX275" t="s">
        <v>74</v>
      </c>
      <c r="AY275" t="s">
        <v>74</v>
      </c>
      <c r="AZ275" t="s">
        <v>74</v>
      </c>
      <c r="BA275" t="s">
        <v>74</v>
      </c>
      <c r="BB275">
        <v>169</v>
      </c>
      <c r="BC275">
        <v>195</v>
      </c>
      <c r="BD275" t="s">
        <v>74</v>
      </c>
      <c r="BE275" t="s">
        <v>74</v>
      </c>
      <c r="BF275" t="s">
        <v>74</v>
      </c>
      <c r="BG275" t="s">
        <v>74</v>
      </c>
      <c r="BH275" t="s">
        <v>74</v>
      </c>
      <c r="BI275">
        <v>27</v>
      </c>
      <c r="BJ275" t="s">
        <v>5431</v>
      </c>
      <c r="BK275" t="s">
        <v>2060</v>
      </c>
      <c r="BL275" t="s">
        <v>5432</v>
      </c>
      <c r="BM275" t="s">
        <v>5433</v>
      </c>
      <c r="BN275" t="s">
        <v>74</v>
      </c>
      <c r="BO275" t="s">
        <v>74</v>
      </c>
      <c r="BP275" t="s">
        <v>74</v>
      </c>
      <c r="BQ275" t="s">
        <v>74</v>
      </c>
      <c r="BR275" t="s">
        <v>103</v>
      </c>
      <c r="BS275" t="s">
        <v>5434</v>
      </c>
      <c r="BT275" t="str">
        <f>HYPERLINK("https%3A%2F%2Fwww.webofscience.com%2Fwos%2Fwoscc%2Ffull-record%2FWOS:000267810700008","View Full Record in Web of Science")</f>
        <v>View Full Record in Web of Science</v>
      </c>
    </row>
    <row r="276" spans="1:72" x14ac:dyDescent="0.15">
      <c r="A276" t="s">
        <v>72</v>
      </c>
      <c r="B276" t="s">
        <v>5435</v>
      </c>
      <c r="C276" t="s">
        <v>74</v>
      </c>
      <c r="D276" t="s">
        <v>74</v>
      </c>
      <c r="E276" t="s">
        <v>74</v>
      </c>
      <c r="F276" t="s">
        <v>5436</v>
      </c>
      <c r="G276" t="s">
        <v>74</v>
      </c>
      <c r="H276" t="s">
        <v>74</v>
      </c>
      <c r="I276" t="s">
        <v>5437</v>
      </c>
      <c r="J276" t="s">
        <v>5438</v>
      </c>
      <c r="K276" t="s">
        <v>74</v>
      </c>
      <c r="L276" t="s">
        <v>74</v>
      </c>
      <c r="M276" t="s">
        <v>78</v>
      </c>
      <c r="N276" t="s">
        <v>172</v>
      </c>
      <c r="O276" t="s">
        <v>74</v>
      </c>
      <c r="P276" t="s">
        <v>74</v>
      </c>
      <c r="Q276" t="s">
        <v>74</v>
      </c>
      <c r="R276" t="s">
        <v>74</v>
      </c>
      <c r="S276" t="s">
        <v>74</v>
      </c>
      <c r="T276" t="s">
        <v>5439</v>
      </c>
      <c r="U276" t="s">
        <v>5440</v>
      </c>
      <c r="V276" t="s">
        <v>5441</v>
      </c>
      <c r="W276" t="s">
        <v>5442</v>
      </c>
      <c r="X276" t="s">
        <v>5443</v>
      </c>
      <c r="Y276" t="s">
        <v>5444</v>
      </c>
      <c r="Z276" t="s">
        <v>5445</v>
      </c>
      <c r="AA276" t="s">
        <v>5446</v>
      </c>
      <c r="AB276" t="s">
        <v>5447</v>
      </c>
      <c r="AC276" t="s">
        <v>5448</v>
      </c>
      <c r="AD276" t="s">
        <v>5449</v>
      </c>
      <c r="AE276" t="s">
        <v>5450</v>
      </c>
      <c r="AF276" t="s">
        <v>74</v>
      </c>
      <c r="AG276">
        <v>107</v>
      </c>
      <c r="AH276">
        <v>175</v>
      </c>
      <c r="AI276">
        <v>190</v>
      </c>
      <c r="AJ276">
        <v>0</v>
      </c>
      <c r="AK276">
        <v>67</v>
      </c>
      <c r="AL276" t="s">
        <v>553</v>
      </c>
      <c r="AM276" t="s">
        <v>252</v>
      </c>
      <c r="AN276" t="s">
        <v>554</v>
      </c>
      <c r="AO276" t="s">
        <v>5451</v>
      </c>
      <c r="AP276" t="s">
        <v>5452</v>
      </c>
      <c r="AQ276" t="s">
        <v>74</v>
      </c>
      <c r="AR276" t="s">
        <v>5438</v>
      </c>
      <c r="AS276" t="s">
        <v>5453</v>
      </c>
      <c r="AT276" t="s">
        <v>3699</v>
      </c>
      <c r="AU276">
        <v>2009</v>
      </c>
      <c r="AV276">
        <v>468</v>
      </c>
      <c r="AW276" t="s">
        <v>532</v>
      </c>
      <c r="AX276" t="s">
        <v>74</v>
      </c>
      <c r="AY276" t="s">
        <v>74</v>
      </c>
      <c r="AZ276" t="s">
        <v>2297</v>
      </c>
      <c r="BA276" t="s">
        <v>74</v>
      </c>
      <c r="BB276">
        <v>98</v>
      </c>
      <c r="BC276">
        <v>112</v>
      </c>
      <c r="BD276" t="s">
        <v>74</v>
      </c>
      <c r="BE276" t="s">
        <v>5454</v>
      </c>
      <c r="BF276" t="str">
        <f>HYPERLINK("http://dx.doi.org/10.1016/j.tecto.2008.12.016","http://dx.doi.org/10.1016/j.tecto.2008.12.016")</f>
        <v>http://dx.doi.org/10.1016/j.tecto.2008.12.016</v>
      </c>
      <c r="BG276" t="s">
        <v>74</v>
      </c>
      <c r="BH276" t="s">
        <v>74</v>
      </c>
      <c r="BI276">
        <v>15</v>
      </c>
      <c r="BJ276" t="s">
        <v>534</v>
      </c>
      <c r="BK276" t="s">
        <v>100</v>
      </c>
      <c r="BL276" t="s">
        <v>534</v>
      </c>
      <c r="BM276" t="s">
        <v>5455</v>
      </c>
      <c r="BN276" t="s">
        <v>74</v>
      </c>
      <c r="BO276" t="s">
        <v>74</v>
      </c>
      <c r="BP276" t="s">
        <v>74</v>
      </c>
      <c r="BQ276" t="s">
        <v>74</v>
      </c>
      <c r="BR276" t="s">
        <v>103</v>
      </c>
      <c r="BS276" t="s">
        <v>5456</v>
      </c>
      <c r="BT276" t="str">
        <f>HYPERLINK("https%3A%2F%2Fwww.webofscience.com%2Fwos%2Fwoscc%2Ffull-record%2FWOS:000265517600007","View Full Record in Web of Science")</f>
        <v>View Full Record in Web of Science</v>
      </c>
    </row>
    <row r="277" spans="1:72" x14ac:dyDescent="0.15">
      <c r="A277" t="s">
        <v>72</v>
      </c>
      <c r="B277" t="s">
        <v>5457</v>
      </c>
      <c r="C277" t="s">
        <v>74</v>
      </c>
      <c r="D277" t="s">
        <v>74</v>
      </c>
      <c r="E277" t="s">
        <v>74</v>
      </c>
      <c r="F277" t="s">
        <v>5458</v>
      </c>
      <c r="G277" t="s">
        <v>74</v>
      </c>
      <c r="H277" t="s">
        <v>74</v>
      </c>
      <c r="I277" t="s">
        <v>5459</v>
      </c>
      <c r="J277" t="s">
        <v>5460</v>
      </c>
      <c r="K277" t="s">
        <v>74</v>
      </c>
      <c r="L277" t="s">
        <v>74</v>
      </c>
      <c r="M277" t="s">
        <v>78</v>
      </c>
      <c r="N277" t="s">
        <v>79</v>
      </c>
      <c r="O277" t="s">
        <v>74</v>
      </c>
      <c r="P277" t="s">
        <v>74</v>
      </c>
      <c r="Q277" t="s">
        <v>74</v>
      </c>
      <c r="R277" t="s">
        <v>74</v>
      </c>
      <c r="S277" t="s">
        <v>74</v>
      </c>
      <c r="T277" t="s">
        <v>74</v>
      </c>
      <c r="U277" t="s">
        <v>5461</v>
      </c>
      <c r="V277" t="s">
        <v>5462</v>
      </c>
      <c r="W277" t="s">
        <v>5463</v>
      </c>
      <c r="X277" t="s">
        <v>5464</v>
      </c>
      <c r="Y277" t="s">
        <v>5465</v>
      </c>
      <c r="Z277" t="s">
        <v>5466</v>
      </c>
      <c r="AA277" t="s">
        <v>5467</v>
      </c>
      <c r="AB277" t="s">
        <v>5468</v>
      </c>
      <c r="AC277" t="s">
        <v>74</v>
      </c>
      <c r="AD277" t="s">
        <v>74</v>
      </c>
      <c r="AE277" t="s">
        <v>74</v>
      </c>
      <c r="AF277" t="s">
        <v>74</v>
      </c>
      <c r="AG277">
        <v>96</v>
      </c>
      <c r="AH277">
        <v>72</v>
      </c>
      <c r="AI277">
        <v>75</v>
      </c>
      <c r="AJ277">
        <v>0</v>
      </c>
      <c r="AK277">
        <v>3</v>
      </c>
      <c r="AL277" t="s">
        <v>5469</v>
      </c>
      <c r="AM277" t="s">
        <v>92</v>
      </c>
      <c r="AN277" t="s">
        <v>5470</v>
      </c>
      <c r="AO277" t="s">
        <v>5471</v>
      </c>
      <c r="AP277" t="s">
        <v>5472</v>
      </c>
      <c r="AQ277" t="s">
        <v>74</v>
      </c>
      <c r="AR277" t="s">
        <v>5473</v>
      </c>
      <c r="AS277" t="s">
        <v>5474</v>
      </c>
      <c r="AT277" t="s">
        <v>5475</v>
      </c>
      <c r="AU277">
        <v>2009</v>
      </c>
      <c r="AV277" t="s">
        <v>74</v>
      </c>
      <c r="AW277">
        <v>3638</v>
      </c>
      <c r="AX277" t="s">
        <v>74</v>
      </c>
      <c r="AY277" t="s">
        <v>74</v>
      </c>
      <c r="AZ277" t="s">
        <v>74</v>
      </c>
      <c r="BA277" t="s">
        <v>74</v>
      </c>
      <c r="BB277">
        <v>1</v>
      </c>
      <c r="BC277">
        <v>43</v>
      </c>
      <c r="BD277" t="s">
        <v>74</v>
      </c>
      <c r="BE277" t="s">
        <v>5476</v>
      </c>
      <c r="BF277" t="str">
        <f>HYPERLINK("http://dx.doi.org/10.1206/577.1","http://dx.doi.org/10.1206/577.1")</f>
        <v>http://dx.doi.org/10.1206/577.1</v>
      </c>
      <c r="BG277" t="s">
        <v>74</v>
      </c>
      <c r="BH277" t="s">
        <v>74</v>
      </c>
      <c r="BI277">
        <v>0</v>
      </c>
      <c r="BJ277" t="s">
        <v>5477</v>
      </c>
      <c r="BK277" t="s">
        <v>100</v>
      </c>
      <c r="BL277" t="s">
        <v>5478</v>
      </c>
      <c r="BM277" t="s">
        <v>5479</v>
      </c>
      <c r="BN277" t="s">
        <v>74</v>
      </c>
      <c r="BO277" t="s">
        <v>5480</v>
      </c>
      <c r="BP277" t="s">
        <v>74</v>
      </c>
      <c r="BQ277" t="s">
        <v>74</v>
      </c>
      <c r="BR277" t="s">
        <v>103</v>
      </c>
      <c r="BS277" t="s">
        <v>5481</v>
      </c>
      <c r="BT277" t="str">
        <f>HYPERLINK("https%3A%2F%2Fwww.webofscience.com%2Fwos%2Fwoscc%2Ffull-record%2FWOS:000264828700001","View Full Record in Web of Science")</f>
        <v>View Full Record in Web of Science</v>
      </c>
    </row>
    <row r="278" spans="1:72" x14ac:dyDescent="0.15">
      <c r="A278" t="s">
        <v>72</v>
      </c>
      <c r="B278" t="s">
        <v>5482</v>
      </c>
      <c r="C278" t="s">
        <v>74</v>
      </c>
      <c r="D278" t="s">
        <v>74</v>
      </c>
      <c r="E278" t="s">
        <v>74</v>
      </c>
      <c r="F278" t="s">
        <v>5483</v>
      </c>
      <c r="G278" t="s">
        <v>74</v>
      </c>
      <c r="H278" t="s">
        <v>74</v>
      </c>
      <c r="I278" t="s">
        <v>5484</v>
      </c>
      <c r="J278" t="s">
        <v>593</v>
      </c>
      <c r="K278" t="s">
        <v>74</v>
      </c>
      <c r="L278" t="s">
        <v>74</v>
      </c>
      <c r="M278" t="s">
        <v>78</v>
      </c>
      <c r="N278" t="s">
        <v>79</v>
      </c>
      <c r="O278" t="s">
        <v>74</v>
      </c>
      <c r="P278" t="s">
        <v>74</v>
      </c>
      <c r="Q278" t="s">
        <v>74</v>
      </c>
      <c r="R278" t="s">
        <v>74</v>
      </c>
      <c r="S278" t="s">
        <v>74</v>
      </c>
      <c r="T278" t="s">
        <v>74</v>
      </c>
      <c r="U278" t="s">
        <v>5485</v>
      </c>
      <c r="V278" t="s">
        <v>5486</v>
      </c>
      <c r="W278" t="s">
        <v>5487</v>
      </c>
      <c r="X278" t="s">
        <v>5488</v>
      </c>
      <c r="Y278" t="s">
        <v>5489</v>
      </c>
      <c r="Z278" t="s">
        <v>5490</v>
      </c>
      <c r="AA278" t="s">
        <v>5491</v>
      </c>
      <c r="AB278" t="s">
        <v>5492</v>
      </c>
      <c r="AC278" t="s">
        <v>5493</v>
      </c>
      <c r="AD278" t="s">
        <v>5494</v>
      </c>
      <c r="AE278" t="s">
        <v>5495</v>
      </c>
      <c r="AF278" t="s">
        <v>74</v>
      </c>
      <c r="AG278">
        <v>61</v>
      </c>
      <c r="AH278">
        <v>142</v>
      </c>
      <c r="AI278">
        <v>144</v>
      </c>
      <c r="AJ278">
        <v>1</v>
      </c>
      <c r="AK278">
        <v>4</v>
      </c>
      <c r="AL278" t="s">
        <v>605</v>
      </c>
      <c r="AM278" t="s">
        <v>606</v>
      </c>
      <c r="AN278" t="s">
        <v>607</v>
      </c>
      <c r="AO278" t="s">
        <v>608</v>
      </c>
      <c r="AP278" t="s">
        <v>609</v>
      </c>
      <c r="AQ278" t="s">
        <v>74</v>
      </c>
      <c r="AR278" t="s">
        <v>610</v>
      </c>
      <c r="AS278" t="s">
        <v>611</v>
      </c>
      <c r="AT278" t="s">
        <v>5475</v>
      </c>
      <c r="AU278">
        <v>2009</v>
      </c>
      <c r="AV278">
        <v>114</v>
      </c>
      <c r="AW278" t="s">
        <v>74</v>
      </c>
      <c r="AX278" t="s">
        <v>74</v>
      </c>
      <c r="AY278" t="s">
        <v>74</v>
      </c>
      <c r="AZ278" t="s">
        <v>74</v>
      </c>
      <c r="BA278" t="s">
        <v>74</v>
      </c>
      <c r="BB278" t="s">
        <v>74</v>
      </c>
      <c r="BC278" t="s">
        <v>74</v>
      </c>
      <c r="BD278" t="s">
        <v>5496</v>
      </c>
      <c r="BE278" t="s">
        <v>5497</v>
      </c>
      <c r="BF278" t="str">
        <f>HYPERLINK("http://dx.doi.org/10.1029/2008JA013889","http://dx.doi.org/10.1029/2008JA013889")</f>
        <v>http://dx.doi.org/10.1029/2008JA013889</v>
      </c>
      <c r="BG278" t="s">
        <v>74</v>
      </c>
      <c r="BH278" t="s">
        <v>74</v>
      </c>
      <c r="BI278">
        <v>16</v>
      </c>
      <c r="BJ278" t="s">
        <v>285</v>
      </c>
      <c r="BK278" t="s">
        <v>100</v>
      </c>
      <c r="BL278" t="s">
        <v>285</v>
      </c>
      <c r="BM278" t="s">
        <v>5498</v>
      </c>
      <c r="BN278" t="s">
        <v>74</v>
      </c>
      <c r="BO278" t="s">
        <v>499</v>
      </c>
      <c r="BP278" t="s">
        <v>74</v>
      </c>
      <c r="BQ278" t="s">
        <v>74</v>
      </c>
      <c r="BR278" t="s">
        <v>103</v>
      </c>
      <c r="BS278" t="s">
        <v>5499</v>
      </c>
      <c r="BT278" t="str">
        <f>HYPERLINK("https%3A%2F%2Fwww.webofscience.com%2Fwos%2Fwoscc%2Ffull-record%2FWOS:000264865400004","View Full Record in Web of Science")</f>
        <v>View Full Record in Web of Science</v>
      </c>
    </row>
    <row r="279" spans="1:72" x14ac:dyDescent="0.15">
      <c r="A279" t="s">
        <v>72</v>
      </c>
      <c r="B279" t="s">
        <v>5500</v>
      </c>
      <c r="C279" t="s">
        <v>74</v>
      </c>
      <c r="D279" t="s">
        <v>74</v>
      </c>
      <c r="E279" t="s">
        <v>74</v>
      </c>
      <c r="F279" t="s">
        <v>5501</v>
      </c>
      <c r="G279" t="s">
        <v>74</v>
      </c>
      <c r="H279" t="s">
        <v>74</v>
      </c>
      <c r="I279" t="s">
        <v>5502</v>
      </c>
      <c r="J279" t="s">
        <v>593</v>
      </c>
      <c r="K279" t="s">
        <v>74</v>
      </c>
      <c r="L279" t="s">
        <v>74</v>
      </c>
      <c r="M279" t="s">
        <v>78</v>
      </c>
      <c r="N279" t="s">
        <v>79</v>
      </c>
      <c r="O279" t="s">
        <v>74</v>
      </c>
      <c r="P279" t="s">
        <v>74</v>
      </c>
      <c r="Q279" t="s">
        <v>74</v>
      </c>
      <c r="R279" t="s">
        <v>74</v>
      </c>
      <c r="S279" t="s">
        <v>74</v>
      </c>
      <c r="T279" t="s">
        <v>74</v>
      </c>
      <c r="U279" t="s">
        <v>5503</v>
      </c>
      <c r="V279" t="s">
        <v>5504</v>
      </c>
      <c r="W279" t="s">
        <v>5505</v>
      </c>
      <c r="X279" t="s">
        <v>5506</v>
      </c>
      <c r="Y279" t="s">
        <v>5507</v>
      </c>
      <c r="Z279" t="s">
        <v>5508</v>
      </c>
      <c r="AA279" t="s">
        <v>5509</v>
      </c>
      <c r="AB279" t="s">
        <v>5510</v>
      </c>
      <c r="AC279" t="s">
        <v>5511</v>
      </c>
      <c r="AD279" t="s">
        <v>5512</v>
      </c>
      <c r="AE279" t="s">
        <v>5513</v>
      </c>
      <c r="AF279" t="s">
        <v>74</v>
      </c>
      <c r="AG279">
        <v>66</v>
      </c>
      <c r="AH279">
        <v>51</v>
      </c>
      <c r="AI279">
        <v>51</v>
      </c>
      <c r="AJ279">
        <v>0</v>
      </c>
      <c r="AK279">
        <v>6</v>
      </c>
      <c r="AL279" t="s">
        <v>605</v>
      </c>
      <c r="AM279" t="s">
        <v>606</v>
      </c>
      <c r="AN279" t="s">
        <v>607</v>
      </c>
      <c r="AO279" t="s">
        <v>608</v>
      </c>
      <c r="AP279" t="s">
        <v>609</v>
      </c>
      <c r="AQ279" t="s">
        <v>74</v>
      </c>
      <c r="AR279" t="s">
        <v>610</v>
      </c>
      <c r="AS279" t="s">
        <v>611</v>
      </c>
      <c r="AT279" t="s">
        <v>5475</v>
      </c>
      <c r="AU279">
        <v>2009</v>
      </c>
      <c r="AV279">
        <v>114</v>
      </c>
      <c r="AW279" t="s">
        <v>74</v>
      </c>
      <c r="AX279" t="s">
        <v>74</v>
      </c>
      <c r="AY279" t="s">
        <v>74</v>
      </c>
      <c r="AZ279" t="s">
        <v>74</v>
      </c>
      <c r="BA279" t="s">
        <v>74</v>
      </c>
      <c r="BB279" t="s">
        <v>74</v>
      </c>
      <c r="BC279" t="s">
        <v>74</v>
      </c>
      <c r="BD279" t="s">
        <v>5514</v>
      </c>
      <c r="BE279" t="s">
        <v>5515</v>
      </c>
      <c r="BF279" t="str">
        <f>HYPERLINK("http://dx.doi.org/10.1029/2008JA013888","http://dx.doi.org/10.1029/2008JA013888")</f>
        <v>http://dx.doi.org/10.1029/2008JA013888</v>
      </c>
      <c r="BG279" t="s">
        <v>74</v>
      </c>
      <c r="BH279" t="s">
        <v>74</v>
      </c>
      <c r="BI279">
        <v>14</v>
      </c>
      <c r="BJ279" t="s">
        <v>285</v>
      </c>
      <c r="BK279" t="s">
        <v>100</v>
      </c>
      <c r="BL279" t="s">
        <v>285</v>
      </c>
      <c r="BM279" t="s">
        <v>5498</v>
      </c>
      <c r="BN279" t="s">
        <v>74</v>
      </c>
      <c r="BO279" t="s">
        <v>1036</v>
      </c>
      <c r="BP279" t="s">
        <v>74</v>
      </c>
      <c r="BQ279" t="s">
        <v>74</v>
      </c>
      <c r="BR279" t="s">
        <v>103</v>
      </c>
      <c r="BS279" t="s">
        <v>5516</v>
      </c>
      <c r="BT279" t="str">
        <f>HYPERLINK("https%3A%2F%2Fwww.webofscience.com%2Fwos%2Fwoscc%2Ffull-record%2FWOS:000264865400003","View Full Record in Web of Science")</f>
        <v>View Full Record in Web of Science</v>
      </c>
    </row>
    <row r="280" spans="1:72" x14ac:dyDescent="0.15">
      <c r="A280" t="s">
        <v>72</v>
      </c>
      <c r="B280" t="s">
        <v>5517</v>
      </c>
      <c r="C280" t="s">
        <v>74</v>
      </c>
      <c r="D280" t="s">
        <v>74</v>
      </c>
      <c r="E280" t="s">
        <v>74</v>
      </c>
      <c r="F280" t="s">
        <v>5518</v>
      </c>
      <c r="G280" t="s">
        <v>74</v>
      </c>
      <c r="H280" t="s">
        <v>74</v>
      </c>
      <c r="I280" t="s">
        <v>5519</v>
      </c>
      <c r="J280" t="s">
        <v>862</v>
      </c>
      <c r="K280" t="s">
        <v>74</v>
      </c>
      <c r="L280" t="s">
        <v>74</v>
      </c>
      <c r="M280" t="s">
        <v>78</v>
      </c>
      <c r="N280" t="s">
        <v>79</v>
      </c>
      <c r="O280" t="s">
        <v>74</v>
      </c>
      <c r="P280" t="s">
        <v>74</v>
      </c>
      <c r="Q280" t="s">
        <v>74</v>
      </c>
      <c r="R280" t="s">
        <v>74</v>
      </c>
      <c r="S280" t="s">
        <v>74</v>
      </c>
      <c r="T280" t="s">
        <v>5520</v>
      </c>
      <c r="U280" t="s">
        <v>5521</v>
      </c>
      <c r="V280" t="s">
        <v>5522</v>
      </c>
      <c r="W280" t="s">
        <v>5523</v>
      </c>
      <c r="X280" t="s">
        <v>5524</v>
      </c>
      <c r="Y280" t="s">
        <v>5525</v>
      </c>
      <c r="Z280" t="s">
        <v>5526</v>
      </c>
      <c r="AA280" t="s">
        <v>5527</v>
      </c>
      <c r="AB280" t="s">
        <v>5528</v>
      </c>
      <c r="AC280" t="s">
        <v>5529</v>
      </c>
      <c r="AD280" t="s">
        <v>5530</v>
      </c>
      <c r="AE280" t="s">
        <v>5531</v>
      </c>
      <c r="AF280" t="s">
        <v>74</v>
      </c>
      <c r="AG280">
        <v>40</v>
      </c>
      <c r="AH280">
        <v>215</v>
      </c>
      <c r="AI280">
        <v>222</v>
      </c>
      <c r="AJ280">
        <v>4</v>
      </c>
      <c r="AK280">
        <v>64</v>
      </c>
      <c r="AL280" t="s">
        <v>874</v>
      </c>
      <c r="AM280" t="s">
        <v>606</v>
      </c>
      <c r="AN280" t="s">
        <v>875</v>
      </c>
      <c r="AO280" t="s">
        <v>876</v>
      </c>
      <c r="AP280" t="s">
        <v>74</v>
      </c>
      <c r="AQ280" t="s">
        <v>74</v>
      </c>
      <c r="AR280" t="s">
        <v>877</v>
      </c>
      <c r="AS280" t="s">
        <v>878</v>
      </c>
      <c r="AT280" t="s">
        <v>5475</v>
      </c>
      <c r="AU280">
        <v>2009</v>
      </c>
      <c r="AV280">
        <v>106</v>
      </c>
      <c r="AW280">
        <v>13</v>
      </c>
      <c r="AX280" t="s">
        <v>74</v>
      </c>
      <c r="AY280" t="s">
        <v>74</v>
      </c>
      <c r="AZ280" t="s">
        <v>74</v>
      </c>
      <c r="BA280" t="s">
        <v>74</v>
      </c>
      <c r="BB280">
        <v>5041</v>
      </c>
      <c r="BC280">
        <v>5046</v>
      </c>
      <c r="BD280" t="s">
        <v>74</v>
      </c>
      <c r="BE280" t="s">
        <v>5532</v>
      </c>
      <c r="BF280" t="str">
        <f>HYPERLINK("http://dx.doi.org/10.1073/pnas.0809117106","http://dx.doi.org/10.1073/pnas.0809117106")</f>
        <v>http://dx.doi.org/10.1073/pnas.0809117106</v>
      </c>
      <c r="BG280" t="s">
        <v>74</v>
      </c>
      <c r="BH280" t="s">
        <v>74</v>
      </c>
      <c r="BI280">
        <v>6</v>
      </c>
      <c r="BJ280" t="s">
        <v>790</v>
      </c>
      <c r="BK280" t="s">
        <v>100</v>
      </c>
      <c r="BL280" t="s">
        <v>791</v>
      </c>
      <c r="BM280" t="s">
        <v>5533</v>
      </c>
      <c r="BN280">
        <v>19289827</v>
      </c>
      <c r="BO280" t="s">
        <v>1639</v>
      </c>
      <c r="BP280" t="s">
        <v>74</v>
      </c>
      <c r="BQ280" t="s">
        <v>74</v>
      </c>
      <c r="BR280" t="s">
        <v>103</v>
      </c>
      <c r="BS280" t="s">
        <v>5534</v>
      </c>
      <c r="BT280" t="str">
        <f>HYPERLINK("https%3A%2F%2Fwww.webofscience.com%2Fwos%2Fwoscc%2Ffull-record%2FWOS:000264790600018","View Full Record in Web of Science")</f>
        <v>View Full Record in Web of Science</v>
      </c>
    </row>
    <row r="281" spans="1:72" x14ac:dyDescent="0.15">
      <c r="A281" t="s">
        <v>72</v>
      </c>
      <c r="B281" t="s">
        <v>5535</v>
      </c>
      <c r="C281" t="s">
        <v>74</v>
      </c>
      <c r="D281" t="s">
        <v>74</v>
      </c>
      <c r="E281" t="s">
        <v>74</v>
      </c>
      <c r="F281" t="s">
        <v>5536</v>
      </c>
      <c r="G281" t="s">
        <v>74</v>
      </c>
      <c r="H281" t="s">
        <v>74</v>
      </c>
      <c r="I281" t="s">
        <v>5537</v>
      </c>
      <c r="J281" t="s">
        <v>515</v>
      </c>
      <c r="K281" t="s">
        <v>74</v>
      </c>
      <c r="L281" t="s">
        <v>74</v>
      </c>
      <c r="M281" t="s">
        <v>78</v>
      </c>
      <c r="N281" t="s">
        <v>79</v>
      </c>
      <c r="O281" t="s">
        <v>74</v>
      </c>
      <c r="P281" t="s">
        <v>74</v>
      </c>
      <c r="Q281" t="s">
        <v>74</v>
      </c>
      <c r="R281" t="s">
        <v>74</v>
      </c>
      <c r="S281" t="s">
        <v>74</v>
      </c>
      <c r="T281" t="s">
        <v>5538</v>
      </c>
      <c r="U281" t="s">
        <v>5539</v>
      </c>
      <c r="V281" t="s">
        <v>5540</v>
      </c>
      <c r="W281" t="s">
        <v>5541</v>
      </c>
      <c r="X281" t="s">
        <v>5542</v>
      </c>
      <c r="Y281" t="s">
        <v>5543</v>
      </c>
      <c r="Z281" t="s">
        <v>5544</v>
      </c>
      <c r="AA281" t="s">
        <v>5545</v>
      </c>
      <c r="AB281" t="s">
        <v>5546</v>
      </c>
      <c r="AC281" t="s">
        <v>74</v>
      </c>
      <c r="AD281" t="s">
        <v>74</v>
      </c>
      <c r="AE281" t="s">
        <v>74</v>
      </c>
      <c r="AF281" t="s">
        <v>74</v>
      </c>
      <c r="AG281">
        <v>79</v>
      </c>
      <c r="AH281">
        <v>162</v>
      </c>
      <c r="AI281">
        <v>180</v>
      </c>
      <c r="AJ281">
        <v>2</v>
      </c>
      <c r="AK281">
        <v>57</v>
      </c>
      <c r="AL281" t="s">
        <v>251</v>
      </c>
      <c r="AM281" t="s">
        <v>252</v>
      </c>
      <c r="AN281" t="s">
        <v>253</v>
      </c>
      <c r="AO281" t="s">
        <v>527</v>
      </c>
      <c r="AP281" t="s">
        <v>528</v>
      </c>
      <c r="AQ281" t="s">
        <v>74</v>
      </c>
      <c r="AR281" t="s">
        <v>529</v>
      </c>
      <c r="AS281" t="s">
        <v>530</v>
      </c>
      <c r="AT281" t="s">
        <v>5547</v>
      </c>
      <c r="AU281">
        <v>2009</v>
      </c>
      <c r="AV281">
        <v>279</v>
      </c>
      <c r="AW281" t="s">
        <v>3346</v>
      </c>
      <c r="AX281" t="s">
        <v>74</v>
      </c>
      <c r="AY281" t="s">
        <v>74</v>
      </c>
      <c r="AZ281" t="s">
        <v>74</v>
      </c>
      <c r="BA281" t="s">
        <v>74</v>
      </c>
      <c r="BB281">
        <v>197</v>
      </c>
      <c r="BC281">
        <v>211</v>
      </c>
      <c r="BD281" t="s">
        <v>74</v>
      </c>
      <c r="BE281" t="s">
        <v>5548</v>
      </c>
      <c r="BF281" t="str">
        <f>HYPERLINK("http://dx.doi.org/10.1016/j.epsl.2008.12.037","http://dx.doi.org/10.1016/j.epsl.2008.12.037")</f>
        <v>http://dx.doi.org/10.1016/j.epsl.2008.12.037</v>
      </c>
      <c r="BG281" t="s">
        <v>74</v>
      </c>
      <c r="BH281" t="s">
        <v>74</v>
      </c>
      <c r="BI281">
        <v>15</v>
      </c>
      <c r="BJ281" t="s">
        <v>534</v>
      </c>
      <c r="BK281" t="s">
        <v>100</v>
      </c>
      <c r="BL281" t="s">
        <v>534</v>
      </c>
      <c r="BM281" t="s">
        <v>5549</v>
      </c>
      <c r="BN281" t="s">
        <v>74</v>
      </c>
      <c r="BO281" t="s">
        <v>1106</v>
      </c>
      <c r="BP281" t="s">
        <v>74</v>
      </c>
      <c r="BQ281" t="s">
        <v>74</v>
      </c>
      <c r="BR281" t="s">
        <v>103</v>
      </c>
      <c r="BS281" t="s">
        <v>5550</v>
      </c>
      <c r="BT281" t="str">
        <f>HYPERLINK("https%3A%2F%2Fwww.webofscience.com%2Fwos%2Fwoscc%2Ffull-record%2FWOS:000264743200006","View Full Record in Web of Science")</f>
        <v>View Full Record in Web of Science</v>
      </c>
    </row>
    <row r="282" spans="1:72" x14ac:dyDescent="0.15">
      <c r="A282" t="s">
        <v>72</v>
      </c>
      <c r="B282" t="s">
        <v>5551</v>
      </c>
      <c r="C282" t="s">
        <v>74</v>
      </c>
      <c r="D282" t="s">
        <v>74</v>
      </c>
      <c r="E282" t="s">
        <v>74</v>
      </c>
      <c r="F282" t="s">
        <v>5552</v>
      </c>
      <c r="G282" t="s">
        <v>74</v>
      </c>
      <c r="H282" t="s">
        <v>74</v>
      </c>
      <c r="I282" t="s">
        <v>5553</v>
      </c>
      <c r="J282" t="s">
        <v>1017</v>
      </c>
      <c r="K282" t="s">
        <v>74</v>
      </c>
      <c r="L282" t="s">
        <v>74</v>
      </c>
      <c r="M282" t="s">
        <v>78</v>
      </c>
      <c r="N282" t="s">
        <v>79</v>
      </c>
      <c r="O282" t="s">
        <v>74</v>
      </c>
      <c r="P282" t="s">
        <v>74</v>
      </c>
      <c r="Q282" t="s">
        <v>74</v>
      </c>
      <c r="R282" t="s">
        <v>74</v>
      </c>
      <c r="S282" t="s">
        <v>74</v>
      </c>
      <c r="T282" t="s">
        <v>74</v>
      </c>
      <c r="U282" t="s">
        <v>5554</v>
      </c>
      <c r="V282" t="s">
        <v>5555</v>
      </c>
      <c r="W282" t="s">
        <v>5556</v>
      </c>
      <c r="X282" t="s">
        <v>5557</v>
      </c>
      <c r="Y282" t="s">
        <v>5558</v>
      </c>
      <c r="Z282" t="s">
        <v>5559</v>
      </c>
      <c r="AA282" t="s">
        <v>5560</v>
      </c>
      <c r="AB282" t="s">
        <v>5561</v>
      </c>
      <c r="AC282" t="s">
        <v>74</v>
      </c>
      <c r="AD282" t="s">
        <v>74</v>
      </c>
      <c r="AE282" t="s">
        <v>74</v>
      </c>
      <c r="AF282" t="s">
        <v>74</v>
      </c>
      <c r="AG282">
        <v>40</v>
      </c>
      <c r="AH282">
        <v>15</v>
      </c>
      <c r="AI282">
        <v>17</v>
      </c>
      <c r="AJ282">
        <v>0</v>
      </c>
      <c r="AK282">
        <v>2</v>
      </c>
      <c r="AL282" t="s">
        <v>605</v>
      </c>
      <c r="AM282" t="s">
        <v>606</v>
      </c>
      <c r="AN282" t="s">
        <v>607</v>
      </c>
      <c r="AO282" t="s">
        <v>1028</v>
      </c>
      <c r="AP282" t="s">
        <v>1029</v>
      </c>
      <c r="AQ282" t="s">
        <v>74</v>
      </c>
      <c r="AR282" t="s">
        <v>1030</v>
      </c>
      <c r="AS282" t="s">
        <v>1031</v>
      </c>
      <c r="AT282" t="s">
        <v>5562</v>
      </c>
      <c r="AU282">
        <v>2009</v>
      </c>
      <c r="AV282">
        <v>114</v>
      </c>
      <c r="AW282" t="s">
        <v>74</v>
      </c>
      <c r="AX282" t="s">
        <v>74</v>
      </c>
      <c r="AY282" t="s">
        <v>74</v>
      </c>
      <c r="AZ282" t="s">
        <v>74</v>
      </c>
      <c r="BA282" t="s">
        <v>74</v>
      </c>
      <c r="BB282" t="s">
        <v>74</v>
      </c>
      <c r="BC282" t="s">
        <v>74</v>
      </c>
      <c r="BD282" t="s">
        <v>5563</v>
      </c>
      <c r="BE282" t="s">
        <v>5564</v>
      </c>
      <c r="BF282" t="str">
        <f>HYPERLINK("http://dx.doi.org/10.1029/2008JF001052","http://dx.doi.org/10.1029/2008JF001052")</f>
        <v>http://dx.doi.org/10.1029/2008JF001052</v>
      </c>
      <c r="BG282" t="s">
        <v>74</v>
      </c>
      <c r="BH282" t="s">
        <v>74</v>
      </c>
      <c r="BI282">
        <v>8</v>
      </c>
      <c r="BJ282" t="s">
        <v>496</v>
      </c>
      <c r="BK282" t="s">
        <v>100</v>
      </c>
      <c r="BL282" t="s">
        <v>497</v>
      </c>
      <c r="BM282" t="s">
        <v>5565</v>
      </c>
      <c r="BN282" t="s">
        <v>74</v>
      </c>
      <c r="BO282" t="s">
        <v>74</v>
      </c>
      <c r="BP282" t="s">
        <v>74</v>
      </c>
      <c r="BQ282" t="s">
        <v>74</v>
      </c>
      <c r="BR282" t="s">
        <v>103</v>
      </c>
      <c r="BS282" t="s">
        <v>5566</v>
      </c>
      <c r="BT282" t="str">
        <f>HYPERLINK("https%3A%2F%2Fwww.webofscience.com%2Fwos%2Fwoscc%2Ffull-record%2FWOS:000264684700002","View Full Record in Web of Science")</f>
        <v>View Full Record in Web of Science</v>
      </c>
    </row>
    <row r="283" spans="1:72" x14ac:dyDescent="0.15">
      <c r="A283" t="s">
        <v>72</v>
      </c>
      <c r="B283" t="s">
        <v>5567</v>
      </c>
      <c r="C283" t="s">
        <v>74</v>
      </c>
      <c r="D283" t="s">
        <v>74</v>
      </c>
      <c r="E283" t="s">
        <v>74</v>
      </c>
      <c r="F283" t="s">
        <v>5568</v>
      </c>
      <c r="G283" t="s">
        <v>74</v>
      </c>
      <c r="H283" t="s">
        <v>74</v>
      </c>
      <c r="I283" t="s">
        <v>5569</v>
      </c>
      <c r="J283" t="s">
        <v>645</v>
      </c>
      <c r="K283" t="s">
        <v>74</v>
      </c>
      <c r="L283" t="s">
        <v>74</v>
      </c>
      <c r="M283" t="s">
        <v>78</v>
      </c>
      <c r="N283" t="s">
        <v>79</v>
      </c>
      <c r="O283" t="s">
        <v>74</v>
      </c>
      <c r="P283" t="s">
        <v>74</v>
      </c>
      <c r="Q283" t="s">
        <v>74</v>
      </c>
      <c r="R283" t="s">
        <v>74</v>
      </c>
      <c r="S283" t="s">
        <v>74</v>
      </c>
      <c r="T283" t="s">
        <v>74</v>
      </c>
      <c r="U283" t="s">
        <v>5570</v>
      </c>
      <c r="V283" t="s">
        <v>5571</v>
      </c>
      <c r="W283" t="s">
        <v>5572</v>
      </c>
      <c r="X283" t="s">
        <v>824</v>
      </c>
      <c r="Y283" t="s">
        <v>5573</v>
      </c>
      <c r="Z283" t="s">
        <v>5574</v>
      </c>
      <c r="AA283" t="s">
        <v>5575</v>
      </c>
      <c r="AB283" t="s">
        <v>5576</v>
      </c>
      <c r="AC283" t="s">
        <v>5577</v>
      </c>
      <c r="AD283" t="s">
        <v>1593</v>
      </c>
      <c r="AE283" t="s">
        <v>74</v>
      </c>
      <c r="AF283" t="s">
        <v>74</v>
      </c>
      <c r="AG283">
        <v>24</v>
      </c>
      <c r="AH283">
        <v>61</v>
      </c>
      <c r="AI283">
        <v>63</v>
      </c>
      <c r="AJ283">
        <v>0</v>
      </c>
      <c r="AK283">
        <v>12</v>
      </c>
      <c r="AL283" t="s">
        <v>605</v>
      </c>
      <c r="AM283" t="s">
        <v>606</v>
      </c>
      <c r="AN283" t="s">
        <v>607</v>
      </c>
      <c r="AO283" t="s">
        <v>657</v>
      </c>
      <c r="AP283" t="s">
        <v>658</v>
      </c>
      <c r="AQ283" t="s">
        <v>74</v>
      </c>
      <c r="AR283" t="s">
        <v>659</v>
      </c>
      <c r="AS283" t="s">
        <v>660</v>
      </c>
      <c r="AT283" t="s">
        <v>5578</v>
      </c>
      <c r="AU283">
        <v>2009</v>
      </c>
      <c r="AV283">
        <v>36</v>
      </c>
      <c r="AW283" t="s">
        <v>74</v>
      </c>
      <c r="AX283" t="s">
        <v>74</v>
      </c>
      <c r="AY283" t="s">
        <v>74</v>
      </c>
      <c r="AZ283" t="s">
        <v>74</v>
      </c>
      <c r="BA283" t="s">
        <v>74</v>
      </c>
      <c r="BB283" t="s">
        <v>74</v>
      </c>
      <c r="BC283" t="s">
        <v>74</v>
      </c>
      <c r="BD283" t="s">
        <v>5579</v>
      </c>
      <c r="BE283" t="s">
        <v>5580</v>
      </c>
      <c r="BF283" t="str">
        <f>HYPERLINK("http://dx.doi.org/10.1029/2008GL036877","http://dx.doi.org/10.1029/2008GL036877")</f>
        <v>http://dx.doi.org/10.1029/2008GL036877</v>
      </c>
      <c r="BG283" t="s">
        <v>74</v>
      </c>
      <c r="BH283" t="s">
        <v>74</v>
      </c>
      <c r="BI283">
        <v>6</v>
      </c>
      <c r="BJ283" t="s">
        <v>496</v>
      </c>
      <c r="BK283" t="s">
        <v>100</v>
      </c>
      <c r="BL283" t="s">
        <v>497</v>
      </c>
      <c r="BM283" t="s">
        <v>5581</v>
      </c>
      <c r="BN283" t="s">
        <v>74</v>
      </c>
      <c r="BO283" t="s">
        <v>287</v>
      </c>
      <c r="BP283" t="s">
        <v>74</v>
      </c>
      <c r="BQ283" t="s">
        <v>74</v>
      </c>
      <c r="BR283" t="s">
        <v>103</v>
      </c>
      <c r="BS283" t="s">
        <v>5582</v>
      </c>
      <c r="BT283" t="str">
        <f>HYPERLINK("https%3A%2F%2Fwww.webofscience.com%2Fwos%2Fwoscc%2Ffull-record%2FWOS:000264678900002","View Full Record in Web of Science")</f>
        <v>View Full Record in Web of Science</v>
      </c>
    </row>
    <row r="284" spans="1:72" x14ac:dyDescent="0.15">
      <c r="A284" t="s">
        <v>72</v>
      </c>
      <c r="B284" t="s">
        <v>5583</v>
      </c>
      <c r="C284" t="s">
        <v>74</v>
      </c>
      <c r="D284" t="s">
        <v>74</v>
      </c>
      <c r="E284" t="s">
        <v>74</v>
      </c>
      <c r="F284" t="s">
        <v>5584</v>
      </c>
      <c r="G284" t="s">
        <v>74</v>
      </c>
      <c r="H284" t="s">
        <v>74</v>
      </c>
      <c r="I284" t="s">
        <v>5585</v>
      </c>
      <c r="J284" t="s">
        <v>670</v>
      </c>
      <c r="K284" t="s">
        <v>74</v>
      </c>
      <c r="L284" t="s">
        <v>74</v>
      </c>
      <c r="M284" t="s">
        <v>78</v>
      </c>
      <c r="N284" t="s">
        <v>79</v>
      </c>
      <c r="O284" t="s">
        <v>74</v>
      </c>
      <c r="P284" t="s">
        <v>74</v>
      </c>
      <c r="Q284" t="s">
        <v>74</v>
      </c>
      <c r="R284" t="s">
        <v>74</v>
      </c>
      <c r="S284" t="s">
        <v>74</v>
      </c>
      <c r="T284" t="s">
        <v>74</v>
      </c>
      <c r="U284" t="s">
        <v>5586</v>
      </c>
      <c r="V284" t="s">
        <v>5587</v>
      </c>
      <c r="W284" t="s">
        <v>5588</v>
      </c>
      <c r="X284" t="s">
        <v>5589</v>
      </c>
      <c r="Y284" t="s">
        <v>5590</v>
      </c>
      <c r="Z284" t="s">
        <v>5591</v>
      </c>
      <c r="AA284" t="s">
        <v>74</v>
      </c>
      <c r="AB284" t="s">
        <v>74</v>
      </c>
      <c r="AC284" t="s">
        <v>5592</v>
      </c>
      <c r="AD284" t="s">
        <v>5593</v>
      </c>
      <c r="AE284" t="s">
        <v>5594</v>
      </c>
      <c r="AF284" t="s">
        <v>74</v>
      </c>
      <c r="AG284">
        <v>53</v>
      </c>
      <c r="AH284">
        <v>11</v>
      </c>
      <c r="AI284">
        <v>18</v>
      </c>
      <c r="AJ284">
        <v>2</v>
      </c>
      <c r="AK284">
        <v>31</v>
      </c>
      <c r="AL284" t="s">
        <v>605</v>
      </c>
      <c r="AM284" t="s">
        <v>606</v>
      </c>
      <c r="AN284" t="s">
        <v>607</v>
      </c>
      <c r="AO284" t="s">
        <v>682</v>
      </c>
      <c r="AP284" t="s">
        <v>683</v>
      </c>
      <c r="AQ284" t="s">
        <v>74</v>
      </c>
      <c r="AR284" t="s">
        <v>684</v>
      </c>
      <c r="AS284" t="s">
        <v>685</v>
      </c>
      <c r="AT284" t="s">
        <v>5578</v>
      </c>
      <c r="AU284">
        <v>2009</v>
      </c>
      <c r="AV284">
        <v>114</v>
      </c>
      <c r="AW284" t="s">
        <v>74</v>
      </c>
      <c r="AX284" t="s">
        <v>74</v>
      </c>
      <c r="AY284" t="s">
        <v>74</v>
      </c>
      <c r="AZ284" t="s">
        <v>74</v>
      </c>
      <c r="BA284" t="s">
        <v>74</v>
      </c>
      <c r="BB284" t="s">
        <v>74</v>
      </c>
      <c r="BC284" t="s">
        <v>74</v>
      </c>
      <c r="BD284" t="s">
        <v>5595</v>
      </c>
      <c r="BE284" t="s">
        <v>5596</v>
      </c>
      <c r="BF284" t="str">
        <f>HYPERLINK("http://dx.doi.org/10.1029/2007JC004406","http://dx.doi.org/10.1029/2007JC004406")</f>
        <v>http://dx.doi.org/10.1029/2007JC004406</v>
      </c>
      <c r="BG284" t="s">
        <v>74</v>
      </c>
      <c r="BH284" t="s">
        <v>74</v>
      </c>
      <c r="BI284">
        <v>14</v>
      </c>
      <c r="BJ284" t="s">
        <v>689</v>
      </c>
      <c r="BK284" t="s">
        <v>100</v>
      </c>
      <c r="BL284" t="s">
        <v>689</v>
      </c>
      <c r="BM284" t="s">
        <v>5597</v>
      </c>
      <c r="BN284" t="s">
        <v>74</v>
      </c>
      <c r="BO284" t="s">
        <v>499</v>
      </c>
      <c r="BP284" t="s">
        <v>74</v>
      </c>
      <c r="BQ284" t="s">
        <v>74</v>
      </c>
      <c r="BR284" t="s">
        <v>103</v>
      </c>
      <c r="BS284" t="s">
        <v>5598</v>
      </c>
      <c r="BT284" t="str">
        <f>HYPERLINK("https%3A%2F%2Fwww.webofscience.com%2Fwos%2Fwoscc%2Ffull-record%2FWOS:000264685100001","View Full Record in Web of Science")</f>
        <v>View Full Record in Web of Science</v>
      </c>
    </row>
    <row r="285" spans="1:72" x14ac:dyDescent="0.15">
      <c r="A285" t="s">
        <v>72</v>
      </c>
      <c r="B285" t="s">
        <v>5599</v>
      </c>
      <c r="C285" t="s">
        <v>74</v>
      </c>
      <c r="D285" t="s">
        <v>74</v>
      </c>
      <c r="E285" t="s">
        <v>74</v>
      </c>
      <c r="F285" t="s">
        <v>5600</v>
      </c>
      <c r="G285" t="s">
        <v>74</v>
      </c>
      <c r="H285" t="s">
        <v>74</v>
      </c>
      <c r="I285" t="s">
        <v>5601</v>
      </c>
      <c r="J285" t="s">
        <v>5602</v>
      </c>
      <c r="K285" t="s">
        <v>74</v>
      </c>
      <c r="L285" t="s">
        <v>74</v>
      </c>
      <c r="M285" t="s">
        <v>78</v>
      </c>
      <c r="N285" t="s">
        <v>79</v>
      </c>
      <c r="O285" t="s">
        <v>74</v>
      </c>
      <c r="P285" t="s">
        <v>74</v>
      </c>
      <c r="Q285" t="s">
        <v>74</v>
      </c>
      <c r="R285" t="s">
        <v>74</v>
      </c>
      <c r="S285" t="s">
        <v>74</v>
      </c>
      <c r="T285" t="s">
        <v>74</v>
      </c>
      <c r="U285" t="s">
        <v>5603</v>
      </c>
      <c r="V285" t="s">
        <v>5604</v>
      </c>
      <c r="W285" t="s">
        <v>5605</v>
      </c>
      <c r="X285" t="s">
        <v>5606</v>
      </c>
      <c r="Y285" t="s">
        <v>5607</v>
      </c>
      <c r="Z285" t="s">
        <v>5608</v>
      </c>
      <c r="AA285" t="s">
        <v>5609</v>
      </c>
      <c r="AB285" t="s">
        <v>5610</v>
      </c>
      <c r="AC285" t="s">
        <v>74</v>
      </c>
      <c r="AD285" t="s">
        <v>74</v>
      </c>
      <c r="AE285" t="s">
        <v>74</v>
      </c>
      <c r="AF285" t="s">
        <v>74</v>
      </c>
      <c r="AG285">
        <v>51</v>
      </c>
      <c r="AH285">
        <v>55</v>
      </c>
      <c r="AI285">
        <v>63</v>
      </c>
      <c r="AJ285">
        <v>3</v>
      </c>
      <c r="AK285">
        <v>23</v>
      </c>
      <c r="AL285" t="s">
        <v>605</v>
      </c>
      <c r="AM285" t="s">
        <v>606</v>
      </c>
      <c r="AN285" t="s">
        <v>607</v>
      </c>
      <c r="AO285" t="s">
        <v>5611</v>
      </c>
      <c r="AP285" t="s">
        <v>5612</v>
      </c>
      <c r="AQ285" t="s">
        <v>74</v>
      </c>
      <c r="AR285" t="s">
        <v>5613</v>
      </c>
      <c r="AS285" t="s">
        <v>5614</v>
      </c>
      <c r="AT285" t="s">
        <v>5578</v>
      </c>
      <c r="AU285">
        <v>2009</v>
      </c>
      <c r="AV285">
        <v>114</v>
      </c>
      <c r="AW285" t="s">
        <v>74</v>
      </c>
      <c r="AX285" t="s">
        <v>74</v>
      </c>
      <c r="AY285" t="s">
        <v>74</v>
      </c>
      <c r="AZ285" t="s">
        <v>74</v>
      </c>
      <c r="BA285" t="s">
        <v>74</v>
      </c>
      <c r="BB285" t="s">
        <v>74</v>
      </c>
      <c r="BC285" t="s">
        <v>74</v>
      </c>
      <c r="BD285" t="s">
        <v>5615</v>
      </c>
      <c r="BE285" t="s">
        <v>5616</v>
      </c>
      <c r="BF285" t="str">
        <f>HYPERLINK("http://dx.doi.org/10.1029/2007JE003052","http://dx.doi.org/10.1029/2007JE003052")</f>
        <v>http://dx.doi.org/10.1029/2007JE003052</v>
      </c>
      <c r="BG285" t="s">
        <v>74</v>
      </c>
      <c r="BH285" t="s">
        <v>74</v>
      </c>
      <c r="BI285">
        <v>19</v>
      </c>
      <c r="BJ285" t="s">
        <v>534</v>
      </c>
      <c r="BK285" t="s">
        <v>100</v>
      </c>
      <c r="BL285" t="s">
        <v>534</v>
      </c>
      <c r="BM285" t="s">
        <v>5617</v>
      </c>
      <c r="BN285" t="s">
        <v>74</v>
      </c>
      <c r="BO285" t="s">
        <v>616</v>
      </c>
      <c r="BP285" t="s">
        <v>74</v>
      </c>
      <c r="BQ285" t="s">
        <v>74</v>
      </c>
      <c r="BR285" t="s">
        <v>103</v>
      </c>
      <c r="BS285" t="s">
        <v>5618</v>
      </c>
      <c r="BT285" t="str">
        <f>HYPERLINK("https%3A%2F%2Fwww.webofscience.com%2Fwos%2Fwoscc%2Ffull-record%2FWOS:000264685800001","View Full Record in Web of Science")</f>
        <v>View Full Record in Web of Science</v>
      </c>
    </row>
    <row r="286" spans="1:72" x14ac:dyDescent="0.15">
      <c r="A286" t="s">
        <v>72</v>
      </c>
      <c r="B286" t="s">
        <v>5619</v>
      </c>
      <c r="C286" t="s">
        <v>74</v>
      </c>
      <c r="D286" t="s">
        <v>74</v>
      </c>
      <c r="E286" t="s">
        <v>74</v>
      </c>
      <c r="F286" t="s">
        <v>5620</v>
      </c>
      <c r="G286" t="s">
        <v>74</v>
      </c>
      <c r="H286" t="s">
        <v>74</v>
      </c>
      <c r="I286" t="s">
        <v>5621</v>
      </c>
      <c r="J286" t="s">
        <v>3570</v>
      </c>
      <c r="K286" t="s">
        <v>74</v>
      </c>
      <c r="L286" t="s">
        <v>74</v>
      </c>
      <c r="M286" t="s">
        <v>78</v>
      </c>
      <c r="N286" t="s">
        <v>79</v>
      </c>
      <c r="O286" t="s">
        <v>74</v>
      </c>
      <c r="P286" t="s">
        <v>74</v>
      </c>
      <c r="Q286" t="s">
        <v>74</v>
      </c>
      <c r="R286" t="s">
        <v>74</v>
      </c>
      <c r="S286" t="s">
        <v>74</v>
      </c>
      <c r="T286" t="s">
        <v>74</v>
      </c>
      <c r="U286" t="s">
        <v>5622</v>
      </c>
      <c r="V286" t="s">
        <v>5623</v>
      </c>
      <c r="W286" t="s">
        <v>5624</v>
      </c>
      <c r="X286" t="s">
        <v>5625</v>
      </c>
      <c r="Y286" t="s">
        <v>5626</v>
      </c>
      <c r="Z286" t="s">
        <v>5627</v>
      </c>
      <c r="AA286" t="s">
        <v>5628</v>
      </c>
      <c r="AB286" t="s">
        <v>5629</v>
      </c>
      <c r="AC286" t="s">
        <v>5630</v>
      </c>
      <c r="AD286" t="s">
        <v>5631</v>
      </c>
      <c r="AE286" t="s">
        <v>5632</v>
      </c>
      <c r="AF286" t="s">
        <v>74</v>
      </c>
      <c r="AG286">
        <v>30</v>
      </c>
      <c r="AH286">
        <v>130</v>
      </c>
      <c r="AI286">
        <v>152</v>
      </c>
      <c r="AJ286">
        <v>5</v>
      </c>
      <c r="AK286">
        <v>126</v>
      </c>
      <c r="AL286" t="s">
        <v>605</v>
      </c>
      <c r="AM286" t="s">
        <v>606</v>
      </c>
      <c r="AN286" t="s">
        <v>607</v>
      </c>
      <c r="AO286" t="s">
        <v>3577</v>
      </c>
      <c r="AP286" t="s">
        <v>74</v>
      </c>
      <c r="AQ286" t="s">
        <v>74</v>
      </c>
      <c r="AR286" t="s">
        <v>3579</v>
      </c>
      <c r="AS286" t="s">
        <v>3580</v>
      </c>
      <c r="AT286" t="s">
        <v>5633</v>
      </c>
      <c r="AU286">
        <v>2009</v>
      </c>
      <c r="AV286">
        <v>23</v>
      </c>
      <c r="AW286" t="s">
        <v>74</v>
      </c>
      <c r="AX286" t="s">
        <v>74</v>
      </c>
      <c r="AY286" t="s">
        <v>74</v>
      </c>
      <c r="AZ286" t="s">
        <v>74</v>
      </c>
      <c r="BA286" t="s">
        <v>74</v>
      </c>
      <c r="BB286" t="s">
        <v>74</v>
      </c>
      <c r="BC286" t="s">
        <v>74</v>
      </c>
      <c r="BD286" t="s">
        <v>5634</v>
      </c>
      <c r="BE286" t="s">
        <v>5635</v>
      </c>
      <c r="BF286" t="str">
        <f>HYPERLINK("http://dx.doi.org/10.1029/2008GB003250","http://dx.doi.org/10.1029/2008GB003250")</f>
        <v>http://dx.doi.org/10.1029/2008GB003250</v>
      </c>
      <c r="BG286" t="s">
        <v>74</v>
      </c>
      <c r="BH286" t="s">
        <v>74</v>
      </c>
      <c r="BI286">
        <v>5</v>
      </c>
      <c r="BJ286" t="s">
        <v>3583</v>
      </c>
      <c r="BK286" t="s">
        <v>100</v>
      </c>
      <c r="BL286" t="s">
        <v>3584</v>
      </c>
      <c r="BM286" t="s">
        <v>5636</v>
      </c>
      <c r="BN286" t="s">
        <v>74</v>
      </c>
      <c r="BO286" t="s">
        <v>287</v>
      </c>
      <c r="BP286" t="s">
        <v>74</v>
      </c>
      <c r="BQ286" t="s">
        <v>74</v>
      </c>
      <c r="BR286" t="s">
        <v>103</v>
      </c>
      <c r="BS286" t="s">
        <v>5637</v>
      </c>
      <c r="BT286" t="str">
        <f>HYPERLINK("https%3A%2F%2Fwww.webofscience.com%2Fwos%2Fwoscc%2Ffull-record%2FWOS:000264682100001","View Full Record in Web of Science")</f>
        <v>View Full Record in Web of Science</v>
      </c>
    </row>
    <row r="287" spans="1:72" x14ac:dyDescent="0.15">
      <c r="A287" t="s">
        <v>72</v>
      </c>
      <c r="B287" t="s">
        <v>5638</v>
      </c>
      <c r="C287" t="s">
        <v>74</v>
      </c>
      <c r="D287" t="s">
        <v>74</v>
      </c>
      <c r="E287" t="s">
        <v>74</v>
      </c>
      <c r="F287" t="s">
        <v>5639</v>
      </c>
      <c r="G287" t="s">
        <v>74</v>
      </c>
      <c r="H287" t="s">
        <v>74</v>
      </c>
      <c r="I287" t="s">
        <v>5640</v>
      </c>
      <c r="J287" t="s">
        <v>5641</v>
      </c>
      <c r="K287" t="s">
        <v>74</v>
      </c>
      <c r="L287" t="s">
        <v>74</v>
      </c>
      <c r="M287" t="s">
        <v>78</v>
      </c>
      <c r="N287" t="s">
        <v>52</v>
      </c>
      <c r="O287" t="s">
        <v>74</v>
      </c>
      <c r="P287" t="s">
        <v>74</v>
      </c>
      <c r="Q287" t="s">
        <v>74</v>
      </c>
      <c r="R287" t="s">
        <v>74</v>
      </c>
      <c r="S287" t="s">
        <v>74</v>
      </c>
      <c r="T287" t="s">
        <v>74</v>
      </c>
      <c r="U287" t="s">
        <v>74</v>
      </c>
      <c r="V287" t="s">
        <v>74</v>
      </c>
      <c r="W287" t="s">
        <v>5642</v>
      </c>
      <c r="X287" t="s">
        <v>5643</v>
      </c>
      <c r="Y287" t="s">
        <v>74</v>
      </c>
      <c r="Z287" t="s">
        <v>5644</v>
      </c>
      <c r="AA287" t="s">
        <v>5645</v>
      </c>
      <c r="AB287" t="s">
        <v>74</v>
      </c>
      <c r="AC287" t="s">
        <v>74</v>
      </c>
      <c r="AD287" t="s">
        <v>74</v>
      </c>
      <c r="AE287" t="s">
        <v>74</v>
      </c>
      <c r="AF287" t="s">
        <v>74</v>
      </c>
      <c r="AG287">
        <v>0</v>
      </c>
      <c r="AH287">
        <v>0</v>
      </c>
      <c r="AI287">
        <v>0</v>
      </c>
      <c r="AJ287">
        <v>0</v>
      </c>
      <c r="AK287">
        <v>0</v>
      </c>
      <c r="AL287" t="s">
        <v>726</v>
      </c>
      <c r="AM287" t="s">
        <v>606</v>
      </c>
      <c r="AN287" t="s">
        <v>727</v>
      </c>
      <c r="AO287" t="s">
        <v>5646</v>
      </c>
      <c r="AP287" t="s">
        <v>74</v>
      </c>
      <c r="AQ287" t="s">
        <v>74</v>
      </c>
      <c r="AR287" t="s">
        <v>5647</v>
      </c>
      <c r="AS287" t="s">
        <v>5648</v>
      </c>
      <c r="AT287" t="s">
        <v>5649</v>
      </c>
      <c r="AU287">
        <v>2009</v>
      </c>
      <c r="AV287">
        <v>237</v>
      </c>
      <c r="AW287" t="s">
        <v>74</v>
      </c>
      <c r="AX287" t="s">
        <v>74</v>
      </c>
      <c r="AY287" t="s">
        <v>74</v>
      </c>
      <c r="AZ287" t="s">
        <v>74</v>
      </c>
      <c r="BA287" t="s">
        <v>5650</v>
      </c>
      <c r="BB287">
        <v>807</v>
      </c>
      <c r="BC287">
        <v>807</v>
      </c>
      <c r="BD287" t="s">
        <v>74</v>
      </c>
      <c r="BE287" t="s">
        <v>74</v>
      </c>
      <c r="BF287" t="s">
        <v>74</v>
      </c>
      <c r="BG287" t="s">
        <v>74</v>
      </c>
      <c r="BH287" t="s">
        <v>74</v>
      </c>
      <c r="BI287">
        <v>1</v>
      </c>
      <c r="BJ287" t="s">
        <v>5651</v>
      </c>
      <c r="BK287" t="s">
        <v>100</v>
      </c>
      <c r="BL287" t="s">
        <v>561</v>
      </c>
      <c r="BM287" t="s">
        <v>5652</v>
      </c>
      <c r="BN287" t="s">
        <v>74</v>
      </c>
      <c r="BO287" t="s">
        <v>74</v>
      </c>
      <c r="BP287" t="s">
        <v>74</v>
      </c>
      <c r="BQ287" t="s">
        <v>74</v>
      </c>
      <c r="BR287" t="s">
        <v>103</v>
      </c>
      <c r="BS287" t="s">
        <v>5653</v>
      </c>
      <c r="BT287" t="str">
        <f>HYPERLINK("https%3A%2F%2Fwww.webofscience.com%2Fwos%2Fwoscc%2Ffull-record%2FWOS:000207857800712","View Full Record in Web of Science")</f>
        <v>View Full Record in Web of Science</v>
      </c>
    </row>
    <row r="288" spans="1:72" x14ac:dyDescent="0.15">
      <c r="A288" t="s">
        <v>72</v>
      </c>
      <c r="B288" t="s">
        <v>5654</v>
      </c>
      <c r="C288" t="s">
        <v>74</v>
      </c>
      <c r="D288" t="s">
        <v>74</v>
      </c>
      <c r="E288" t="s">
        <v>74</v>
      </c>
      <c r="F288" t="s">
        <v>5655</v>
      </c>
      <c r="G288" t="s">
        <v>74</v>
      </c>
      <c r="H288" t="s">
        <v>74</v>
      </c>
      <c r="I288" t="s">
        <v>5656</v>
      </c>
      <c r="J288" t="s">
        <v>3122</v>
      </c>
      <c r="K288" t="s">
        <v>74</v>
      </c>
      <c r="L288" t="s">
        <v>74</v>
      </c>
      <c r="M288" t="s">
        <v>78</v>
      </c>
      <c r="N288" t="s">
        <v>79</v>
      </c>
      <c r="O288" t="s">
        <v>74</v>
      </c>
      <c r="P288" t="s">
        <v>74</v>
      </c>
      <c r="Q288" t="s">
        <v>74</v>
      </c>
      <c r="R288" t="s">
        <v>74</v>
      </c>
      <c r="S288" t="s">
        <v>74</v>
      </c>
      <c r="T288" t="s">
        <v>5657</v>
      </c>
      <c r="U288" t="s">
        <v>5658</v>
      </c>
      <c r="V288" t="s">
        <v>5659</v>
      </c>
      <c r="W288" t="s">
        <v>5660</v>
      </c>
      <c r="X288" t="s">
        <v>5661</v>
      </c>
      <c r="Y288" t="s">
        <v>5662</v>
      </c>
      <c r="Z288" t="s">
        <v>5663</v>
      </c>
      <c r="AA288" t="s">
        <v>5664</v>
      </c>
      <c r="AB288" t="s">
        <v>5665</v>
      </c>
      <c r="AC288" t="s">
        <v>5666</v>
      </c>
      <c r="AD288" t="s">
        <v>5667</v>
      </c>
      <c r="AE288" t="s">
        <v>5668</v>
      </c>
      <c r="AF288" t="s">
        <v>74</v>
      </c>
      <c r="AG288">
        <v>37</v>
      </c>
      <c r="AH288">
        <v>35</v>
      </c>
      <c r="AI288">
        <v>39</v>
      </c>
      <c r="AJ288">
        <v>0</v>
      </c>
      <c r="AK288">
        <v>50</v>
      </c>
      <c r="AL288" t="s">
        <v>3054</v>
      </c>
      <c r="AM288" t="s">
        <v>2924</v>
      </c>
      <c r="AN288" t="s">
        <v>3055</v>
      </c>
      <c r="AO288" t="s">
        <v>3134</v>
      </c>
      <c r="AP288" t="s">
        <v>74</v>
      </c>
      <c r="AQ288" t="s">
        <v>74</v>
      </c>
      <c r="AR288" t="s">
        <v>5669</v>
      </c>
      <c r="AS288" t="s">
        <v>3136</v>
      </c>
      <c r="AT288" t="s">
        <v>5649</v>
      </c>
      <c r="AU288">
        <v>2009</v>
      </c>
      <c r="AV288">
        <v>276</v>
      </c>
      <c r="AW288">
        <v>1659</v>
      </c>
      <c r="AX288" t="s">
        <v>74</v>
      </c>
      <c r="AY288" t="s">
        <v>74</v>
      </c>
      <c r="AZ288" t="s">
        <v>74</v>
      </c>
      <c r="BA288" t="s">
        <v>74</v>
      </c>
      <c r="BB288">
        <v>1069</v>
      </c>
      <c r="BC288">
        <v>1075</v>
      </c>
      <c r="BD288" t="s">
        <v>74</v>
      </c>
      <c r="BE288" t="s">
        <v>5670</v>
      </c>
      <c r="BF288" t="str">
        <f>HYPERLINK("http://dx.doi.org/10.1098/rspb.2008.1489","http://dx.doi.org/10.1098/rspb.2008.1489")</f>
        <v>http://dx.doi.org/10.1098/rspb.2008.1489</v>
      </c>
      <c r="BG288" t="s">
        <v>74</v>
      </c>
      <c r="BH288" t="s">
        <v>74</v>
      </c>
      <c r="BI288">
        <v>7</v>
      </c>
      <c r="BJ288" t="s">
        <v>3062</v>
      </c>
      <c r="BK288" t="s">
        <v>100</v>
      </c>
      <c r="BL288" t="s">
        <v>3063</v>
      </c>
      <c r="BM288" t="s">
        <v>5671</v>
      </c>
      <c r="BN288">
        <v>19129117</v>
      </c>
      <c r="BO288" t="s">
        <v>217</v>
      </c>
      <c r="BP288" t="s">
        <v>74</v>
      </c>
      <c r="BQ288" t="s">
        <v>74</v>
      </c>
      <c r="BR288" t="s">
        <v>103</v>
      </c>
      <c r="BS288" t="s">
        <v>5672</v>
      </c>
      <c r="BT288" t="str">
        <f>HYPERLINK("https%3A%2F%2Fwww.webofscience.com%2Fwos%2Fwoscc%2Ffull-record%2FWOS:000263148000012","View Full Record in Web of Science")</f>
        <v>View Full Record in Web of Science</v>
      </c>
    </row>
    <row r="289" spans="1:72" x14ac:dyDescent="0.15">
      <c r="A289" t="s">
        <v>72</v>
      </c>
      <c r="B289" t="s">
        <v>5673</v>
      </c>
      <c r="C289" t="s">
        <v>74</v>
      </c>
      <c r="D289" t="s">
        <v>74</v>
      </c>
      <c r="E289" t="s">
        <v>74</v>
      </c>
      <c r="F289" t="s">
        <v>5674</v>
      </c>
      <c r="G289" t="s">
        <v>74</v>
      </c>
      <c r="H289" t="s">
        <v>74</v>
      </c>
      <c r="I289" t="s">
        <v>5675</v>
      </c>
      <c r="J289" t="s">
        <v>820</v>
      </c>
      <c r="K289" t="s">
        <v>74</v>
      </c>
      <c r="L289" t="s">
        <v>74</v>
      </c>
      <c r="M289" t="s">
        <v>78</v>
      </c>
      <c r="N289" t="s">
        <v>79</v>
      </c>
      <c r="O289" t="s">
        <v>74</v>
      </c>
      <c r="P289" t="s">
        <v>74</v>
      </c>
      <c r="Q289" t="s">
        <v>74</v>
      </c>
      <c r="R289" t="s">
        <v>74</v>
      </c>
      <c r="S289" t="s">
        <v>74</v>
      </c>
      <c r="T289" t="s">
        <v>74</v>
      </c>
      <c r="U289" t="s">
        <v>5676</v>
      </c>
      <c r="V289" t="s">
        <v>5677</v>
      </c>
      <c r="W289" t="s">
        <v>5678</v>
      </c>
      <c r="X289" t="s">
        <v>5679</v>
      </c>
      <c r="Y289" t="s">
        <v>5680</v>
      </c>
      <c r="Z289" t="s">
        <v>5681</v>
      </c>
      <c r="AA289" t="s">
        <v>5682</v>
      </c>
      <c r="AB289" t="s">
        <v>5683</v>
      </c>
      <c r="AC289" t="s">
        <v>5684</v>
      </c>
      <c r="AD289" t="s">
        <v>5685</v>
      </c>
      <c r="AE289" t="s">
        <v>5686</v>
      </c>
      <c r="AF289" t="s">
        <v>74</v>
      </c>
      <c r="AG289">
        <v>41</v>
      </c>
      <c r="AH289">
        <v>223</v>
      </c>
      <c r="AI289">
        <v>245</v>
      </c>
      <c r="AJ289">
        <v>2</v>
      </c>
      <c r="AK289">
        <v>39</v>
      </c>
      <c r="AL289" t="s">
        <v>605</v>
      </c>
      <c r="AM289" t="s">
        <v>606</v>
      </c>
      <c r="AN289" t="s">
        <v>607</v>
      </c>
      <c r="AO289" t="s">
        <v>831</v>
      </c>
      <c r="AP289" t="s">
        <v>832</v>
      </c>
      <c r="AQ289" t="s">
        <v>74</v>
      </c>
      <c r="AR289" t="s">
        <v>833</v>
      </c>
      <c r="AS289" t="s">
        <v>834</v>
      </c>
      <c r="AT289" t="s">
        <v>5687</v>
      </c>
      <c r="AU289">
        <v>2009</v>
      </c>
      <c r="AV289">
        <v>114</v>
      </c>
      <c r="AW289" t="s">
        <v>74</v>
      </c>
      <c r="AX289" t="s">
        <v>74</v>
      </c>
      <c r="AY289" t="s">
        <v>74</v>
      </c>
      <c r="AZ289" t="s">
        <v>74</v>
      </c>
      <c r="BA289" t="s">
        <v>74</v>
      </c>
      <c r="BB289" t="s">
        <v>74</v>
      </c>
      <c r="BC289" t="s">
        <v>74</v>
      </c>
      <c r="BD289" t="s">
        <v>5688</v>
      </c>
      <c r="BE289" t="s">
        <v>5689</v>
      </c>
      <c r="BF289" t="str">
        <f>HYPERLINK("http://dx.doi.org/10.1029/2008JD011257","http://dx.doi.org/10.1029/2008JD011257")</f>
        <v>http://dx.doi.org/10.1029/2008JD011257</v>
      </c>
      <c r="BG289" t="s">
        <v>74</v>
      </c>
      <c r="BH289" t="s">
        <v>74</v>
      </c>
      <c r="BI289">
        <v>10</v>
      </c>
      <c r="BJ289" t="s">
        <v>398</v>
      </c>
      <c r="BK289" t="s">
        <v>100</v>
      </c>
      <c r="BL289" t="s">
        <v>398</v>
      </c>
      <c r="BM289" t="s">
        <v>5690</v>
      </c>
      <c r="BN289" t="s">
        <v>74</v>
      </c>
      <c r="BO289" t="s">
        <v>3065</v>
      </c>
      <c r="BP289" t="s">
        <v>74</v>
      </c>
      <c r="BQ289" t="s">
        <v>74</v>
      </c>
      <c r="BR289" t="s">
        <v>103</v>
      </c>
      <c r="BS289" t="s">
        <v>5691</v>
      </c>
      <c r="BT289" t="str">
        <f>HYPERLINK("https%3A%2F%2Fwww.webofscience.com%2Fwos%2Fwoscc%2Ffull-record%2FWOS:000264439700007","View Full Record in Web of Science")</f>
        <v>View Full Record in Web of Science</v>
      </c>
    </row>
    <row r="290" spans="1:72" x14ac:dyDescent="0.15">
      <c r="A290" t="s">
        <v>72</v>
      </c>
      <c r="B290" t="s">
        <v>5692</v>
      </c>
      <c r="C290" t="s">
        <v>74</v>
      </c>
      <c r="D290" t="s">
        <v>74</v>
      </c>
      <c r="E290" t="s">
        <v>74</v>
      </c>
      <c r="F290" t="s">
        <v>5693</v>
      </c>
      <c r="G290" t="s">
        <v>74</v>
      </c>
      <c r="H290" t="s">
        <v>74</v>
      </c>
      <c r="I290" t="s">
        <v>5694</v>
      </c>
      <c r="J290" t="s">
        <v>3218</v>
      </c>
      <c r="K290" t="s">
        <v>74</v>
      </c>
      <c r="L290" t="s">
        <v>74</v>
      </c>
      <c r="M290" t="s">
        <v>78</v>
      </c>
      <c r="N290" t="s">
        <v>934</v>
      </c>
      <c r="O290" t="s">
        <v>74</v>
      </c>
      <c r="P290" t="s">
        <v>74</v>
      </c>
      <c r="Q290" t="s">
        <v>74</v>
      </c>
      <c r="R290" t="s">
        <v>74</v>
      </c>
      <c r="S290" t="s">
        <v>74</v>
      </c>
      <c r="T290" t="s">
        <v>74</v>
      </c>
      <c r="U290" t="s">
        <v>5695</v>
      </c>
      <c r="V290" t="s">
        <v>74</v>
      </c>
      <c r="W290" t="s">
        <v>5696</v>
      </c>
      <c r="X290" t="s">
        <v>5697</v>
      </c>
      <c r="Y290" t="s">
        <v>5698</v>
      </c>
      <c r="Z290" t="s">
        <v>5699</v>
      </c>
      <c r="AA290" t="s">
        <v>5700</v>
      </c>
      <c r="AB290" t="s">
        <v>5701</v>
      </c>
      <c r="AC290" t="s">
        <v>74</v>
      </c>
      <c r="AD290" t="s">
        <v>74</v>
      </c>
      <c r="AE290" t="s">
        <v>74</v>
      </c>
      <c r="AF290" t="s">
        <v>74</v>
      </c>
      <c r="AG290">
        <v>10</v>
      </c>
      <c r="AH290">
        <v>2</v>
      </c>
      <c r="AI290">
        <v>3</v>
      </c>
      <c r="AJ290">
        <v>0</v>
      </c>
      <c r="AK290">
        <v>7</v>
      </c>
      <c r="AL290" t="s">
        <v>3225</v>
      </c>
      <c r="AM290" t="s">
        <v>2924</v>
      </c>
      <c r="AN290" t="s">
        <v>3226</v>
      </c>
      <c r="AO290" t="s">
        <v>3227</v>
      </c>
      <c r="AP290" t="s">
        <v>5702</v>
      </c>
      <c r="AQ290" t="s">
        <v>74</v>
      </c>
      <c r="AR290" t="s">
        <v>3218</v>
      </c>
      <c r="AS290" t="s">
        <v>3228</v>
      </c>
      <c r="AT290" t="s">
        <v>5703</v>
      </c>
      <c r="AU290">
        <v>2009</v>
      </c>
      <c r="AV290">
        <v>458</v>
      </c>
      <c r="AW290">
        <v>7236</v>
      </c>
      <c r="AX290" t="s">
        <v>74</v>
      </c>
      <c r="AY290" t="s">
        <v>74</v>
      </c>
      <c r="AZ290" t="s">
        <v>74</v>
      </c>
      <c r="BA290" t="s">
        <v>74</v>
      </c>
      <c r="BB290">
        <v>295</v>
      </c>
      <c r="BC290">
        <v>296</v>
      </c>
      <c r="BD290" t="s">
        <v>74</v>
      </c>
      <c r="BE290" t="s">
        <v>5704</v>
      </c>
      <c r="BF290" t="str">
        <f>HYPERLINK("http://dx.doi.org/10.1038/458295a","http://dx.doi.org/10.1038/458295a")</f>
        <v>http://dx.doi.org/10.1038/458295a</v>
      </c>
      <c r="BG290" t="s">
        <v>74</v>
      </c>
      <c r="BH290" t="s">
        <v>74</v>
      </c>
      <c r="BI290">
        <v>2</v>
      </c>
      <c r="BJ290" t="s">
        <v>790</v>
      </c>
      <c r="BK290" t="s">
        <v>1103</v>
      </c>
      <c r="BL290" t="s">
        <v>791</v>
      </c>
      <c r="BM290" t="s">
        <v>5705</v>
      </c>
      <c r="BN290">
        <v>19295600</v>
      </c>
      <c r="BO290" t="s">
        <v>499</v>
      </c>
      <c r="BP290" t="s">
        <v>74</v>
      </c>
      <c r="BQ290" t="s">
        <v>74</v>
      </c>
      <c r="BR290" t="s">
        <v>103</v>
      </c>
      <c r="BS290" t="s">
        <v>5706</v>
      </c>
      <c r="BT290" t="str">
        <f>HYPERLINK("https%3A%2F%2Fwww.webofscience.com%2Fwos%2Fwoscc%2Ffull-record%2FWOS:000264285600029","View Full Record in Web of Science")</f>
        <v>View Full Record in Web of Science</v>
      </c>
    </row>
    <row r="291" spans="1:72" x14ac:dyDescent="0.15">
      <c r="A291" t="s">
        <v>72</v>
      </c>
      <c r="B291" t="s">
        <v>5707</v>
      </c>
      <c r="C291" t="s">
        <v>74</v>
      </c>
      <c r="D291" t="s">
        <v>74</v>
      </c>
      <c r="E291" t="s">
        <v>74</v>
      </c>
      <c r="F291" t="s">
        <v>5708</v>
      </c>
      <c r="G291" t="s">
        <v>74</v>
      </c>
      <c r="H291" t="s">
        <v>74</v>
      </c>
      <c r="I291" t="s">
        <v>5709</v>
      </c>
      <c r="J291" t="s">
        <v>3218</v>
      </c>
      <c r="K291" t="s">
        <v>74</v>
      </c>
      <c r="L291" t="s">
        <v>74</v>
      </c>
      <c r="M291" t="s">
        <v>78</v>
      </c>
      <c r="N291" t="s">
        <v>79</v>
      </c>
      <c r="O291" t="s">
        <v>74</v>
      </c>
      <c r="P291" t="s">
        <v>74</v>
      </c>
      <c r="Q291" t="s">
        <v>74</v>
      </c>
      <c r="R291" t="s">
        <v>74</v>
      </c>
      <c r="S291" t="s">
        <v>74</v>
      </c>
      <c r="T291" t="s">
        <v>74</v>
      </c>
      <c r="U291" t="s">
        <v>5710</v>
      </c>
      <c r="V291" t="s">
        <v>5711</v>
      </c>
      <c r="W291" t="s">
        <v>5712</v>
      </c>
      <c r="X291" t="s">
        <v>5713</v>
      </c>
      <c r="Y291" t="s">
        <v>5714</v>
      </c>
      <c r="Z291" t="s">
        <v>5715</v>
      </c>
      <c r="AA291" t="s">
        <v>5716</v>
      </c>
      <c r="AB291" t="s">
        <v>5717</v>
      </c>
      <c r="AC291" t="s">
        <v>5718</v>
      </c>
      <c r="AD291" t="s">
        <v>5719</v>
      </c>
      <c r="AE291" t="s">
        <v>5720</v>
      </c>
      <c r="AF291" t="s">
        <v>74</v>
      </c>
      <c r="AG291">
        <v>43</v>
      </c>
      <c r="AH291">
        <v>472</v>
      </c>
      <c r="AI291">
        <v>521</v>
      </c>
      <c r="AJ291">
        <v>7</v>
      </c>
      <c r="AK291">
        <v>207</v>
      </c>
      <c r="AL291" t="s">
        <v>3225</v>
      </c>
      <c r="AM291" t="s">
        <v>2924</v>
      </c>
      <c r="AN291" t="s">
        <v>3226</v>
      </c>
      <c r="AO291" t="s">
        <v>3227</v>
      </c>
      <c r="AP291" t="s">
        <v>5702</v>
      </c>
      <c r="AQ291" t="s">
        <v>74</v>
      </c>
      <c r="AR291" t="s">
        <v>3218</v>
      </c>
      <c r="AS291" t="s">
        <v>3228</v>
      </c>
      <c r="AT291" t="s">
        <v>5703</v>
      </c>
      <c r="AU291">
        <v>2009</v>
      </c>
      <c r="AV291">
        <v>458</v>
      </c>
      <c r="AW291">
        <v>7236</v>
      </c>
      <c r="AX291" t="s">
        <v>74</v>
      </c>
      <c r="AY291" t="s">
        <v>74</v>
      </c>
      <c r="AZ291" t="s">
        <v>74</v>
      </c>
      <c r="BA291" t="s">
        <v>74</v>
      </c>
      <c r="BB291">
        <v>322</v>
      </c>
      <c r="BC291" t="s">
        <v>5721</v>
      </c>
      <c r="BD291" t="s">
        <v>74</v>
      </c>
      <c r="BE291" t="s">
        <v>5722</v>
      </c>
      <c r="BF291" t="str">
        <f>HYPERLINK("http://dx.doi.org/10.1038/nature07867","http://dx.doi.org/10.1038/nature07867")</f>
        <v>http://dx.doi.org/10.1038/nature07867</v>
      </c>
      <c r="BG291" t="s">
        <v>74</v>
      </c>
      <c r="BH291" t="s">
        <v>74</v>
      </c>
      <c r="BI291">
        <v>8</v>
      </c>
      <c r="BJ291" t="s">
        <v>790</v>
      </c>
      <c r="BK291" t="s">
        <v>100</v>
      </c>
      <c r="BL291" t="s">
        <v>791</v>
      </c>
      <c r="BM291" t="s">
        <v>5705</v>
      </c>
      <c r="BN291">
        <v>19295607</v>
      </c>
      <c r="BO291" t="s">
        <v>217</v>
      </c>
      <c r="BP291" t="s">
        <v>74</v>
      </c>
      <c r="BQ291" t="s">
        <v>74</v>
      </c>
      <c r="BR291" t="s">
        <v>103</v>
      </c>
      <c r="BS291" t="s">
        <v>5723</v>
      </c>
      <c r="BT291" t="str">
        <f>HYPERLINK("https%3A%2F%2Fwww.webofscience.com%2Fwos%2Fwoscc%2Ffull-record%2FWOS:000264285600038","View Full Record in Web of Science")</f>
        <v>View Full Record in Web of Science</v>
      </c>
    </row>
    <row r="292" spans="1:72" x14ac:dyDescent="0.15">
      <c r="A292" t="s">
        <v>72</v>
      </c>
      <c r="B292" t="s">
        <v>5724</v>
      </c>
      <c r="C292" t="s">
        <v>74</v>
      </c>
      <c r="D292" t="s">
        <v>74</v>
      </c>
      <c r="E292" t="s">
        <v>74</v>
      </c>
      <c r="F292" t="s">
        <v>5725</v>
      </c>
      <c r="G292" t="s">
        <v>74</v>
      </c>
      <c r="H292" t="s">
        <v>74</v>
      </c>
      <c r="I292" t="s">
        <v>5726</v>
      </c>
      <c r="J292" t="s">
        <v>3218</v>
      </c>
      <c r="K292" t="s">
        <v>74</v>
      </c>
      <c r="L292" t="s">
        <v>74</v>
      </c>
      <c r="M292" t="s">
        <v>78</v>
      </c>
      <c r="N292" t="s">
        <v>79</v>
      </c>
      <c r="O292" t="s">
        <v>74</v>
      </c>
      <c r="P292" t="s">
        <v>74</v>
      </c>
      <c r="Q292" t="s">
        <v>74</v>
      </c>
      <c r="R292" t="s">
        <v>74</v>
      </c>
      <c r="S292" t="s">
        <v>74</v>
      </c>
      <c r="T292" t="s">
        <v>74</v>
      </c>
      <c r="U292" t="s">
        <v>5727</v>
      </c>
      <c r="V292" t="s">
        <v>5728</v>
      </c>
      <c r="W292" t="s">
        <v>5729</v>
      </c>
      <c r="X292" t="s">
        <v>5730</v>
      </c>
      <c r="Y292" t="s">
        <v>5731</v>
      </c>
      <c r="Z292" t="s">
        <v>5732</v>
      </c>
      <c r="AA292" t="s">
        <v>74</v>
      </c>
      <c r="AB292" t="s">
        <v>74</v>
      </c>
      <c r="AC292" t="s">
        <v>5733</v>
      </c>
      <c r="AD292" t="s">
        <v>5734</v>
      </c>
      <c r="AE292" t="s">
        <v>5735</v>
      </c>
      <c r="AF292" t="s">
        <v>74</v>
      </c>
      <c r="AG292">
        <v>36</v>
      </c>
      <c r="AH292">
        <v>697</v>
      </c>
      <c r="AI292">
        <v>798</v>
      </c>
      <c r="AJ292">
        <v>2</v>
      </c>
      <c r="AK292">
        <v>212</v>
      </c>
      <c r="AL292" t="s">
        <v>3225</v>
      </c>
      <c r="AM292" t="s">
        <v>2924</v>
      </c>
      <c r="AN292" t="s">
        <v>3226</v>
      </c>
      <c r="AO292" t="s">
        <v>3227</v>
      </c>
      <c r="AP292" t="s">
        <v>5702</v>
      </c>
      <c r="AQ292" t="s">
        <v>74</v>
      </c>
      <c r="AR292" t="s">
        <v>3218</v>
      </c>
      <c r="AS292" t="s">
        <v>3228</v>
      </c>
      <c r="AT292" t="s">
        <v>5703</v>
      </c>
      <c r="AU292">
        <v>2009</v>
      </c>
      <c r="AV292">
        <v>458</v>
      </c>
      <c r="AW292">
        <v>7236</v>
      </c>
      <c r="AX292" t="s">
        <v>74</v>
      </c>
      <c r="AY292" t="s">
        <v>74</v>
      </c>
      <c r="AZ292" t="s">
        <v>74</v>
      </c>
      <c r="BA292" t="s">
        <v>74</v>
      </c>
      <c r="BB292">
        <v>329</v>
      </c>
      <c r="BC292" t="s">
        <v>5736</v>
      </c>
      <c r="BD292" t="s">
        <v>74</v>
      </c>
      <c r="BE292" t="s">
        <v>5737</v>
      </c>
      <c r="BF292" t="str">
        <f>HYPERLINK("http://dx.doi.org/10.1038/nature07809","http://dx.doi.org/10.1038/nature07809")</f>
        <v>http://dx.doi.org/10.1038/nature07809</v>
      </c>
      <c r="BG292" t="s">
        <v>74</v>
      </c>
      <c r="BH292" t="s">
        <v>74</v>
      </c>
      <c r="BI292">
        <v>5</v>
      </c>
      <c r="BJ292" t="s">
        <v>790</v>
      </c>
      <c r="BK292" t="s">
        <v>100</v>
      </c>
      <c r="BL292" t="s">
        <v>791</v>
      </c>
      <c r="BM292" t="s">
        <v>5705</v>
      </c>
      <c r="BN292">
        <v>19295608</v>
      </c>
      <c r="BO292" t="s">
        <v>74</v>
      </c>
      <c r="BP292" t="s">
        <v>74</v>
      </c>
      <c r="BQ292" t="s">
        <v>74</v>
      </c>
      <c r="BR292" t="s">
        <v>103</v>
      </c>
      <c r="BS292" t="s">
        <v>5738</v>
      </c>
      <c r="BT292" t="str">
        <f>HYPERLINK("https%3A%2F%2Fwww.webofscience.com%2Fwos%2Fwoscc%2Ffull-record%2FWOS:000264285600039","View Full Record in Web of Science")</f>
        <v>View Full Record in Web of Science</v>
      </c>
    </row>
    <row r="293" spans="1:72" x14ac:dyDescent="0.15">
      <c r="A293" t="s">
        <v>72</v>
      </c>
      <c r="B293" t="s">
        <v>5739</v>
      </c>
      <c r="C293" t="s">
        <v>74</v>
      </c>
      <c r="D293" t="s">
        <v>74</v>
      </c>
      <c r="E293" t="s">
        <v>74</v>
      </c>
      <c r="F293" t="s">
        <v>5740</v>
      </c>
      <c r="G293" t="s">
        <v>74</v>
      </c>
      <c r="H293" t="s">
        <v>74</v>
      </c>
      <c r="I293" t="s">
        <v>5741</v>
      </c>
      <c r="J293" t="s">
        <v>820</v>
      </c>
      <c r="K293" t="s">
        <v>74</v>
      </c>
      <c r="L293" t="s">
        <v>74</v>
      </c>
      <c r="M293" t="s">
        <v>78</v>
      </c>
      <c r="N293" t="s">
        <v>79</v>
      </c>
      <c r="O293" t="s">
        <v>74</v>
      </c>
      <c r="P293" t="s">
        <v>74</v>
      </c>
      <c r="Q293" t="s">
        <v>74</v>
      </c>
      <c r="R293" t="s">
        <v>74</v>
      </c>
      <c r="S293" t="s">
        <v>74</v>
      </c>
      <c r="T293" t="s">
        <v>74</v>
      </c>
      <c r="U293" t="s">
        <v>5742</v>
      </c>
      <c r="V293" t="s">
        <v>5743</v>
      </c>
      <c r="W293" t="s">
        <v>5744</v>
      </c>
      <c r="X293" t="s">
        <v>5745</v>
      </c>
      <c r="Y293" t="s">
        <v>5746</v>
      </c>
      <c r="Z293" t="s">
        <v>5747</v>
      </c>
      <c r="AA293" t="s">
        <v>5748</v>
      </c>
      <c r="AB293" t="s">
        <v>5749</v>
      </c>
      <c r="AC293" t="s">
        <v>5750</v>
      </c>
      <c r="AD293" t="s">
        <v>5751</v>
      </c>
      <c r="AE293" t="s">
        <v>5752</v>
      </c>
      <c r="AF293" t="s">
        <v>74</v>
      </c>
      <c r="AG293">
        <v>37</v>
      </c>
      <c r="AH293">
        <v>8</v>
      </c>
      <c r="AI293">
        <v>12</v>
      </c>
      <c r="AJ293">
        <v>0</v>
      </c>
      <c r="AK293">
        <v>9</v>
      </c>
      <c r="AL293" t="s">
        <v>605</v>
      </c>
      <c r="AM293" t="s">
        <v>606</v>
      </c>
      <c r="AN293" t="s">
        <v>607</v>
      </c>
      <c r="AO293" t="s">
        <v>831</v>
      </c>
      <c r="AP293" t="s">
        <v>832</v>
      </c>
      <c r="AQ293" t="s">
        <v>74</v>
      </c>
      <c r="AR293" t="s">
        <v>833</v>
      </c>
      <c r="AS293" t="s">
        <v>834</v>
      </c>
      <c r="AT293" t="s">
        <v>5753</v>
      </c>
      <c r="AU293">
        <v>2009</v>
      </c>
      <c r="AV293">
        <v>114</v>
      </c>
      <c r="AW293" t="s">
        <v>74</v>
      </c>
      <c r="AX293" t="s">
        <v>74</v>
      </c>
      <c r="AY293" t="s">
        <v>74</v>
      </c>
      <c r="AZ293" t="s">
        <v>74</v>
      </c>
      <c r="BA293" t="s">
        <v>74</v>
      </c>
      <c r="BB293" t="s">
        <v>74</v>
      </c>
      <c r="BC293" t="s">
        <v>74</v>
      </c>
      <c r="BD293" t="s">
        <v>5754</v>
      </c>
      <c r="BE293" t="s">
        <v>5755</v>
      </c>
      <c r="BF293" t="str">
        <f>HYPERLINK("http://dx.doi.org/10.1029/2008JD010600","http://dx.doi.org/10.1029/2008JD010600")</f>
        <v>http://dx.doi.org/10.1029/2008JD010600</v>
      </c>
      <c r="BG293" t="s">
        <v>74</v>
      </c>
      <c r="BH293" t="s">
        <v>74</v>
      </c>
      <c r="BI293">
        <v>15</v>
      </c>
      <c r="BJ293" t="s">
        <v>398</v>
      </c>
      <c r="BK293" t="s">
        <v>100</v>
      </c>
      <c r="BL293" t="s">
        <v>398</v>
      </c>
      <c r="BM293" t="s">
        <v>5756</v>
      </c>
      <c r="BN293" t="s">
        <v>74</v>
      </c>
      <c r="BO293" t="s">
        <v>499</v>
      </c>
      <c r="BP293" t="s">
        <v>74</v>
      </c>
      <c r="BQ293" t="s">
        <v>74</v>
      </c>
      <c r="BR293" t="s">
        <v>103</v>
      </c>
      <c r="BS293" t="s">
        <v>5757</v>
      </c>
      <c r="BT293" t="str">
        <f>HYPERLINK("https%3A%2F%2Fwww.webofscience.com%2Fwos%2Fwoscc%2Ffull-record%2FWOS:000264439400002","View Full Record in Web of Science")</f>
        <v>View Full Record in Web of Science</v>
      </c>
    </row>
    <row r="294" spans="1:72" x14ac:dyDescent="0.15">
      <c r="A294" t="s">
        <v>72</v>
      </c>
      <c r="B294" t="s">
        <v>5758</v>
      </c>
      <c r="C294" t="s">
        <v>74</v>
      </c>
      <c r="D294" t="s">
        <v>74</v>
      </c>
      <c r="E294" t="s">
        <v>74</v>
      </c>
      <c r="F294" t="s">
        <v>5759</v>
      </c>
      <c r="G294" t="s">
        <v>74</v>
      </c>
      <c r="H294" t="s">
        <v>74</v>
      </c>
      <c r="I294" t="s">
        <v>5760</v>
      </c>
      <c r="J294" t="s">
        <v>645</v>
      </c>
      <c r="K294" t="s">
        <v>74</v>
      </c>
      <c r="L294" t="s">
        <v>74</v>
      </c>
      <c r="M294" t="s">
        <v>78</v>
      </c>
      <c r="N294" t="s">
        <v>79</v>
      </c>
      <c r="O294" t="s">
        <v>74</v>
      </c>
      <c r="P294" t="s">
        <v>74</v>
      </c>
      <c r="Q294" t="s">
        <v>74</v>
      </c>
      <c r="R294" t="s">
        <v>74</v>
      </c>
      <c r="S294" t="s">
        <v>74</v>
      </c>
      <c r="T294" t="s">
        <v>74</v>
      </c>
      <c r="U294" t="s">
        <v>5761</v>
      </c>
      <c r="V294" t="s">
        <v>5762</v>
      </c>
      <c r="W294" t="s">
        <v>5763</v>
      </c>
      <c r="X294" t="s">
        <v>5764</v>
      </c>
      <c r="Y294" t="s">
        <v>5765</v>
      </c>
      <c r="Z294" t="s">
        <v>5766</v>
      </c>
      <c r="AA294" t="s">
        <v>5767</v>
      </c>
      <c r="AB294" t="s">
        <v>5768</v>
      </c>
      <c r="AC294" t="s">
        <v>5769</v>
      </c>
      <c r="AD294" t="s">
        <v>5770</v>
      </c>
      <c r="AE294" t="s">
        <v>5771</v>
      </c>
      <c r="AF294" t="s">
        <v>74</v>
      </c>
      <c r="AG294">
        <v>27</v>
      </c>
      <c r="AH294">
        <v>7</v>
      </c>
      <c r="AI294">
        <v>8</v>
      </c>
      <c r="AJ294">
        <v>1</v>
      </c>
      <c r="AK294">
        <v>15</v>
      </c>
      <c r="AL294" t="s">
        <v>605</v>
      </c>
      <c r="AM294" t="s">
        <v>606</v>
      </c>
      <c r="AN294" t="s">
        <v>607</v>
      </c>
      <c r="AO294" t="s">
        <v>657</v>
      </c>
      <c r="AP294" t="s">
        <v>658</v>
      </c>
      <c r="AQ294" t="s">
        <v>74</v>
      </c>
      <c r="AR294" t="s">
        <v>659</v>
      </c>
      <c r="AS294" t="s">
        <v>660</v>
      </c>
      <c r="AT294" t="s">
        <v>5772</v>
      </c>
      <c r="AU294">
        <v>2009</v>
      </c>
      <c r="AV294">
        <v>36</v>
      </c>
      <c r="AW294" t="s">
        <v>74</v>
      </c>
      <c r="AX294" t="s">
        <v>74</v>
      </c>
      <c r="AY294" t="s">
        <v>74</v>
      </c>
      <c r="AZ294" t="s">
        <v>74</v>
      </c>
      <c r="BA294" t="s">
        <v>74</v>
      </c>
      <c r="BB294" t="s">
        <v>74</v>
      </c>
      <c r="BC294" t="s">
        <v>74</v>
      </c>
      <c r="BD294" t="s">
        <v>5773</v>
      </c>
      <c r="BE294" t="s">
        <v>5774</v>
      </c>
      <c r="BF294" t="str">
        <f>HYPERLINK("http://dx.doi.org/10.1029/2008GL036939","http://dx.doi.org/10.1029/2008GL036939")</f>
        <v>http://dx.doi.org/10.1029/2008GL036939</v>
      </c>
      <c r="BG294" t="s">
        <v>74</v>
      </c>
      <c r="BH294" t="s">
        <v>74</v>
      </c>
      <c r="BI294">
        <v>5</v>
      </c>
      <c r="BJ294" t="s">
        <v>496</v>
      </c>
      <c r="BK294" t="s">
        <v>100</v>
      </c>
      <c r="BL294" t="s">
        <v>497</v>
      </c>
      <c r="BM294" t="s">
        <v>5775</v>
      </c>
      <c r="BN294" t="s">
        <v>74</v>
      </c>
      <c r="BO294" t="s">
        <v>217</v>
      </c>
      <c r="BP294" t="s">
        <v>74</v>
      </c>
      <c r="BQ294" t="s">
        <v>74</v>
      </c>
      <c r="BR294" t="s">
        <v>103</v>
      </c>
      <c r="BS294" t="s">
        <v>5776</v>
      </c>
      <c r="BT294" t="str">
        <f>HYPERLINK("https%3A%2F%2Fwww.webofscience.com%2Fwos%2Fwoscc%2Ffull-record%2FWOS:000264438200003","View Full Record in Web of Science")</f>
        <v>View Full Record in Web of Science</v>
      </c>
    </row>
    <row r="295" spans="1:72" x14ac:dyDescent="0.15">
      <c r="A295" t="s">
        <v>72</v>
      </c>
      <c r="B295" t="s">
        <v>5777</v>
      </c>
      <c r="C295" t="s">
        <v>74</v>
      </c>
      <c r="D295" t="s">
        <v>74</v>
      </c>
      <c r="E295" t="s">
        <v>74</v>
      </c>
      <c r="F295" t="s">
        <v>5778</v>
      </c>
      <c r="G295" t="s">
        <v>74</v>
      </c>
      <c r="H295" t="s">
        <v>74</v>
      </c>
      <c r="I295" t="s">
        <v>5779</v>
      </c>
      <c r="J295" t="s">
        <v>5780</v>
      </c>
      <c r="K295" t="s">
        <v>74</v>
      </c>
      <c r="L295" t="s">
        <v>74</v>
      </c>
      <c r="M295" t="s">
        <v>78</v>
      </c>
      <c r="N295" t="s">
        <v>79</v>
      </c>
      <c r="O295" t="s">
        <v>74</v>
      </c>
      <c r="P295" t="s">
        <v>74</v>
      </c>
      <c r="Q295" t="s">
        <v>74</v>
      </c>
      <c r="R295" t="s">
        <v>74</v>
      </c>
      <c r="S295" t="s">
        <v>74</v>
      </c>
      <c r="T295" t="s">
        <v>5781</v>
      </c>
      <c r="U295" t="s">
        <v>5782</v>
      </c>
      <c r="V295" t="s">
        <v>5783</v>
      </c>
      <c r="W295" t="s">
        <v>5784</v>
      </c>
      <c r="X295" t="s">
        <v>5785</v>
      </c>
      <c r="Y295" t="s">
        <v>5786</v>
      </c>
      <c r="Z295" t="s">
        <v>5787</v>
      </c>
      <c r="AA295" t="s">
        <v>5788</v>
      </c>
      <c r="AB295" t="s">
        <v>5789</v>
      </c>
      <c r="AC295" t="s">
        <v>5790</v>
      </c>
      <c r="AD295" t="s">
        <v>5791</v>
      </c>
      <c r="AE295" t="s">
        <v>5792</v>
      </c>
      <c r="AF295" t="s">
        <v>74</v>
      </c>
      <c r="AG295">
        <v>63</v>
      </c>
      <c r="AH295">
        <v>73</v>
      </c>
      <c r="AI295">
        <v>83</v>
      </c>
      <c r="AJ295">
        <v>0</v>
      </c>
      <c r="AK295">
        <v>36</v>
      </c>
      <c r="AL295" t="s">
        <v>251</v>
      </c>
      <c r="AM295" t="s">
        <v>252</v>
      </c>
      <c r="AN295" t="s">
        <v>253</v>
      </c>
      <c r="AO295" t="s">
        <v>5793</v>
      </c>
      <c r="AP295" t="s">
        <v>5794</v>
      </c>
      <c r="AQ295" t="s">
        <v>74</v>
      </c>
      <c r="AR295" t="s">
        <v>5795</v>
      </c>
      <c r="AS295" t="s">
        <v>5796</v>
      </c>
      <c r="AT295" t="s">
        <v>5797</v>
      </c>
      <c r="AU295">
        <v>2009</v>
      </c>
      <c r="AV295">
        <v>260</v>
      </c>
      <c r="AW295" t="s">
        <v>972</v>
      </c>
      <c r="AX295" t="s">
        <v>74</v>
      </c>
      <c r="AY295" t="s">
        <v>74</v>
      </c>
      <c r="AZ295" t="s">
        <v>74</v>
      </c>
      <c r="BA295" t="s">
        <v>74</v>
      </c>
      <c r="BB295">
        <v>138</v>
      </c>
      <c r="BC295">
        <v>147</v>
      </c>
      <c r="BD295" t="s">
        <v>74</v>
      </c>
      <c r="BE295" t="s">
        <v>5798</v>
      </c>
      <c r="BF295" t="str">
        <f>HYPERLINK("http://dx.doi.org/10.1016/j.chemgeo.2008.12.015","http://dx.doi.org/10.1016/j.chemgeo.2008.12.015")</f>
        <v>http://dx.doi.org/10.1016/j.chemgeo.2008.12.015</v>
      </c>
      <c r="BG295" t="s">
        <v>74</v>
      </c>
      <c r="BH295" t="s">
        <v>74</v>
      </c>
      <c r="BI295">
        <v>10</v>
      </c>
      <c r="BJ295" t="s">
        <v>534</v>
      </c>
      <c r="BK295" t="s">
        <v>100</v>
      </c>
      <c r="BL295" t="s">
        <v>534</v>
      </c>
      <c r="BM295" t="s">
        <v>5799</v>
      </c>
      <c r="BN295" t="s">
        <v>74</v>
      </c>
      <c r="BO295" t="s">
        <v>217</v>
      </c>
      <c r="BP295" t="s">
        <v>74</v>
      </c>
      <c r="BQ295" t="s">
        <v>74</v>
      </c>
      <c r="BR295" t="s">
        <v>103</v>
      </c>
      <c r="BS295" t="s">
        <v>5800</v>
      </c>
      <c r="BT295" t="str">
        <f>HYPERLINK("https%3A%2F%2Fwww.webofscience.com%2Fwos%2Fwoscc%2Ffull-record%2FWOS:000264583100012","View Full Record in Web of Science")</f>
        <v>View Full Record in Web of Science</v>
      </c>
    </row>
    <row r="296" spans="1:72" x14ac:dyDescent="0.15">
      <c r="A296" t="s">
        <v>72</v>
      </c>
      <c r="B296" t="s">
        <v>5801</v>
      </c>
      <c r="C296" t="s">
        <v>74</v>
      </c>
      <c r="D296" t="s">
        <v>74</v>
      </c>
      <c r="E296" t="s">
        <v>74</v>
      </c>
      <c r="F296" t="s">
        <v>5802</v>
      </c>
      <c r="G296" t="s">
        <v>74</v>
      </c>
      <c r="H296" t="s">
        <v>74</v>
      </c>
      <c r="I296" t="s">
        <v>5803</v>
      </c>
      <c r="J296" t="s">
        <v>5804</v>
      </c>
      <c r="K296" t="s">
        <v>74</v>
      </c>
      <c r="L296" t="s">
        <v>74</v>
      </c>
      <c r="M296" t="s">
        <v>78</v>
      </c>
      <c r="N296" t="s">
        <v>720</v>
      </c>
      <c r="O296" t="s">
        <v>74</v>
      </c>
      <c r="P296" t="s">
        <v>74</v>
      </c>
      <c r="Q296" t="s">
        <v>74</v>
      </c>
      <c r="R296" t="s">
        <v>74</v>
      </c>
      <c r="S296" t="s">
        <v>74</v>
      </c>
      <c r="T296" t="s">
        <v>5805</v>
      </c>
      <c r="U296" t="s">
        <v>5806</v>
      </c>
      <c r="V296" t="s">
        <v>5807</v>
      </c>
      <c r="W296" t="s">
        <v>5808</v>
      </c>
      <c r="X296" t="s">
        <v>5809</v>
      </c>
      <c r="Y296" t="s">
        <v>4158</v>
      </c>
      <c r="Z296" t="s">
        <v>4159</v>
      </c>
      <c r="AA296" t="s">
        <v>74</v>
      </c>
      <c r="AB296" t="s">
        <v>5810</v>
      </c>
      <c r="AC296" t="s">
        <v>74</v>
      </c>
      <c r="AD296" t="s">
        <v>74</v>
      </c>
      <c r="AE296" t="s">
        <v>74</v>
      </c>
      <c r="AF296" t="s">
        <v>74</v>
      </c>
      <c r="AG296">
        <v>18</v>
      </c>
      <c r="AH296">
        <v>18</v>
      </c>
      <c r="AI296">
        <v>20</v>
      </c>
      <c r="AJ296">
        <v>0</v>
      </c>
      <c r="AK296">
        <v>20</v>
      </c>
      <c r="AL296" t="s">
        <v>553</v>
      </c>
      <c r="AM296" t="s">
        <v>252</v>
      </c>
      <c r="AN296" t="s">
        <v>554</v>
      </c>
      <c r="AO296" t="s">
        <v>5811</v>
      </c>
      <c r="AP296" t="s">
        <v>5812</v>
      </c>
      <c r="AQ296" t="s">
        <v>74</v>
      </c>
      <c r="AR296" t="s">
        <v>5804</v>
      </c>
      <c r="AS296" t="s">
        <v>5813</v>
      </c>
      <c r="AT296" t="s">
        <v>5797</v>
      </c>
      <c r="AU296">
        <v>2009</v>
      </c>
      <c r="AV296">
        <v>433</v>
      </c>
      <c r="AW296" t="s">
        <v>972</v>
      </c>
      <c r="AX296" t="s">
        <v>74</v>
      </c>
      <c r="AY296" t="s">
        <v>74</v>
      </c>
      <c r="AZ296" t="s">
        <v>74</v>
      </c>
      <c r="BA296" t="s">
        <v>74</v>
      </c>
      <c r="BB296">
        <v>100</v>
      </c>
      <c r="BC296">
        <v>101</v>
      </c>
      <c r="BD296" t="s">
        <v>74</v>
      </c>
      <c r="BE296" t="s">
        <v>5814</v>
      </c>
      <c r="BF296" t="str">
        <f>HYPERLINK("http://dx.doi.org/10.1016/j.gene.2008.12.005","http://dx.doi.org/10.1016/j.gene.2008.12.005")</f>
        <v>http://dx.doi.org/10.1016/j.gene.2008.12.005</v>
      </c>
      <c r="BG296" t="s">
        <v>74</v>
      </c>
      <c r="BH296" t="s">
        <v>74</v>
      </c>
      <c r="BI296">
        <v>2</v>
      </c>
      <c r="BJ296" t="s">
        <v>5815</v>
      </c>
      <c r="BK296" t="s">
        <v>100</v>
      </c>
      <c r="BL296" t="s">
        <v>5815</v>
      </c>
      <c r="BM296" t="s">
        <v>5816</v>
      </c>
      <c r="BN296">
        <v>19135508</v>
      </c>
      <c r="BO296" t="s">
        <v>74</v>
      </c>
      <c r="BP296" t="s">
        <v>74</v>
      </c>
      <c r="BQ296" t="s">
        <v>74</v>
      </c>
      <c r="BR296" t="s">
        <v>103</v>
      </c>
      <c r="BS296" t="s">
        <v>5817</v>
      </c>
      <c r="BT296" t="str">
        <f>HYPERLINK("https%3A%2F%2Fwww.webofscience.com%2Fwos%2Fwoscc%2Ffull-record%2FWOS:000264331400013","View Full Record in Web of Science")</f>
        <v>View Full Record in Web of Science</v>
      </c>
    </row>
    <row r="297" spans="1:72" x14ac:dyDescent="0.15">
      <c r="A297" t="s">
        <v>72</v>
      </c>
      <c r="B297" t="s">
        <v>5818</v>
      </c>
      <c r="C297" t="s">
        <v>74</v>
      </c>
      <c r="D297" t="s">
        <v>74</v>
      </c>
      <c r="E297" t="s">
        <v>74</v>
      </c>
      <c r="F297" t="s">
        <v>5819</v>
      </c>
      <c r="G297" t="s">
        <v>74</v>
      </c>
      <c r="H297" t="s">
        <v>74</v>
      </c>
      <c r="I297" t="s">
        <v>5820</v>
      </c>
      <c r="J297" t="s">
        <v>5821</v>
      </c>
      <c r="K297" t="s">
        <v>74</v>
      </c>
      <c r="L297" t="s">
        <v>74</v>
      </c>
      <c r="M297" t="s">
        <v>78</v>
      </c>
      <c r="N297" t="s">
        <v>79</v>
      </c>
      <c r="O297" t="s">
        <v>74</v>
      </c>
      <c r="P297" t="s">
        <v>74</v>
      </c>
      <c r="Q297" t="s">
        <v>74</v>
      </c>
      <c r="R297" t="s">
        <v>74</v>
      </c>
      <c r="S297" t="s">
        <v>74</v>
      </c>
      <c r="T297" t="s">
        <v>5822</v>
      </c>
      <c r="U297" t="s">
        <v>5823</v>
      </c>
      <c r="V297" t="s">
        <v>5824</v>
      </c>
      <c r="W297" t="s">
        <v>5825</v>
      </c>
      <c r="X297" t="s">
        <v>5826</v>
      </c>
      <c r="Y297" t="s">
        <v>5827</v>
      </c>
      <c r="Z297" t="s">
        <v>5828</v>
      </c>
      <c r="AA297" t="s">
        <v>74</v>
      </c>
      <c r="AB297" t="s">
        <v>74</v>
      </c>
      <c r="AC297" t="s">
        <v>5829</v>
      </c>
      <c r="AD297" t="s">
        <v>5830</v>
      </c>
      <c r="AE297" t="s">
        <v>5831</v>
      </c>
      <c r="AF297" t="s">
        <v>74</v>
      </c>
      <c r="AG297">
        <v>47</v>
      </c>
      <c r="AH297">
        <v>57</v>
      </c>
      <c r="AI297">
        <v>58</v>
      </c>
      <c r="AJ297">
        <v>4</v>
      </c>
      <c r="AK297">
        <v>71</v>
      </c>
      <c r="AL297" t="s">
        <v>5832</v>
      </c>
      <c r="AM297" t="s">
        <v>5833</v>
      </c>
      <c r="AN297" t="s">
        <v>5834</v>
      </c>
      <c r="AO297" t="s">
        <v>5835</v>
      </c>
      <c r="AP297" t="s">
        <v>74</v>
      </c>
      <c r="AQ297" t="s">
        <v>74</v>
      </c>
      <c r="AR297" t="s">
        <v>5836</v>
      </c>
      <c r="AS297" t="s">
        <v>5837</v>
      </c>
      <c r="AT297" t="s">
        <v>5797</v>
      </c>
      <c r="AU297">
        <v>2009</v>
      </c>
      <c r="AV297">
        <v>212</v>
      </c>
      <c r="AW297">
        <v>6</v>
      </c>
      <c r="AX297" t="s">
        <v>74</v>
      </c>
      <c r="AY297" t="s">
        <v>74</v>
      </c>
      <c r="AZ297" t="s">
        <v>74</v>
      </c>
      <c r="BA297" t="s">
        <v>74</v>
      </c>
      <c r="BB297">
        <v>802</v>
      </c>
      <c r="BC297">
        <v>807</v>
      </c>
      <c r="BD297" t="s">
        <v>74</v>
      </c>
      <c r="BE297" t="s">
        <v>5838</v>
      </c>
      <c r="BF297" t="str">
        <f>HYPERLINK("http://dx.doi.org/10.1242/jeb.025973","http://dx.doi.org/10.1242/jeb.025973")</f>
        <v>http://dx.doi.org/10.1242/jeb.025973</v>
      </c>
      <c r="BG297" t="s">
        <v>74</v>
      </c>
      <c r="BH297" t="s">
        <v>74</v>
      </c>
      <c r="BI297">
        <v>6</v>
      </c>
      <c r="BJ297" t="s">
        <v>1379</v>
      </c>
      <c r="BK297" t="s">
        <v>100</v>
      </c>
      <c r="BL297" t="s">
        <v>1380</v>
      </c>
      <c r="BM297" t="s">
        <v>5839</v>
      </c>
      <c r="BN297">
        <v>19251996</v>
      </c>
      <c r="BO297" t="s">
        <v>499</v>
      </c>
      <c r="BP297" t="s">
        <v>74</v>
      </c>
      <c r="BQ297" t="s">
        <v>74</v>
      </c>
      <c r="BR297" t="s">
        <v>103</v>
      </c>
      <c r="BS297" t="s">
        <v>5840</v>
      </c>
      <c r="BT297" t="str">
        <f>HYPERLINK("https%3A%2F%2Fwww.webofscience.com%2Fwos%2Fwoscc%2Ffull-record%2FWOS:000264444000014","View Full Record in Web of Science")</f>
        <v>View Full Record in Web of Science</v>
      </c>
    </row>
    <row r="298" spans="1:72" x14ac:dyDescent="0.15">
      <c r="A298" t="s">
        <v>72</v>
      </c>
      <c r="B298" t="s">
        <v>5841</v>
      </c>
      <c r="C298" t="s">
        <v>74</v>
      </c>
      <c r="D298" t="s">
        <v>74</v>
      </c>
      <c r="E298" t="s">
        <v>74</v>
      </c>
      <c r="F298" t="s">
        <v>5842</v>
      </c>
      <c r="G298" t="s">
        <v>74</v>
      </c>
      <c r="H298" t="s">
        <v>74</v>
      </c>
      <c r="I298" t="s">
        <v>5843</v>
      </c>
      <c r="J298" t="s">
        <v>3304</v>
      </c>
      <c r="K298" t="s">
        <v>74</v>
      </c>
      <c r="L298" t="s">
        <v>74</v>
      </c>
      <c r="M298" t="s">
        <v>78</v>
      </c>
      <c r="N298" t="s">
        <v>172</v>
      </c>
      <c r="O298" t="s">
        <v>74</v>
      </c>
      <c r="P298" t="s">
        <v>74</v>
      </c>
      <c r="Q298" t="s">
        <v>74</v>
      </c>
      <c r="R298" t="s">
        <v>74</v>
      </c>
      <c r="S298" t="s">
        <v>74</v>
      </c>
      <c r="T298" t="s">
        <v>5844</v>
      </c>
      <c r="U298" t="s">
        <v>5845</v>
      </c>
      <c r="V298" t="s">
        <v>5846</v>
      </c>
      <c r="W298" t="s">
        <v>5847</v>
      </c>
      <c r="X298" t="s">
        <v>5848</v>
      </c>
      <c r="Y298" t="s">
        <v>74</v>
      </c>
      <c r="Z298" t="s">
        <v>5849</v>
      </c>
      <c r="AA298" t="s">
        <v>5850</v>
      </c>
      <c r="AB298" t="s">
        <v>5851</v>
      </c>
      <c r="AC298" t="s">
        <v>5852</v>
      </c>
      <c r="AD298" t="s">
        <v>5853</v>
      </c>
      <c r="AE298" t="s">
        <v>5854</v>
      </c>
      <c r="AF298" t="s">
        <v>74</v>
      </c>
      <c r="AG298">
        <v>111</v>
      </c>
      <c r="AH298">
        <v>66</v>
      </c>
      <c r="AI298">
        <v>76</v>
      </c>
      <c r="AJ298">
        <v>1</v>
      </c>
      <c r="AK298">
        <v>27</v>
      </c>
      <c r="AL298" t="s">
        <v>251</v>
      </c>
      <c r="AM298" t="s">
        <v>252</v>
      </c>
      <c r="AN298" t="s">
        <v>253</v>
      </c>
      <c r="AO298" t="s">
        <v>3317</v>
      </c>
      <c r="AP298" t="s">
        <v>3318</v>
      </c>
      <c r="AQ298" t="s">
        <v>74</v>
      </c>
      <c r="AR298" t="s">
        <v>3319</v>
      </c>
      <c r="AS298" t="s">
        <v>3320</v>
      </c>
      <c r="AT298" t="s">
        <v>5797</v>
      </c>
      <c r="AU298">
        <v>2009</v>
      </c>
      <c r="AV298">
        <v>258</v>
      </c>
      <c r="AW298" t="s">
        <v>532</v>
      </c>
      <c r="AX298" t="s">
        <v>74</v>
      </c>
      <c r="AY298" t="s">
        <v>74</v>
      </c>
      <c r="AZ298" t="s">
        <v>74</v>
      </c>
      <c r="BA298" t="s">
        <v>74</v>
      </c>
      <c r="BB298">
        <v>100</v>
      </c>
      <c r="BC298">
        <v>114</v>
      </c>
      <c r="BD298" t="s">
        <v>74</v>
      </c>
      <c r="BE298" t="s">
        <v>5855</v>
      </c>
      <c r="BF298" t="str">
        <f>HYPERLINK("http://dx.doi.org/10.1016/j.margeo.2008.11.011","http://dx.doi.org/10.1016/j.margeo.2008.11.011")</f>
        <v>http://dx.doi.org/10.1016/j.margeo.2008.11.011</v>
      </c>
      <c r="BG298" t="s">
        <v>74</v>
      </c>
      <c r="BH298" t="s">
        <v>74</v>
      </c>
      <c r="BI298">
        <v>15</v>
      </c>
      <c r="BJ298" t="s">
        <v>3322</v>
      </c>
      <c r="BK298" t="s">
        <v>100</v>
      </c>
      <c r="BL298" t="s">
        <v>3323</v>
      </c>
      <c r="BM298" t="s">
        <v>5856</v>
      </c>
      <c r="BN298" t="s">
        <v>74</v>
      </c>
      <c r="BO298" t="s">
        <v>74</v>
      </c>
      <c r="BP298" t="s">
        <v>74</v>
      </c>
      <c r="BQ298" t="s">
        <v>74</v>
      </c>
      <c r="BR298" t="s">
        <v>103</v>
      </c>
      <c r="BS298" t="s">
        <v>5857</v>
      </c>
      <c r="BT298" t="str">
        <f>HYPERLINK("https%3A%2F%2Fwww.webofscience.com%2Fwos%2Fwoscc%2Ffull-record%2FWOS:000264597700007","View Full Record in Web of Science")</f>
        <v>View Full Record in Web of Science</v>
      </c>
    </row>
    <row r="299" spans="1:72" x14ac:dyDescent="0.15">
      <c r="A299" t="s">
        <v>72</v>
      </c>
      <c r="B299" t="s">
        <v>5858</v>
      </c>
      <c r="C299" t="s">
        <v>74</v>
      </c>
      <c r="D299" t="s">
        <v>74</v>
      </c>
      <c r="E299" t="s">
        <v>74</v>
      </c>
      <c r="F299" t="s">
        <v>5859</v>
      </c>
      <c r="G299" t="s">
        <v>74</v>
      </c>
      <c r="H299" t="s">
        <v>74</v>
      </c>
      <c r="I299" t="s">
        <v>5860</v>
      </c>
      <c r="J299" t="s">
        <v>5861</v>
      </c>
      <c r="K299" t="s">
        <v>74</v>
      </c>
      <c r="L299" t="s">
        <v>74</v>
      </c>
      <c r="M299" t="s">
        <v>78</v>
      </c>
      <c r="N299" t="s">
        <v>79</v>
      </c>
      <c r="O299" t="s">
        <v>74</v>
      </c>
      <c r="P299" t="s">
        <v>74</v>
      </c>
      <c r="Q299" t="s">
        <v>74</v>
      </c>
      <c r="R299" t="s">
        <v>74</v>
      </c>
      <c r="S299" t="s">
        <v>74</v>
      </c>
      <c r="T299" t="s">
        <v>74</v>
      </c>
      <c r="U299" t="s">
        <v>5862</v>
      </c>
      <c r="V299" t="s">
        <v>5863</v>
      </c>
      <c r="W299" t="s">
        <v>5864</v>
      </c>
      <c r="X299" t="s">
        <v>5865</v>
      </c>
      <c r="Y299" t="s">
        <v>5866</v>
      </c>
      <c r="Z299" t="s">
        <v>5867</v>
      </c>
      <c r="AA299" t="s">
        <v>5868</v>
      </c>
      <c r="AB299" t="s">
        <v>5869</v>
      </c>
      <c r="AC299" t="s">
        <v>5870</v>
      </c>
      <c r="AD299" t="s">
        <v>5871</v>
      </c>
      <c r="AE299" t="s">
        <v>5872</v>
      </c>
      <c r="AF299" t="s">
        <v>74</v>
      </c>
      <c r="AG299">
        <v>82</v>
      </c>
      <c r="AH299">
        <v>77</v>
      </c>
      <c r="AI299">
        <v>87</v>
      </c>
      <c r="AJ299">
        <v>1</v>
      </c>
      <c r="AK299">
        <v>16</v>
      </c>
      <c r="AL299" t="s">
        <v>5873</v>
      </c>
      <c r="AM299" t="s">
        <v>2924</v>
      </c>
      <c r="AN299" t="s">
        <v>5874</v>
      </c>
      <c r="AO299" t="s">
        <v>5875</v>
      </c>
      <c r="AP299" t="s">
        <v>74</v>
      </c>
      <c r="AQ299" t="s">
        <v>74</v>
      </c>
      <c r="AR299" t="s">
        <v>5861</v>
      </c>
      <c r="AS299" t="s">
        <v>5876</v>
      </c>
      <c r="AT299" t="s">
        <v>5877</v>
      </c>
      <c r="AU299">
        <v>2009</v>
      </c>
      <c r="AV299">
        <v>10</v>
      </c>
      <c r="AW299" t="s">
        <v>74</v>
      </c>
      <c r="AX299" t="s">
        <v>74</v>
      </c>
      <c r="AY299" t="s">
        <v>74</v>
      </c>
      <c r="AZ299" t="s">
        <v>74</v>
      </c>
      <c r="BA299" t="s">
        <v>74</v>
      </c>
      <c r="BB299" t="s">
        <v>74</v>
      </c>
      <c r="BC299" t="s">
        <v>74</v>
      </c>
      <c r="BD299">
        <v>108</v>
      </c>
      <c r="BE299" t="s">
        <v>5878</v>
      </c>
      <c r="BF299" t="str">
        <f>HYPERLINK("http://dx.doi.org/10.1186/1471-2164-10-108","http://dx.doi.org/10.1186/1471-2164-10-108")</f>
        <v>http://dx.doi.org/10.1186/1471-2164-10-108</v>
      </c>
      <c r="BG299" t="s">
        <v>74</v>
      </c>
      <c r="BH299" t="s">
        <v>74</v>
      </c>
      <c r="BI299">
        <v>17</v>
      </c>
      <c r="BJ299" t="s">
        <v>5879</v>
      </c>
      <c r="BK299" t="s">
        <v>100</v>
      </c>
      <c r="BL299" t="s">
        <v>5879</v>
      </c>
      <c r="BM299" t="s">
        <v>5880</v>
      </c>
      <c r="BN299">
        <v>19284654</v>
      </c>
      <c r="BO299" t="s">
        <v>5881</v>
      </c>
      <c r="BP299" t="s">
        <v>74</v>
      </c>
      <c r="BQ299" t="s">
        <v>74</v>
      </c>
      <c r="BR299" t="s">
        <v>103</v>
      </c>
      <c r="BS299" t="s">
        <v>5882</v>
      </c>
      <c r="BT299" t="str">
        <f>HYPERLINK("https%3A%2F%2Fwww.webofscience.com%2Fwos%2Fwoscc%2Ffull-record%2FWOS:000265791600001","View Full Record in Web of Science")</f>
        <v>View Full Record in Web of Science</v>
      </c>
    </row>
    <row r="300" spans="1:72" x14ac:dyDescent="0.15">
      <c r="A300" t="s">
        <v>72</v>
      </c>
      <c r="B300" t="s">
        <v>5883</v>
      </c>
      <c r="C300" t="s">
        <v>74</v>
      </c>
      <c r="D300" t="s">
        <v>74</v>
      </c>
      <c r="E300" t="s">
        <v>74</v>
      </c>
      <c r="F300" t="s">
        <v>5884</v>
      </c>
      <c r="G300" t="s">
        <v>74</v>
      </c>
      <c r="H300" t="s">
        <v>74</v>
      </c>
      <c r="I300" t="s">
        <v>5885</v>
      </c>
      <c r="J300" t="s">
        <v>772</v>
      </c>
      <c r="K300" t="s">
        <v>74</v>
      </c>
      <c r="L300" t="s">
        <v>74</v>
      </c>
      <c r="M300" t="s">
        <v>78</v>
      </c>
      <c r="N300" t="s">
        <v>79</v>
      </c>
      <c r="O300" t="s">
        <v>74</v>
      </c>
      <c r="P300" t="s">
        <v>74</v>
      </c>
      <c r="Q300" t="s">
        <v>74</v>
      </c>
      <c r="R300" t="s">
        <v>74</v>
      </c>
      <c r="S300" t="s">
        <v>74</v>
      </c>
      <c r="T300" t="s">
        <v>74</v>
      </c>
      <c r="U300" t="s">
        <v>5886</v>
      </c>
      <c r="V300" t="s">
        <v>5887</v>
      </c>
      <c r="W300" t="s">
        <v>5888</v>
      </c>
      <c r="X300" t="s">
        <v>5889</v>
      </c>
      <c r="Y300" t="s">
        <v>5890</v>
      </c>
      <c r="Z300" t="s">
        <v>5891</v>
      </c>
      <c r="AA300" t="s">
        <v>5892</v>
      </c>
      <c r="AB300" t="s">
        <v>5893</v>
      </c>
      <c r="AC300" t="s">
        <v>5894</v>
      </c>
      <c r="AD300" t="s">
        <v>5895</v>
      </c>
      <c r="AE300" t="s">
        <v>5896</v>
      </c>
      <c r="AF300" t="s">
        <v>74</v>
      </c>
      <c r="AG300">
        <v>68</v>
      </c>
      <c r="AH300">
        <v>865</v>
      </c>
      <c r="AI300">
        <v>987</v>
      </c>
      <c r="AJ300">
        <v>10</v>
      </c>
      <c r="AK300">
        <v>319</v>
      </c>
      <c r="AL300" t="s">
        <v>784</v>
      </c>
      <c r="AM300" t="s">
        <v>606</v>
      </c>
      <c r="AN300" t="s">
        <v>785</v>
      </c>
      <c r="AO300" t="s">
        <v>786</v>
      </c>
      <c r="AP300" t="s">
        <v>787</v>
      </c>
      <c r="AQ300" t="s">
        <v>74</v>
      </c>
      <c r="AR300" t="s">
        <v>772</v>
      </c>
      <c r="AS300" t="s">
        <v>788</v>
      </c>
      <c r="AT300" t="s">
        <v>5877</v>
      </c>
      <c r="AU300">
        <v>2009</v>
      </c>
      <c r="AV300">
        <v>323</v>
      </c>
      <c r="AW300">
        <v>5920</v>
      </c>
      <c r="AX300" t="s">
        <v>74</v>
      </c>
      <c r="AY300" t="s">
        <v>74</v>
      </c>
      <c r="AZ300" t="s">
        <v>74</v>
      </c>
      <c r="BA300" t="s">
        <v>74</v>
      </c>
      <c r="BB300">
        <v>1443</v>
      </c>
      <c r="BC300">
        <v>1448</v>
      </c>
      <c r="BD300" t="s">
        <v>74</v>
      </c>
      <c r="BE300" t="s">
        <v>5897</v>
      </c>
      <c r="BF300" t="str">
        <f>HYPERLINK("http://dx.doi.org/10.1126/science.1167441","http://dx.doi.org/10.1126/science.1167441")</f>
        <v>http://dx.doi.org/10.1126/science.1167441</v>
      </c>
      <c r="BG300" t="s">
        <v>74</v>
      </c>
      <c r="BH300" t="s">
        <v>74</v>
      </c>
      <c r="BI300">
        <v>6</v>
      </c>
      <c r="BJ300" t="s">
        <v>790</v>
      </c>
      <c r="BK300" t="s">
        <v>100</v>
      </c>
      <c r="BL300" t="s">
        <v>791</v>
      </c>
      <c r="BM300" t="s">
        <v>5898</v>
      </c>
      <c r="BN300">
        <v>19286547</v>
      </c>
      <c r="BO300" t="s">
        <v>74</v>
      </c>
      <c r="BP300" t="s">
        <v>74</v>
      </c>
      <c r="BQ300" t="s">
        <v>74</v>
      </c>
      <c r="BR300" t="s">
        <v>103</v>
      </c>
      <c r="BS300" t="s">
        <v>5899</v>
      </c>
      <c r="BT300" t="str">
        <f>HYPERLINK("https%3A%2F%2Fwww.webofscience.com%2Fwos%2Fwoscc%2Ffull-record%2FWOS:000264101700031","View Full Record in Web of Science")</f>
        <v>View Full Record in Web of Science</v>
      </c>
    </row>
    <row r="301" spans="1:72" x14ac:dyDescent="0.15">
      <c r="A301" t="s">
        <v>72</v>
      </c>
      <c r="B301" t="s">
        <v>5900</v>
      </c>
      <c r="C301" t="s">
        <v>74</v>
      </c>
      <c r="D301" t="s">
        <v>74</v>
      </c>
      <c r="E301" t="s">
        <v>74</v>
      </c>
      <c r="F301" t="s">
        <v>5901</v>
      </c>
      <c r="G301" t="s">
        <v>74</v>
      </c>
      <c r="H301" t="s">
        <v>74</v>
      </c>
      <c r="I301" t="s">
        <v>5902</v>
      </c>
      <c r="J301" t="s">
        <v>772</v>
      </c>
      <c r="K301" t="s">
        <v>74</v>
      </c>
      <c r="L301" t="s">
        <v>74</v>
      </c>
      <c r="M301" t="s">
        <v>78</v>
      </c>
      <c r="N301" t="s">
        <v>79</v>
      </c>
      <c r="O301" t="s">
        <v>74</v>
      </c>
      <c r="P301" t="s">
        <v>74</v>
      </c>
      <c r="Q301" t="s">
        <v>74</v>
      </c>
      <c r="R301" t="s">
        <v>74</v>
      </c>
      <c r="S301" t="s">
        <v>74</v>
      </c>
      <c r="T301" t="s">
        <v>74</v>
      </c>
      <c r="U301" t="s">
        <v>5903</v>
      </c>
      <c r="V301" t="s">
        <v>5904</v>
      </c>
      <c r="W301" t="s">
        <v>5905</v>
      </c>
      <c r="X301" t="s">
        <v>5906</v>
      </c>
      <c r="Y301" t="s">
        <v>5907</v>
      </c>
      <c r="Z301" t="s">
        <v>5908</v>
      </c>
      <c r="AA301" t="s">
        <v>5909</v>
      </c>
      <c r="AB301" t="s">
        <v>5910</v>
      </c>
      <c r="AC301" t="s">
        <v>5911</v>
      </c>
      <c r="AD301" t="s">
        <v>5912</v>
      </c>
      <c r="AE301" t="s">
        <v>5913</v>
      </c>
      <c r="AF301" t="s">
        <v>74</v>
      </c>
      <c r="AG301">
        <v>28</v>
      </c>
      <c r="AH301">
        <v>510</v>
      </c>
      <c r="AI301">
        <v>593</v>
      </c>
      <c r="AJ301">
        <v>3</v>
      </c>
      <c r="AK301">
        <v>237</v>
      </c>
      <c r="AL301" t="s">
        <v>784</v>
      </c>
      <c r="AM301" t="s">
        <v>606</v>
      </c>
      <c r="AN301" t="s">
        <v>785</v>
      </c>
      <c r="AO301" t="s">
        <v>786</v>
      </c>
      <c r="AP301" t="s">
        <v>74</v>
      </c>
      <c r="AQ301" t="s">
        <v>74</v>
      </c>
      <c r="AR301" t="s">
        <v>772</v>
      </c>
      <c r="AS301" t="s">
        <v>788</v>
      </c>
      <c r="AT301" t="s">
        <v>5877</v>
      </c>
      <c r="AU301">
        <v>2009</v>
      </c>
      <c r="AV301">
        <v>323</v>
      </c>
      <c r="AW301">
        <v>5920</v>
      </c>
      <c r="AX301" t="s">
        <v>74</v>
      </c>
      <c r="AY301" t="s">
        <v>74</v>
      </c>
      <c r="AZ301" t="s">
        <v>74</v>
      </c>
      <c r="BA301" t="s">
        <v>74</v>
      </c>
      <c r="BB301">
        <v>1470</v>
      </c>
      <c r="BC301">
        <v>1473</v>
      </c>
      <c r="BD301" t="s">
        <v>74</v>
      </c>
      <c r="BE301" t="s">
        <v>5914</v>
      </c>
      <c r="BF301" t="str">
        <f>HYPERLINK("http://dx.doi.org/10.1126/science.1164533","http://dx.doi.org/10.1126/science.1164533")</f>
        <v>http://dx.doi.org/10.1126/science.1164533</v>
      </c>
      <c r="BG301" t="s">
        <v>74</v>
      </c>
      <c r="BH301" t="s">
        <v>74</v>
      </c>
      <c r="BI301">
        <v>4</v>
      </c>
      <c r="BJ301" t="s">
        <v>790</v>
      </c>
      <c r="BK301" t="s">
        <v>100</v>
      </c>
      <c r="BL301" t="s">
        <v>791</v>
      </c>
      <c r="BM301" t="s">
        <v>5898</v>
      </c>
      <c r="BN301">
        <v>19286554</v>
      </c>
      <c r="BO301" t="s">
        <v>74</v>
      </c>
      <c r="BP301" t="s">
        <v>74</v>
      </c>
      <c r="BQ301" t="s">
        <v>74</v>
      </c>
      <c r="BR301" t="s">
        <v>103</v>
      </c>
      <c r="BS301" t="s">
        <v>5915</v>
      </c>
      <c r="BT301" t="str">
        <f>HYPERLINK("https%3A%2F%2Fwww.webofscience.com%2Fwos%2Fwoscc%2Ffull-record%2FWOS:000264101700039","View Full Record in Web of Science")</f>
        <v>View Full Record in Web of Science</v>
      </c>
    </row>
    <row r="302" spans="1:72" x14ac:dyDescent="0.15">
      <c r="A302" t="s">
        <v>72</v>
      </c>
      <c r="B302" t="s">
        <v>5916</v>
      </c>
      <c r="C302" t="s">
        <v>74</v>
      </c>
      <c r="D302" t="s">
        <v>74</v>
      </c>
      <c r="E302" t="s">
        <v>74</v>
      </c>
      <c r="F302" t="s">
        <v>5917</v>
      </c>
      <c r="G302" t="s">
        <v>74</v>
      </c>
      <c r="H302" t="s">
        <v>74</v>
      </c>
      <c r="I302" t="s">
        <v>5918</v>
      </c>
      <c r="J302" t="s">
        <v>5919</v>
      </c>
      <c r="K302" t="s">
        <v>74</v>
      </c>
      <c r="L302" t="s">
        <v>74</v>
      </c>
      <c r="M302" t="s">
        <v>78</v>
      </c>
      <c r="N302" t="s">
        <v>79</v>
      </c>
      <c r="O302" t="s">
        <v>74</v>
      </c>
      <c r="P302" t="s">
        <v>74</v>
      </c>
      <c r="Q302" t="s">
        <v>74</v>
      </c>
      <c r="R302" t="s">
        <v>74</v>
      </c>
      <c r="S302" t="s">
        <v>74</v>
      </c>
      <c r="T302" t="s">
        <v>5920</v>
      </c>
      <c r="U302" t="s">
        <v>5921</v>
      </c>
      <c r="V302" t="s">
        <v>5922</v>
      </c>
      <c r="W302" t="s">
        <v>5923</v>
      </c>
      <c r="X302" t="s">
        <v>2357</v>
      </c>
      <c r="Y302" t="s">
        <v>5924</v>
      </c>
      <c r="Z302" t="s">
        <v>5925</v>
      </c>
      <c r="AA302" t="s">
        <v>74</v>
      </c>
      <c r="AB302" t="s">
        <v>74</v>
      </c>
      <c r="AC302" t="s">
        <v>74</v>
      </c>
      <c r="AD302" t="s">
        <v>74</v>
      </c>
      <c r="AE302" t="s">
        <v>74</v>
      </c>
      <c r="AF302" t="s">
        <v>74</v>
      </c>
      <c r="AG302">
        <v>83</v>
      </c>
      <c r="AH302">
        <v>16</v>
      </c>
      <c r="AI302">
        <v>17</v>
      </c>
      <c r="AJ302">
        <v>2</v>
      </c>
      <c r="AK302">
        <v>27</v>
      </c>
      <c r="AL302" t="s">
        <v>251</v>
      </c>
      <c r="AM302" t="s">
        <v>252</v>
      </c>
      <c r="AN302" t="s">
        <v>253</v>
      </c>
      <c r="AO302" t="s">
        <v>5926</v>
      </c>
      <c r="AP302" t="s">
        <v>5927</v>
      </c>
      <c r="AQ302" t="s">
        <v>74</v>
      </c>
      <c r="AR302" t="s">
        <v>5928</v>
      </c>
      <c r="AS302" t="s">
        <v>5929</v>
      </c>
      <c r="AT302" t="s">
        <v>5930</v>
      </c>
      <c r="AU302">
        <v>2009</v>
      </c>
      <c r="AV302">
        <v>220</v>
      </c>
      <c r="AW302">
        <v>5</v>
      </c>
      <c r="AX302" t="s">
        <v>74</v>
      </c>
      <c r="AY302" t="s">
        <v>74</v>
      </c>
      <c r="AZ302" t="s">
        <v>74</v>
      </c>
      <c r="BA302" t="s">
        <v>74</v>
      </c>
      <c r="BB302">
        <v>673</v>
      </c>
      <c r="BC302">
        <v>683</v>
      </c>
      <c r="BD302" t="s">
        <v>74</v>
      </c>
      <c r="BE302" t="s">
        <v>5931</v>
      </c>
      <c r="BF302" t="str">
        <f>HYPERLINK("http://dx.doi.org/10.1016/j.ecolmodel.2008.12.011","http://dx.doi.org/10.1016/j.ecolmodel.2008.12.011")</f>
        <v>http://dx.doi.org/10.1016/j.ecolmodel.2008.12.011</v>
      </c>
      <c r="BG302" t="s">
        <v>74</v>
      </c>
      <c r="BH302" t="s">
        <v>74</v>
      </c>
      <c r="BI302">
        <v>11</v>
      </c>
      <c r="BJ302" t="s">
        <v>2480</v>
      </c>
      <c r="BK302" t="s">
        <v>100</v>
      </c>
      <c r="BL302" t="s">
        <v>424</v>
      </c>
      <c r="BM302" t="s">
        <v>5932</v>
      </c>
      <c r="BN302" t="s">
        <v>74</v>
      </c>
      <c r="BO302" t="s">
        <v>74</v>
      </c>
      <c r="BP302" t="s">
        <v>74</v>
      </c>
      <c r="BQ302" t="s">
        <v>74</v>
      </c>
      <c r="BR302" t="s">
        <v>103</v>
      </c>
      <c r="BS302" t="s">
        <v>5933</v>
      </c>
      <c r="BT302" t="str">
        <f>HYPERLINK("https%3A%2F%2Fwww.webofscience.com%2Fwos%2Fwoscc%2Ffull-record%2FWOS:000263817900009","View Full Record in Web of Science")</f>
        <v>View Full Record in Web of Science</v>
      </c>
    </row>
    <row r="303" spans="1:72" x14ac:dyDescent="0.15">
      <c r="A303" t="s">
        <v>72</v>
      </c>
      <c r="B303" t="s">
        <v>5934</v>
      </c>
      <c r="C303" t="s">
        <v>74</v>
      </c>
      <c r="D303" t="s">
        <v>74</v>
      </c>
      <c r="E303" t="s">
        <v>74</v>
      </c>
      <c r="F303" t="s">
        <v>5935</v>
      </c>
      <c r="G303" t="s">
        <v>74</v>
      </c>
      <c r="H303" t="s">
        <v>74</v>
      </c>
      <c r="I303" t="s">
        <v>5936</v>
      </c>
      <c r="J303" t="s">
        <v>862</v>
      </c>
      <c r="K303" t="s">
        <v>74</v>
      </c>
      <c r="L303" t="s">
        <v>74</v>
      </c>
      <c r="M303" t="s">
        <v>78</v>
      </c>
      <c r="N303" t="s">
        <v>79</v>
      </c>
      <c r="O303" t="s">
        <v>74</v>
      </c>
      <c r="P303" t="s">
        <v>74</v>
      </c>
      <c r="Q303" t="s">
        <v>74</v>
      </c>
      <c r="R303" t="s">
        <v>74</v>
      </c>
      <c r="S303" t="s">
        <v>74</v>
      </c>
      <c r="T303" t="s">
        <v>5937</v>
      </c>
      <c r="U303" t="s">
        <v>5938</v>
      </c>
      <c r="V303" t="s">
        <v>5939</v>
      </c>
      <c r="W303" t="s">
        <v>5940</v>
      </c>
      <c r="X303" t="s">
        <v>5941</v>
      </c>
      <c r="Y303" t="s">
        <v>5942</v>
      </c>
      <c r="Z303" t="s">
        <v>5943</v>
      </c>
      <c r="AA303" t="s">
        <v>5944</v>
      </c>
      <c r="AB303" t="s">
        <v>5945</v>
      </c>
      <c r="AC303" t="s">
        <v>5946</v>
      </c>
      <c r="AD303" t="s">
        <v>5947</v>
      </c>
      <c r="AE303" t="s">
        <v>5948</v>
      </c>
      <c r="AF303" t="s">
        <v>74</v>
      </c>
      <c r="AG303">
        <v>22</v>
      </c>
      <c r="AH303">
        <v>86</v>
      </c>
      <c r="AI303">
        <v>92</v>
      </c>
      <c r="AJ303">
        <v>0</v>
      </c>
      <c r="AK303">
        <v>13</v>
      </c>
      <c r="AL303" t="s">
        <v>874</v>
      </c>
      <c r="AM303" t="s">
        <v>606</v>
      </c>
      <c r="AN303" t="s">
        <v>875</v>
      </c>
      <c r="AO303" t="s">
        <v>876</v>
      </c>
      <c r="AP303" t="s">
        <v>74</v>
      </c>
      <c r="AQ303" t="s">
        <v>74</v>
      </c>
      <c r="AR303" t="s">
        <v>877</v>
      </c>
      <c r="AS303" t="s">
        <v>878</v>
      </c>
      <c r="AT303" t="s">
        <v>5930</v>
      </c>
      <c r="AU303">
        <v>2009</v>
      </c>
      <c r="AV303">
        <v>106</v>
      </c>
      <c r="AW303">
        <v>10</v>
      </c>
      <c r="AX303" t="s">
        <v>74</v>
      </c>
      <c r="AY303" t="s">
        <v>74</v>
      </c>
      <c r="AZ303" t="s">
        <v>74</v>
      </c>
      <c r="BA303" t="s">
        <v>74</v>
      </c>
      <c r="BB303">
        <v>3649</v>
      </c>
      <c r="BC303">
        <v>3653</v>
      </c>
      <c r="BD303" t="s">
        <v>74</v>
      </c>
      <c r="BE303" t="s">
        <v>5949</v>
      </c>
      <c r="BF303" t="str">
        <f>HYPERLINK("http://dx.doi.org/10.1073/pnas.0900173106","http://dx.doi.org/10.1073/pnas.0900173106")</f>
        <v>http://dx.doi.org/10.1073/pnas.0900173106</v>
      </c>
      <c r="BG303" t="s">
        <v>74</v>
      </c>
      <c r="BH303" t="s">
        <v>74</v>
      </c>
      <c r="BI303">
        <v>5</v>
      </c>
      <c r="BJ303" t="s">
        <v>790</v>
      </c>
      <c r="BK303" t="s">
        <v>100</v>
      </c>
      <c r="BL303" t="s">
        <v>791</v>
      </c>
      <c r="BM303" t="s">
        <v>5950</v>
      </c>
      <c r="BN303">
        <v>19228943</v>
      </c>
      <c r="BO303" t="s">
        <v>217</v>
      </c>
      <c r="BP303" t="s">
        <v>74</v>
      </c>
      <c r="BQ303" t="s">
        <v>74</v>
      </c>
      <c r="BR303" t="s">
        <v>103</v>
      </c>
      <c r="BS303" t="s">
        <v>5951</v>
      </c>
      <c r="BT303" t="str">
        <f>HYPERLINK("https%3A%2F%2Fwww.webofscience.com%2Fwos%2Fwoscc%2Ffull-record%2FWOS:000264036900004","View Full Record in Web of Science")</f>
        <v>View Full Record in Web of Science</v>
      </c>
    </row>
    <row r="304" spans="1:72" x14ac:dyDescent="0.15">
      <c r="A304" t="s">
        <v>72</v>
      </c>
      <c r="B304" t="s">
        <v>5952</v>
      </c>
      <c r="C304" t="s">
        <v>74</v>
      </c>
      <c r="D304" t="s">
        <v>74</v>
      </c>
      <c r="E304" t="s">
        <v>74</v>
      </c>
      <c r="F304" t="s">
        <v>5953</v>
      </c>
      <c r="G304" t="s">
        <v>74</v>
      </c>
      <c r="H304" t="s">
        <v>74</v>
      </c>
      <c r="I304" t="s">
        <v>5954</v>
      </c>
      <c r="J304" t="s">
        <v>670</v>
      </c>
      <c r="K304" t="s">
        <v>74</v>
      </c>
      <c r="L304" t="s">
        <v>74</v>
      </c>
      <c r="M304" t="s">
        <v>78</v>
      </c>
      <c r="N304" t="s">
        <v>79</v>
      </c>
      <c r="O304" t="s">
        <v>74</v>
      </c>
      <c r="P304" t="s">
        <v>74</v>
      </c>
      <c r="Q304" t="s">
        <v>74</v>
      </c>
      <c r="R304" t="s">
        <v>74</v>
      </c>
      <c r="S304" t="s">
        <v>74</v>
      </c>
      <c r="T304" t="s">
        <v>74</v>
      </c>
      <c r="U304" t="s">
        <v>5955</v>
      </c>
      <c r="V304" t="s">
        <v>5956</v>
      </c>
      <c r="W304" t="s">
        <v>5957</v>
      </c>
      <c r="X304" t="s">
        <v>5958</v>
      </c>
      <c r="Y304" t="s">
        <v>5959</v>
      </c>
      <c r="Z304" t="s">
        <v>5960</v>
      </c>
      <c r="AA304" t="s">
        <v>5961</v>
      </c>
      <c r="AB304" t="s">
        <v>5962</v>
      </c>
      <c r="AC304" t="s">
        <v>5963</v>
      </c>
      <c r="AD304" t="s">
        <v>5964</v>
      </c>
      <c r="AE304" t="s">
        <v>5965</v>
      </c>
      <c r="AF304" t="s">
        <v>74</v>
      </c>
      <c r="AG304">
        <v>61</v>
      </c>
      <c r="AH304">
        <v>19</v>
      </c>
      <c r="AI304">
        <v>20</v>
      </c>
      <c r="AJ304">
        <v>0</v>
      </c>
      <c r="AK304">
        <v>9</v>
      </c>
      <c r="AL304" t="s">
        <v>605</v>
      </c>
      <c r="AM304" t="s">
        <v>606</v>
      </c>
      <c r="AN304" t="s">
        <v>607</v>
      </c>
      <c r="AO304" t="s">
        <v>682</v>
      </c>
      <c r="AP304" t="s">
        <v>683</v>
      </c>
      <c r="AQ304" t="s">
        <v>74</v>
      </c>
      <c r="AR304" t="s">
        <v>684</v>
      </c>
      <c r="AS304" t="s">
        <v>685</v>
      </c>
      <c r="AT304" t="s">
        <v>5966</v>
      </c>
      <c r="AU304">
        <v>2009</v>
      </c>
      <c r="AV304">
        <v>114</v>
      </c>
      <c r="AW304" t="s">
        <v>74</v>
      </c>
      <c r="AX304" t="s">
        <v>74</v>
      </c>
      <c r="AY304" t="s">
        <v>74</v>
      </c>
      <c r="AZ304" t="s">
        <v>74</v>
      </c>
      <c r="BA304" t="s">
        <v>74</v>
      </c>
      <c r="BB304" t="s">
        <v>74</v>
      </c>
      <c r="BC304" t="s">
        <v>74</v>
      </c>
      <c r="BD304" t="s">
        <v>5967</v>
      </c>
      <c r="BE304" t="s">
        <v>5968</v>
      </c>
      <c r="BF304" t="str">
        <f>HYPERLINK("http://dx.doi.org/10.1029/2008JC004919","http://dx.doi.org/10.1029/2008JC004919")</f>
        <v>http://dx.doi.org/10.1029/2008JC004919</v>
      </c>
      <c r="BG304" t="s">
        <v>74</v>
      </c>
      <c r="BH304" t="s">
        <v>74</v>
      </c>
      <c r="BI304">
        <v>13</v>
      </c>
      <c r="BJ304" t="s">
        <v>689</v>
      </c>
      <c r="BK304" t="s">
        <v>100</v>
      </c>
      <c r="BL304" t="s">
        <v>689</v>
      </c>
      <c r="BM304" t="s">
        <v>5969</v>
      </c>
      <c r="BN304" t="s">
        <v>74</v>
      </c>
      <c r="BO304" t="s">
        <v>3159</v>
      </c>
      <c r="BP304" t="s">
        <v>74</v>
      </c>
      <c r="BQ304" t="s">
        <v>74</v>
      </c>
      <c r="BR304" t="s">
        <v>103</v>
      </c>
      <c r="BS304" t="s">
        <v>5970</v>
      </c>
      <c r="BT304" t="str">
        <f>HYPERLINK("https%3A%2F%2Fwww.webofscience.com%2Fwos%2Fwoscc%2Ffull-record%2FWOS:000263954800001","View Full Record in Web of Science")</f>
        <v>View Full Record in Web of Science</v>
      </c>
    </row>
    <row r="305" spans="1:72" x14ac:dyDescent="0.15">
      <c r="A305" t="s">
        <v>72</v>
      </c>
      <c r="B305" t="s">
        <v>5971</v>
      </c>
      <c r="C305" t="s">
        <v>74</v>
      </c>
      <c r="D305" t="s">
        <v>74</v>
      </c>
      <c r="E305" t="s">
        <v>74</v>
      </c>
      <c r="F305" t="s">
        <v>5972</v>
      </c>
      <c r="G305" t="s">
        <v>74</v>
      </c>
      <c r="H305" t="s">
        <v>74</v>
      </c>
      <c r="I305" t="s">
        <v>5973</v>
      </c>
      <c r="J305" t="s">
        <v>5974</v>
      </c>
      <c r="K305" t="s">
        <v>74</v>
      </c>
      <c r="L305" t="s">
        <v>74</v>
      </c>
      <c r="M305" t="s">
        <v>78</v>
      </c>
      <c r="N305" t="s">
        <v>79</v>
      </c>
      <c r="O305" t="s">
        <v>74</v>
      </c>
      <c r="P305" t="s">
        <v>74</v>
      </c>
      <c r="Q305" t="s">
        <v>74</v>
      </c>
      <c r="R305" t="s">
        <v>74</v>
      </c>
      <c r="S305" t="s">
        <v>74</v>
      </c>
      <c r="T305" t="s">
        <v>74</v>
      </c>
      <c r="U305" t="s">
        <v>5975</v>
      </c>
      <c r="V305" t="s">
        <v>5976</v>
      </c>
      <c r="W305" t="s">
        <v>5977</v>
      </c>
      <c r="X305" t="s">
        <v>5978</v>
      </c>
      <c r="Y305" t="s">
        <v>5979</v>
      </c>
      <c r="Z305" t="s">
        <v>5980</v>
      </c>
      <c r="AA305" t="s">
        <v>5981</v>
      </c>
      <c r="AB305" t="s">
        <v>5982</v>
      </c>
      <c r="AC305" t="s">
        <v>5983</v>
      </c>
      <c r="AD305" t="s">
        <v>5984</v>
      </c>
      <c r="AE305" t="s">
        <v>5985</v>
      </c>
      <c r="AF305" t="s">
        <v>74</v>
      </c>
      <c r="AG305">
        <v>28</v>
      </c>
      <c r="AH305">
        <v>18</v>
      </c>
      <c r="AI305">
        <v>18</v>
      </c>
      <c r="AJ305">
        <v>0</v>
      </c>
      <c r="AK305">
        <v>8</v>
      </c>
      <c r="AL305" t="s">
        <v>605</v>
      </c>
      <c r="AM305" t="s">
        <v>606</v>
      </c>
      <c r="AN305" t="s">
        <v>607</v>
      </c>
      <c r="AO305" t="s">
        <v>5986</v>
      </c>
      <c r="AP305" t="s">
        <v>5987</v>
      </c>
      <c r="AQ305" t="s">
        <v>74</v>
      </c>
      <c r="AR305" t="s">
        <v>5988</v>
      </c>
      <c r="AS305" t="s">
        <v>5989</v>
      </c>
      <c r="AT305" t="s">
        <v>5990</v>
      </c>
      <c r="AU305">
        <v>2009</v>
      </c>
      <c r="AV305">
        <v>114</v>
      </c>
      <c r="AW305" t="s">
        <v>74</v>
      </c>
      <c r="AX305" t="s">
        <v>74</v>
      </c>
      <c r="AY305" t="s">
        <v>74</v>
      </c>
      <c r="AZ305" t="s">
        <v>74</v>
      </c>
      <c r="BA305" t="s">
        <v>74</v>
      </c>
      <c r="BB305" t="s">
        <v>74</v>
      </c>
      <c r="BC305" t="s">
        <v>74</v>
      </c>
      <c r="BD305" t="s">
        <v>5991</v>
      </c>
      <c r="BE305" t="s">
        <v>5992</v>
      </c>
      <c r="BF305" t="str">
        <f>HYPERLINK("http://dx.doi.org/10.1029/2008JB005975","http://dx.doi.org/10.1029/2008JB005975")</f>
        <v>http://dx.doi.org/10.1029/2008JB005975</v>
      </c>
      <c r="BG305" t="s">
        <v>74</v>
      </c>
      <c r="BH305" t="s">
        <v>74</v>
      </c>
      <c r="BI305">
        <v>15</v>
      </c>
      <c r="BJ305" t="s">
        <v>534</v>
      </c>
      <c r="BK305" t="s">
        <v>100</v>
      </c>
      <c r="BL305" t="s">
        <v>534</v>
      </c>
      <c r="BM305" t="s">
        <v>5993</v>
      </c>
      <c r="BN305" t="s">
        <v>74</v>
      </c>
      <c r="BO305" t="s">
        <v>839</v>
      </c>
      <c r="BP305" t="s">
        <v>74</v>
      </c>
      <c r="BQ305" t="s">
        <v>74</v>
      </c>
      <c r="BR305" t="s">
        <v>103</v>
      </c>
      <c r="BS305" t="s">
        <v>5994</v>
      </c>
      <c r="BT305" t="str">
        <f>HYPERLINK("https%3A%2F%2Fwww.webofscience.com%2Fwos%2Fwoscc%2Ffull-record%2FWOS:000263955700002","View Full Record in Web of Science")</f>
        <v>View Full Record in Web of Science</v>
      </c>
    </row>
    <row r="306" spans="1:72" x14ac:dyDescent="0.15">
      <c r="A306" t="s">
        <v>72</v>
      </c>
      <c r="B306" t="s">
        <v>155</v>
      </c>
      <c r="C306" t="s">
        <v>74</v>
      </c>
      <c r="D306" t="s">
        <v>74</v>
      </c>
      <c r="E306" t="s">
        <v>74</v>
      </c>
      <c r="F306" t="s">
        <v>5995</v>
      </c>
      <c r="G306" t="s">
        <v>74</v>
      </c>
      <c r="H306" t="s">
        <v>74</v>
      </c>
      <c r="I306" t="s">
        <v>5996</v>
      </c>
      <c r="J306" t="s">
        <v>887</v>
      </c>
      <c r="K306" t="s">
        <v>74</v>
      </c>
      <c r="L306" t="s">
        <v>74</v>
      </c>
      <c r="M306" t="s">
        <v>78</v>
      </c>
      <c r="N306" t="s">
        <v>79</v>
      </c>
      <c r="O306" t="s">
        <v>74</v>
      </c>
      <c r="P306" t="s">
        <v>74</v>
      </c>
      <c r="Q306" t="s">
        <v>74</v>
      </c>
      <c r="R306" t="s">
        <v>74</v>
      </c>
      <c r="S306" t="s">
        <v>74</v>
      </c>
      <c r="T306" t="s">
        <v>5997</v>
      </c>
      <c r="U306" t="s">
        <v>74</v>
      </c>
      <c r="V306" t="s">
        <v>5998</v>
      </c>
      <c r="W306" t="s">
        <v>5999</v>
      </c>
      <c r="X306" t="s">
        <v>161</v>
      </c>
      <c r="Y306" t="s">
        <v>6000</v>
      </c>
      <c r="Z306" t="s">
        <v>163</v>
      </c>
      <c r="AA306" t="s">
        <v>74</v>
      </c>
      <c r="AB306" t="s">
        <v>74</v>
      </c>
      <c r="AC306" t="s">
        <v>6001</v>
      </c>
      <c r="AD306" t="s">
        <v>6002</v>
      </c>
      <c r="AE306" t="s">
        <v>6003</v>
      </c>
      <c r="AF306" t="s">
        <v>74</v>
      </c>
      <c r="AG306">
        <v>17</v>
      </c>
      <c r="AH306">
        <v>6</v>
      </c>
      <c r="AI306">
        <v>6</v>
      </c>
      <c r="AJ306">
        <v>0</v>
      </c>
      <c r="AK306">
        <v>2</v>
      </c>
      <c r="AL306" t="s">
        <v>900</v>
      </c>
      <c r="AM306" t="s">
        <v>901</v>
      </c>
      <c r="AN306" t="s">
        <v>902</v>
      </c>
      <c r="AO306" t="s">
        <v>903</v>
      </c>
      <c r="AP306" t="s">
        <v>904</v>
      </c>
      <c r="AQ306" t="s">
        <v>74</v>
      </c>
      <c r="AR306" t="s">
        <v>887</v>
      </c>
      <c r="AS306" t="s">
        <v>905</v>
      </c>
      <c r="AT306" t="s">
        <v>5990</v>
      </c>
      <c r="AU306">
        <v>2009</v>
      </c>
      <c r="AV306" t="s">
        <v>74</v>
      </c>
      <c r="AW306">
        <v>2027</v>
      </c>
      <c r="AX306" t="s">
        <v>74</v>
      </c>
      <c r="AY306" t="s">
        <v>74</v>
      </c>
      <c r="AZ306" t="s">
        <v>74</v>
      </c>
      <c r="BA306" t="s">
        <v>74</v>
      </c>
      <c r="BB306">
        <v>55</v>
      </c>
      <c r="BC306">
        <v>62</v>
      </c>
      <c r="BD306" t="s">
        <v>74</v>
      </c>
      <c r="BE306" t="s">
        <v>6004</v>
      </c>
      <c r="BF306" t="str">
        <f>HYPERLINK("http://dx.doi.org/10.11646/zootaxa.2027.1.4","http://dx.doi.org/10.11646/zootaxa.2027.1.4")</f>
        <v>http://dx.doi.org/10.11646/zootaxa.2027.1.4</v>
      </c>
      <c r="BG306" t="s">
        <v>74</v>
      </c>
      <c r="BH306" t="s">
        <v>74</v>
      </c>
      <c r="BI306">
        <v>8</v>
      </c>
      <c r="BJ306" t="s">
        <v>908</v>
      </c>
      <c r="BK306" t="s">
        <v>100</v>
      </c>
      <c r="BL306" t="s">
        <v>908</v>
      </c>
      <c r="BM306" t="s">
        <v>6005</v>
      </c>
      <c r="BN306" t="s">
        <v>74</v>
      </c>
      <c r="BO306" t="s">
        <v>74</v>
      </c>
      <c r="BP306" t="s">
        <v>74</v>
      </c>
      <c r="BQ306" t="s">
        <v>74</v>
      </c>
      <c r="BR306" t="s">
        <v>103</v>
      </c>
      <c r="BS306" t="s">
        <v>6006</v>
      </c>
      <c r="BT306" t="str">
        <f>HYPERLINK("https%3A%2F%2Fwww.webofscience.com%2Fwos%2Fwoscc%2Ffull-record%2FWOS:000263879100004","View Full Record in Web of Science")</f>
        <v>View Full Record in Web of Science</v>
      </c>
    </row>
    <row r="307" spans="1:72" x14ac:dyDescent="0.15">
      <c r="A307" t="s">
        <v>72</v>
      </c>
      <c r="B307" t="s">
        <v>6007</v>
      </c>
      <c r="C307" t="s">
        <v>74</v>
      </c>
      <c r="D307" t="s">
        <v>74</v>
      </c>
      <c r="E307" t="s">
        <v>74</v>
      </c>
      <c r="F307" t="s">
        <v>6008</v>
      </c>
      <c r="G307" t="s">
        <v>74</v>
      </c>
      <c r="H307" t="s">
        <v>74</v>
      </c>
      <c r="I307" t="s">
        <v>6009</v>
      </c>
      <c r="J307" t="s">
        <v>4081</v>
      </c>
      <c r="K307" t="s">
        <v>74</v>
      </c>
      <c r="L307" t="s">
        <v>74</v>
      </c>
      <c r="M307" t="s">
        <v>78</v>
      </c>
      <c r="N307" t="s">
        <v>79</v>
      </c>
      <c r="O307" t="s">
        <v>74</v>
      </c>
      <c r="P307" t="s">
        <v>74</v>
      </c>
      <c r="Q307" t="s">
        <v>74</v>
      </c>
      <c r="R307" t="s">
        <v>74</v>
      </c>
      <c r="S307" t="s">
        <v>74</v>
      </c>
      <c r="T307" t="s">
        <v>6010</v>
      </c>
      <c r="U307" t="s">
        <v>6011</v>
      </c>
      <c r="V307" t="s">
        <v>6012</v>
      </c>
      <c r="W307" t="s">
        <v>6013</v>
      </c>
      <c r="X307" t="s">
        <v>6014</v>
      </c>
      <c r="Y307" t="s">
        <v>6015</v>
      </c>
      <c r="Z307" t="s">
        <v>6016</v>
      </c>
      <c r="AA307" t="s">
        <v>6017</v>
      </c>
      <c r="AB307" t="s">
        <v>6018</v>
      </c>
      <c r="AC307" t="s">
        <v>6019</v>
      </c>
      <c r="AD307" t="s">
        <v>6020</v>
      </c>
      <c r="AE307" t="s">
        <v>6021</v>
      </c>
      <c r="AF307" t="s">
        <v>74</v>
      </c>
      <c r="AG307">
        <v>50</v>
      </c>
      <c r="AH307">
        <v>40</v>
      </c>
      <c r="AI307">
        <v>47</v>
      </c>
      <c r="AJ307">
        <v>1</v>
      </c>
      <c r="AK307">
        <v>27</v>
      </c>
      <c r="AL307" t="s">
        <v>1671</v>
      </c>
      <c r="AM307" t="s">
        <v>304</v>
      </c>
      <c r="AN307" t="s">
        <v>1672</v>
      </c>
      <c r="AO307" t="s">
        <v>4094</v>
      </c>
      <c r="AP307" t="s">
        <v>4095</v>
      </c>
      <c r="AQ307" t="s">
        <v>74</v>
      </c>
      <c r="AR307" t="s">
        <v>4096</v>
      </c>
      <c r="AS307" t="s">
        <v>4097</v>
      </c>
      <c r="AT307" t="s">
        <v>6022</v>
      </c>
      <c r="AU307">
        <v>2009</v>
      </c>
      <c r="AV307">
        <v>157</v>
      </c>
      <c r="AW307">
        <v>3</v>
      </c>
      <c r="AX307" t="s">
        <v>74</v>
      </c>
      <c r="AY307" t="s">
        <v>74</v>
      </c>
      <c r="AZ307" t="s">
        <v>74</v>
      </c>
      <c r="BA307" t="s">
        <v>74</v>
      </c>
      <c r="BB307">
        <v>975</v>
      </c>
      <c r="BC307">
        <v>980</v>
      </c>
      <c r="BD307" t="s">
        <v>74</v>
      </c>
      <c r="BE307" t="s">
        <v>6023</v>
      </c>
      <c r="BF307" t="str">
        <f>HYPERLINK("http://dx.doi.org/10.1016/j.envpol.2008.10.016","http://dx.doi.org/10.1016/j.envpol.2008.10.016")</f>
        <v>http://dx.doi.org/10.1016/j.envpol.2008.10.016</v>
      </c>
      <c r="BG307" t="s">
        <v>74</v>
      </c>
      <c r="BH307" t="s">
        <v>74</v>
      </c>
      <c r="BI307">
        <v>6</v>
      </c>
      <c r="BJ307" t="s">
        <v>423</v>
      </c>
      <c r="BK307" t="s">
        <v>100</v>
      </c>
      <c r="BL307" t="s">
        <v>424</v>
      </c>
      <c r="BM307" t="s">
        <v>6024</v>
      </c>
      <c r="BN307">
        <v>19027208</v>
      </c>
      <c r="BO307" t="s">
        <v>74</v>
      </c>
      <c r="BP307" t="s">
        <v>74</v>
      </c>
      <c r="BQ307" t="s">
        <v>74</v>
      </c>
      <c r="BR307" t="s">
        <v>103</v>
      </c>
      <c r="BS307" t="s">
        <v>6025</v>
      </c>
      <c r="BT307" t="str">
        <f>HYPERLINK("https%3A%2F%2Fwww.webofscience.com%2Fwos%2Fwoscc%2Ffull-record%2FWOS:000263454100036","View Full Record in Web of Science")</f>
        <v>View Full Record in Web of Science</v>
      </c>
    </row>
    <row r="308" spans="1:72" x14ac:dyDescent="0.15">
      <c r="A308" t="s">
        <v>72</v>
      </c>
      <c r="B308" t="s">
        <v>6026</v>
      </c>
      <c r="C308" t="s">
        <v>74</v>
      </c>
      <c r="D308" t="s">
        <v>74</v>
      </c>
      <c r="E308" t="s">
        <v>74</v>
      </c>
      <c r="F308" t="s">
        <v>6027</v>
      </c>
      <c r="G308" t="s">
        <v>74</v>
      </c>
      <c r="H308" t="s">
        <v>74</v>
      </c>
      <c r="I308" t="s">
        <v>6028</v>
      </c>
      <c r="J308" t="s">
        <v>645</v>
      </c>
      <c r="K308" t="s">
        <v>74</v>
      </c>
      <c r="L308" t="s">
        <v>74</v>
      </c>
      <c r="M308" t="s">
        <v>78</v>
      </c>
      <c r="N308" t="s">
        <v>79</v>
      </c>
      <c r="O308" t="s">
        <v>74</v>
      </c>
      <c r="P308" t="s">
        <v>74</v>
      </c>
      <c r="Q308" t="s">
        <v>74</v>
      </c>
      <c r="R308" t="s">
        <v>74</v>
      </c>
      <c r="S308" t="s">
        <v>74</v>
      </c>
      <c r="T308" t="s">
        <v>74</v>
      </c>
      <c r="U308" t="s">
        <v>6029</v>
      </c>
      <c r="V308" t="s">
        <v>6030</v>
      </c>
      <c r="W308" t="s">
        <v>6031</v>
      </c>
      <c r="X308" t="s">
        <v>6032</v>
      </c>
      <c r="Y308" t="s">
        <v>6033</v>
      </c>
      <c r="Z308" t="s">
        <v>6034</v>
      </c>
      <c r="AA308" t="s">
        <v>6035</v>
      </c>
      <c r="AB308" t="s">
        <v>6036</v>
      </c>
      <c r="AC308" t="s">
        <v>6037</v>
      </c>
      <c r="AD308" t="s">
        <v>5271</v>
      </c>
      <c r="AE308" t="s">
        <v>6038</v>
      </c>
      <c r="AF308" t="s">
        <v>74</v>
      </c>
      <c r="AG308">
        <v>20</v>
      </c>
      <c r="AH308">
        <v>70</v>
      </c>
      <c r="AI308">
        <v>78</v>
      </c>
      <c r="AJ308">
        <v>1</v>
      </c>
      <c r="AK308">
        <v>23</v>
      </c>
      <c r="AL308" t="s">
        <v>605</v>
      </c>
      <c r="AM308" t="s">
        <v>606</v>
      </c>
      <c r="AN308" t="s">
        <v>607</v>
      </c>
      <c r="AO308" t="s">
        <v>657</v>
      </c>
      <c r="AP308" t="s">
        <v>74</v>
      </c>
      <c r="AQ308" t="s">
        <v>74</v>
      </c>
      <c r="AR308" t="s">
        <v>659</v>
      </c>
      <c r="AS308" t="s">
        <v>660</v>
      </c>
      <c r="AT308" t="s">
        <v>6022</v>
      </c>
      <c r="AU308">
        <v>2009</v>
      </c>
      <c r="AV308">
        <v>36</v>
      </c>
      <c r="AW308" t="s">
        <v>74</v>
      </c>
      <c r="AX308" t="s">
        <v>74</v>
      </c>
      <c r="AY308" t="s">
        <v>74</v>
      </c>
      <c r="AZ308" t="s">
        <v>74</v>
      </c>
      <c r="BA308" t="s">
        <v>74</v>
      </c>
      <c r="BB308" t="s">
        <v>74</v>
      </c>
      <c r="BC308" t="s">
        <v>74</v>
      </c>
      <c r="BD308" t="s">
        <v>6039</v>
      </c>
      <c r="BE308" t="s">
        <v>6040</v>
      </c>
      <c r="BF308" t="str">
        <f>HYPERLINK("http://dx.doi.org/10.1029/2008GL036792","http://dx.doi.org/10.1029/2008GL036792")</f>
        <v>http://dx.doi.org/10.1029/2008GL036792</v>
      </c>
      <c r="BG308" t="s">
        <v>74</v>
      </c>
      <c r="BH308" t="s">
        <v>74</v>
      </c>
      <c r="BI308">
        <v>5</v>
      </c>
      <c r="BJ308" t="s">
        <v>496</v>
      </c>
      <c r="BK308" t="s">
        <v>100</v>
      </c>
      <c r="BL308" t="s">
        <v>497</v>
      </c>
      <c r="BM308" t="s">
        <v>6041</v>
      </c>
      <c r="BN308" t="s">
        <v>74</v>
      </c>
      <c r="BO308" t="s">
        <v>3159</v>
      </c>
      <c r="BP308" t="s">
        <v>74</v>
      </c>
      <c r="BQ308" t="s">
        <v>74</v>
      </c>
      <c r="BR308" t="s">
        <v>103</v>
      </c>
      <c r="BS308" t="s">
        <v>6042</v>
      </c>
      <c r="BT308" t="str">
        <f>HYPERLINK("https%3A%2F%2Fwww.webofscience.com%2Fwos%2Fwoscc%2Ffull-record%2FWOS:000263946300004","View Full Record in Web of Science")</f>
        <v>View Full Record in Web of Science</v>
      </c>
    </row>
    <row r="309" spans="1:72" x14ac:dyDescent="0.15">
      <c r="A309" t="s">
        <v>72</v>
      </c>
      <c r="B309" t="s">
        <v>6043</v>
      </c>
      <c r="C309" t="s">
        <v>74</v>
      </c>
      <c r="D309" t="s">
        <v>74</v>
      </c>
      <c r="E309" t="s">
        <v>74</v>
      </c>
      <c r="F309" t="s">
        <v>6044</v>
      </c>
      <c r="G309" t="s">
        <v>74</v>
      </c>
      <c r="H309" t="s">
        <v>74</v>
      </c>
      <c r="I309" t="s">
        <v>6045</v>
      </c>
      <c r="J309" t="s">
        <v>862</v>
      </c>
      <c r="K309" t="s">
        <v>74</v>
      </c>
      <c r="L309" t="s">
        <v>74</v>
      </c>
      <c r="M309" t="s">
        <v>78</v>
      </c>
      <c r="N309" t="s">
        <v>79</v>
      </c>
      <c r="O309" t="s">
        <v>74</v>
      </c>
      <c r="P309" t="s">
        <v>74</v>
      </c>
      <c r="Q309" t="s">
        <v>74</v>
      </c>
      <c r="R309" t="s">
        <v>74</v>
      </c>
      <c r="S309" t="s">
        <v>74</v>
      </c>
      <c r="T309" t="s">
        <v>6046</v>
      </c>
      <c r="U309" t="s">
        <v>6047</v>
      </c>
      <c r="V309" t="s">
        <v>6048</v>
      </c>
      <c r="W309" t="s">
        <v>6049</v>
      </c>
      <c r="X309" t="s">
        <v>2158</v>
      </c>
      <c r="Y309" t="s">
        <v>6050</v>
      </c>
      <c r="Z309" t="s">
        <v>6051</v>
      </c>
      <c r="AA309" t="s">
        <v>6052</v>
      </c>
      <c r="AB309" t="s">
        <v>6053</v>
      </c>
      <c r="AC309" t="s">
        <v>6054</v>
      </c>
      <c r="AD309" t="s">
        <v>6055</v>
      </c>
      <c r="AE309" t="s">
        <v>6056</v>
      </c>
      <c r="AF309" t="s">
        <v>74</v>
      </c>
      <c r="AG309">
        <v>57</v>
      </c>
      <c r="AH309">
        <v>218</v>
      </c>
      <c r="AI309">
        <v>226</v>
      </c>
      <c r="AJ309">
        <v>19</v>
      </c>
      <c r="AK309">
        <v>161</v>
      </c>
      <c r="AL309" t="s">
        <v>874</v>
      </c>
      <c r="AM309" t="s">
        <v>606</v>
      </c>
      <c r="AN309" t="s">
        <v>875</v>
      </c>
      <c r="AO309" t="s">
        <v>876</v>
      </c>
      <c r="AP309" t="s">
        <v>74</v>
      </c>
      <c r="AQ309" t="s">
        <v>74</v>
      </c>
      <c r="AR309" t="s">
        <v>877</v>
      </c>
      <c r="AS309" t="s">
        <v>878</v>
      </c>
      <c r="AT309" t="s">
        <v>6022</v>
      </c>
      <c r="AU309">
        <v>2009</v>
      </c>
      <c r="AV309">
        <v>106</v>
      </c>
      <c r="AW309">
        <v>9</v>
      </c>
      <c r="AX309" t="s">
        <v>74</v>
      </c>
      <c r="AY309" t="s">
        <v>74</v>
      </c>
      <c r="AZ309" t="s">
        <v>74</v>
      </c>
      <c r="BA309" t="s">
        <v>74</v>
      </c>
      <c r="BB309">
        <v>3249</v>
      </c>
      <c r="BC309">
        <v>3253</v>
      </c>
      <c r="BD309" t="s">
        <v>74</v>
      </c>
      <c r="BE309" t="s">
        <v>6057</v>
      </c>
      <c r="BF309" t="str">
        <f>HYPERLINK("http://dx.doi.org/10.1073/pnas.0810635106","http://dx.doi.org/10.1073/pnas.0810635106")</f>
        <v>http://dx.doi.org/10.1073/pnas.0810635106</v>
      </c>
      <c r="BG309" t="s">
        <v>74</v>
      </c>
      <c r="BH309" t="s">
        <v>74</v>
      </c>
      <c r="BI309">
        <v>5</v>
      </c>
      <c r="BJ309" t="s">
        <v>790</v>
      </c>
      <c r="BK309" t="s">
        <v>100</v>
      </c>
      <c r="BL309" t="s">
        <v>791</v>
      </c>
      <c r="BM309" t="s">
        <v>6058</v>
      </c>
      <c r="BN309">
        <v>19204277</v>
      </c>
      <c r="BO309" t="s">
        <v>217</v>
      </c>
      <c r="BP309" t="s">
        <v>74</v>
      </c>
      <c r="BQ309" t="s">
        <v>74</v>
      </c>
      <c r="BR309" t="s">
        <v>103</v>
      </c>
      <c r="BS309" t="s">
        <v>6059</v>
      </c>
      <c r="BT309" t="str">
        <f>HYPERLINK("https%3A%2F%2Fwww.webofscience.com%2Fwos%2Fwoscc%2Ffull-record%2FWOS:000263844100050","View Full Record in Web of Science")</f>
        <v>View Full Record in Web of Science</v>
      </c>
    </row>
    <row r="310" spans="1:72" x14ac:dyDescent="0.15">
      <c r="A310" t="s">
        <v>72</v>
      </c>
      <c r="B310" t="s">
        <v>6060</v>
      </c>
      <c r="C310" t="s">
        <v>74</v>
      </c>
      <c r="D310" t="s">
        <v>74</v>
      </c>
      <c r="E310" t="s">
        <v>74</v>
      </c>
      <c r="F310" t="s">
        <v>6061</v>
      </c>
      <c r="G310" t="s">
        <v>74</v>
      </c>
      <c r="H310" t="s">
        <v>74</v>
      </c>
      <c r="I310" t="s">
        <v>6062</v>
      </c>
      <c r="J310" t="s">
        <v>6063</v>
      </c>
      <c r="K310" t="s">
        <v>74</v>
      </c>
      <c r="L310" t="s">
        <v>74</v>
      </c>
      <c r="M310" t="s">
        <v>78</v>
      </c>
      <c r="N310" t="s">
        <v>79</v>
      </c>
      <c r="O310" t="s">
        <v>74</v>
      </c>
      <c r="P310" t="s">
        <v>74</v>
      </c>
      <c r="Q310" t="s">
        <v>74</v>
      </c>
      <c r="R310" t="s">
        <v>74</v>
      </c>
      <c r="S310" t="s">
        <v>74</v>
      </c>
      <c r="T310" t="s">
        <v>6064</v>
      </c>
      <c r="U310" t="s">
        <v>6065</v>
      </c>
      <c r="V310" t="s">
        <v>6066</v>
      </c>
      <c r="W310" t="s">
        <v>6067</v>
      </c>
      <c r="X310" t="s">
        <v>6068</v>
      </c>
      <c r="Y310" t="s">
        <v>6069</v>
      </c>
      <c r="Z310" t="s">
        <v>6070</v>
      </c>
      <c r="AA310" t="s">
        <v>74</v>
      </c>
      <c r="AB310" t="s">
        <v>74</v>
      </c>
      <c r="AC310" t="s">
        <v>6071</v>
      </c>
      <c r="AD310" t="s">
        <v>6072</v>
      </c>
      <c r="AE310" t="s">
        <v>6073</v>
      </c>
      <c r="AF310" t="s">
        <v>74</v>
      </c>
      <c r="AG310">
        <v>77</v>
      </c>
      <c r="AH310">
        <v>1</v>
      </c>
      <c r="AI310">
        <v>1</v>
      </c>
      <c r="AJ310">
        <v>0</v>
      </c>
      <c r="AK310">
        <v>1</v>
      </c>
      <c r="AL310" t="s">
        <v>1671</v>
      </c>
      <c r="AM310" t="s">
        <v>304</v>
      </c>
      <c r="AN310" t="s">
        <v>1672</v>
      </c>
      <c r="AO310" t="s">
        <v>6074</v>
      </c>
      <c r="AP310" t="s">
        <v>6075</v>
      </c>
      <c r="AQ310" t="s">
        <v>74</v>
      </c>
      <c r="AR310" t="s">
        <v>6076</v>
      </c>
      <c r="AS310" t="s">
        <v>6077</v>
      </c>
      <c r="AT310" t="s">
        <v>6078</v>
      </c>
      <c r="AU310">
        <v>2009</v>
      </c>
      <c r="AV310">
        <v>43</v>
      </c>
      <c r="AW310">
        <v>5</v>
      </c>
      <c r="AX310" t="s">
        <v>74</v>
      </c>
      <c r="AY310" t="s">
        <v>74</v>
      </c>
      <c r="AZ310" t="s">
        <v>74</v>
      </c>
      <c r="BA310" t="s">
        <v>74</v>
      </c>
      <c r="BB310">
        <v>802</v>
      </c>
      <c r="BC310">
        <v>818</v>
      </c>
      <c r="BD310" t="s">
        <v>74</v>
      </c>
      <c r="BE310" t="s">
        <v>6079</v>
      </c>
      <c r="BF310" t="str">
        <f>HYPERLINK("http://dx.doi.org/10.1016/j.asr.2008.06.011","http://dx.doi.org/10.1016/j.asr.2008.06.011")</f>
        <v>http://dx.doi.org/10.1016/j.asr.2008.06.011</v>
      </c>
      <c r="BG310" t="s">
        <v>74</v>
      </c>
      <c r="BH310" t="s">
        <v>74</v>
      </c>
      <c r="BI310">
        <v>17</v>
      </c>
      <c r="BJ310" t="s">
        <v>6080</v>
      </c>
      <c r="BK310" t="s">
        <v>100</v>
      </c>
      <c r="BL310" t="s">
        <v>6081</v>
      </c>
      <c r="BM310" t="s">
        <v>6082</v>
      </c>
      <c r="BN310" t="s">
        <v>74</v>
      </c>
      <c r="BO310" t="s">
        <v>74</v>
      </c>
      <c r="BP310" t="s">
        <v>74</v>
      </c>
      <c r="BQ310" t="s">
        <v>74</v>
      </c>
      <c r="BR310" t="s">
        <v>103</v>
      </c>
      <c r="BS310" t="s">
        <v>6083</v>
      </c>
      <c r="BT310" t="str">
        <f>HYPERLINK("https%3A%2F%2Fwww.webofscience.com%2Fwos%2Fwoscc%2Ffull-record%2FWOS:000264301600007","View Full Record in Web of Science")</f>
        <v>View Full Record in Web of Science</v>
      </c>
    </row>
    <row r="311" spans="1:72" x14ac:dyDescent="0.15">
      <c r="A311" t="s">
        <v>72</v>
      </c>
      <c r="B311" t="s">
        <v>6084</v>
      </c>
      <c r="C311" t="s">
        <v>74</v>
      </c>
      <c r="D311" t="s">
        <v>74</v>
      </c>
      <c r="E311" t="s">
        <v>74</v>
      </c>
      <c r="F311" t="s">
        <v>6085</v>
      </c>
      <c r="G311" t="s">
        <v>74</v>
      </c>
      <c r="H311" t="s">
        <v>74</v>
      </c>
      <c r="I311" t="s">
        <v>6086</v>
      </c>
      <c r="J311" t="s">
        <v>6087</v>
      </c>
      <c r="K311" t="s">
        <v>74</v>
      </c>
      <c r="L311" t="s">
        <v>74</v>
      </c>
      <c r="M311" t="s">
        <v>78</v>
      </c>
      <c r="N311" t="s">
        <v>79</v>
      </c>
      <c r="O311" t="s">
        <v>74</v>
      </c>
      <c r="P311" t="s">
        <v>74</v>
      </c>
      <c r="Q311" t="s">
        <v>74</v>
      </c>
      <c r="R311" t="s">
        <v>74</v>
      </c>
      <c r="S311" t="s">
        <v>74</v>
      </c>
      <c r="T311" t="s">
        <v>6088</v>
      </c>
      <c r="U311" t="s">
        <v>6089</v>
      </c>
      <c r="V311" t="s">
        <v>6090</v>
      </c>
      <c r="W311" t="s">
        <v>6091</v>
      </c>
      <c r="X311" t="s">
        <v>6092</v>
      </c>
      <c r="Y311" t="s">
        <v>6093</v>
      </c>
      <c r="Z311" t="s">
        <v>6094</v>
      </c>
      <c r="AA311" t="s">
        <v>6095</v>
      </c>
      <c r="AB311" t="s">
        <v>6096</v>
      </c>
      <c r="AC311" t="s">
        <v>6097</v>
      </c>
      <c r="AD311" t="s">
        <v>6098</v>
      </c>
      <c r="AE311" t="s">
        <v>6099</v>
      </c>
      <c r="AF311" t="s">
        <v>74</v>
      </c>
      <c r="AG311">
        <v>36</v>
      </c>
      <c r="AH311">
        <v>106</v>
      </c>
      <c r="AI311">
        <v>112</v>
      </c>
      <c r="AJ311">
        <v>2</v>
      </c>
      <c r="AK311">
        <v>12</v>
      </c>
      <c r="AL311" t="s">
        <v>6100</v>
      </c>
      <c r="AM311" t="s">
        <v>6101</v>
      </c>
      <c r="AN311" t="s">
        <v>6102</v>
      </c>
      <c r="AO311" t="s">
        <v>6103</v>
      </c>
      <c r="AP311" t="s">
        <v>6104</v>
      </c>
      <c r="AQ311" t="s">
        <v>74</v>
      </c>
      <c r="AR311" t="s">
        <v>6105</v>
      </c>
      <c r="AS311" t="s">
        <v>6106</v>
      </c>
      <c r="AT311" t="s">
        <v>6107</v>
      </c>
      <c r="AU311">
        <v>2009</v>
      </c>
      <c r="AV311">
        <v>57</v>
      </c>
      <c r="AW311">
        <v>1</v>
      </c>
      <c r="AX311" t="s">
        <v>74</v>
      </c>
      <c r="AY311" t="s">
        <v>74</v>
      </c>
      <c r="AZ311" t="s">
        <v>74</v>
      </c>
      <c r="BA311" t="s">
        <v>74</v>
      </c>
      <c r="BB311">
        <v>88</v>
      </c>
      <c r="BC311">
        <v>101</v>
      </c>
      <c r="BD311" t="s">
        <v>74</v>
      </c>
      <c r="BE311" t="s">
        <v>6108</v>
      </c>
      <c r="BF311" t="str">
        <f>HYPERLINK("http://dx.doi.org/10.2478/s11600-008-0019-9","http://dx.doi.org/10.2478/s11600-008-0019-9")</f>
        <v>http://dx.doi.org/10.2478/s11600-008-0019-9</v>
      </c>
      <c r="BG311" t="s">
        <v>74</v>
      </c>
      <c r="BH311" t="s">
        <v>74</v>
      </c>
      <c r="BI311">
        <v>14</v>
      </c>
      <c r="BJ311" t="s">
        <v>534</v>
      </c>
      <c r="BK311" t="s">
        <v>100</v>
      </c>
      <c r="BL311" t="s">
        <v>534</v>
      </c>
      <c r="BM311" t="s">
        <v>6109</v>
      </c>
      <c r="BN311" t="s">
        <v>74</v>
      </c>
      <c r="BO311" t="s">
        <v>74</v>
      </c>
      <c r="BP311" t="s">
        <v>74</v>
      </c>
      <c r="BQ311" t="s">
        <v>74</v>
      </c>
      <c r="BR311" t="s">
        <v>103</v>
      </c>
      <c r="BS311" t="s">
        <v>6110</v>
      </c>
      <c r="BT311" t="str">
        <f>HYPERLINK("https%3A%2F%2Fwww.webofscience.com%2Fwos%2Fwoscc%2Ffull-record%2FWOS:000261935200009","View Full Record in Web of Science")</f>
        <v>View Full Record in Web of Science</v>
      </c>
    </row>
    <row r="312" spans="1:72" x14ac:dyDescent="0.15">
      <c r="A312" t="s">
        <v>72</v>
      </c>
      <c r="B312" t="s">
        <v>6111</v>
      </c>
      <c r="C312" t="s">
        <v>74</v>
      </c>
      <c r="D312" t="s">
        <v>74</v>
      </c>
      <c r="E312" t="s">
        <v>74</v>
      </c>
      <c r="F312" t="s">
        <v>6112</v>
      </c>
      <c r="G312" t="s">
        <v>74</v>
      </c>
      <c r="H312" t="s">
        <v>74</v>
      </c>
      <c r="I312" t="s">
        <v>6113</v>
      </c>
      <c r="J312" t="s">
        <v>6114</v>
      </c>
      <c r="K312" t="s">
        <v>74</v>
      </c>
      <c r="L312" t="s">
        <v>74</v>
      </c>
      <c r="M312" t="s">
        <v>78</v>
      </c>
      <c r="N312" t="s">
        <v>79</v>
      </c>
      <c r="O312" t="s">
        <v>74</v>
      </c>
      <c r="P312" t="s">
        <v>74</v>
      </c>
      <c r="Q312" t="s">
        <v>74</v>
      </c>
      <c r="R312" t="s">
        <v>74</v>
      </c>
      <c r="S312" t="s">
        <v>74</v>
      </c>
      <c r="T312" t="s">
        <v>74</v>
      </c>
      <c r="U312" t="s">
        <v>74</v>
      </c>
      <c r="V312" t="s">
        <v>74</v>
      </c>
      <c r="W312" t="s">
        <v>74</v>
      </c>
      <c r="X312" t="s">
        <v>74</v>
      </c>
      <c r="Y312" t="s">
        <v>74</v>
      </c>
      <c r="Z312" t="s">
        <v>74</v>
      </c>
      <c r="AA312" t="s">
        <v>74</v>
      </c>
      <c r="AB312" t="s">
        <v>74</v>
      </c>
      <c r="AC312" t="s">
        <v>74</v>
      </c>
      <c r="AD312" t="s">
        <v>74</v>
      </c>
      <c r="AE312" t="s">
        <v>74</v>
      </c>
      <c r="AF312" t="s">
        <v>74</v>
      </c>
      <c r="AG312">
        <v>0</v>
      </c>
      <c r="AH312">
        <v>0</v>
      </c>
      <c r="AI312">
        <v>0</v>
      </c>
      <c r="AJ312">
        <v>0</v>
      </c>
      <c r="AK312">
        <v>0</v>
      </c>
      <c r="AL312" t="s">
        <v>6115</v>
      </c>
      <c r="AM312" t="s">
        <v>6116</v>
      </c>
      <c r="AN312" t="s">
        <v>6117</v>
      </c>
      <c r="AO312" t="s">
        <v>6118</v>
      </c>
      <c r="AP312" t="s">
        <v>74</v>
      </c>
      <c r="AQ312" t="s">
        <v>74</v>
      </c>
      <c r="AR312" t="s">
        <v>6119</v>
      </c>
      <c r="AS312" t="s">
        <v>6120</v>
      </c>
      <c r="AT312" t="s">
        <v>6107</v>
      </c>
      <c r="AU312">
        <v>2009</v>
      </c>
      <c r="AV312">
        <v>47</v>
      </c>
      <c r="AW312">
        <v>3</v>
      </c>
      <c r="AX312" t="s">
        <v>74</v>
      </c>
      <c r="AY312" t="s">
        <v>74</v>
      </c>
      <c r="AZ312" t="s">
        <v>74</v>
      </c>
      <c r="BA312" t="s">
        <v>74</v>
      </c>
      <c r="BB312">
        <v>22</v>
      </c>
      <c r="BC312">
        <v>24</v>
      </c>
      <c r="BD312" t="s">
        <v>74</v>
      </c>
      <c r="BE312" t="s">
        <v>74</v>
      </c>
      <c r="BF312" t="s">
        <v>74</v>
      </c>
      <c r="BG312" t="s">
        <v>74</v>
      </c>
      <c r="BH312" t="s">
        <v>74</v>
      </c>
      <c r="BI312">
        <v>3</v>
      </c>
      <c r="BJ312" t="s">
        <v>6121</v>
      </c>
      <c r="BK312" t="s">
        <v>100</v>
      </c>
      <c r="BL312" t="s">
        <v>6122</v>
      </c>
      <c r="BM312" t="s">
        <v>6123</v>
      </c>
      <c r="BN312" t="s">
        <v>74</v>
      </c>
      <c r="BO312" t="s">
        <v>74</v>
      </c>
      <c r="BP312" t="s">
        <v>74</v>
      </c>
      <c r="BQ312" t="s">
        <v>74</v>
      </c>
      <c r="BR312" t="s">
        <v>103</v>
      </c>
      <c r="BS312" t="s">
        <v>6124</v>
      </c>
      <c r="BT312" t="str">
        <f>HYPERLINK("https%3A%2F%2Fwww.webofscience.com%2Fwos%2Fwoscc%2Ffull-record%2FWOS:000264278100007","View Full Record in Web of Science")</f>
        <v>View Full Record in Web of Science</v>
      </c>
    </row>
    <row r="313" spans="1:72" x14ac:dyDescent="0.15">
      <c r="A313" t="s">
        <v>72</v>
      </c>
      <c r="B313" t="s">
        <v>6125</v>
      </c>
      <c r="C313" t="s">
        <v>74</v>
      </c>
      <c r="D313" t="s">
        <v>74</v>
      </c>
      <c r="E313" t="s">
        <v>74</v>
      </c>
      <c r="F313" t="s">
        <v>6126</v>
      </c>
      <c r="G313" t="s">
        <v>74</v>
      </c>
      <c r="H313" t="s">
        <v>74</v>
      </c>
      <c r="I313" t="s">
        <v>6127</v>
      </c>
      <c r="J313" t="s">
        <v>6128</v>
      </c>
      <c r="K313" t="s">
        <v>74</v>
      </c>
      <c r="L313" t="s">
        <v>74</v>
      </c>
      <c r="M313" t="s">
        <v>78</v>
      </c>
      <c r="N313" t="s">
        <v>79</v>
      </c>
      <c r="O313" t="s">
        <v>74</v>
      </c>
      <c r="P313" t="s">
        <v>74</v>
      </c>
      <c r="Q313" t="s">
        <v>74</v>
      </c>
      <c r="R313" t="s">
        <v>74</v>
      </c>
      <c r="S313" t="s">
        <v>74</v>
      </c>
      <c r="T313" t="s">
        <v>74</v>
      </c>
      <c r="U313" t="s">
        <v>6129</v>
      </c>
      <c r="V313" t="s">
        <v>6130</v>
      </c>
      <c r="W313" t="s">
        <v>6131</v>
      </c>
      <c r="X313" t="s">
        <v>6132</v>
      </c>
      <c r="Y313" t="s">
        <v>6133</v>
      </c>
      <c r="Z313" t="s">
        <v>6134</v>
      </c>
      <c r="AA313" t="s">
        <v>6135</v>
      </c>
      <c r="AB313" t="s">
        <v>6136</v>
      </c>
      <c r="AC313" t="s">
        <v>6137</v>
      </c>
      <c r="AD313" t="s">
        <v>6138</v>
      </c>
      <c r="AE313" t="s">
        <v>6139</v>
      </c>
      <c r="AF313" t="s">
        <v>74</v>
      </c>
      <c r="AG313">
        <v>40</v>
      </c>
      <c r="AH313">
        <v>98</v>
      </c>
      <c r="AI313">
        <v>111</v>
      </c>
      <c r="AJ313">
        <v>1</v>
      </c>
      <c r="AK313">
        <v>40</v>
      </c>
      <c r="AL313" t="s">
        <v>726</v>
      </c>
      <c r="AM313" t="s">
        <v>606</v>
      </c>
      <c r="AN313" t="s">
        <v>727</v>
      </c>
      <c r="AO313" t="s">
        <v>6140</v>
      </c>
      <c r="AP313" t="s">
        <v>6141</v>
      </c>
      <c r="AQ313" t="s">
        <v>74</v>
      </c>
      <c r="AR313" t="s">
        <v>6142</v>
      </c>
      <c r="AS313" t="s">
        <v>6143</v>
      </c>
      <c r="AT313" t="s">
        <v>6144</v>
      </c>
      <c r="AU313">
        <v>2009</v>
      </c>
      <c r="AV313">
        <v>81</v>
      </c>
      <c r="AW313">
        <v>5</v>
      </c>
      <c r="AX313" t="s">
        <v>74</v>
      </c>
      <c r="AY313" t="s">
        <v>74</v>
      </c>
      <c r="AZ313" t="s">
        <v>74</v>
      </c>
      <c r="BA313" t="s">
        <v>74</v>
      </c>
      <c r="BB313">
        <v>1855</v>
      </c>
      <c r="BC313">
        <v>1864</v>
      </c>
      <c r="BD313" t="s">
        <v>74</v>
      </c>
      <c r="BE313" t="s">
        <v>6145</v>
      </c>
      <c r="BF313" t="str">
        <f>HYPERLINK("http://dx.doi.org/10.1021/ac802300u","http://dx.doi.org/10.1021/ac802300u")</f>
        <v>http://dx.doi.org/10.1021/ac802300u</v>
      </c>
      <c r="BG313" t="s">
        <v>74</v>
      </c>
      <c r="BH313" t="s">
        <v>74</v>
      </c>
      <c r="BI313">
        <v>10</v>
      </c>
      <c r="BJ313" t="s">
        <v>814</v>
      </c>
      <c r="BK313" t="s">
        <v>100</v>
      </c>
      <c r="BL313" t="s">
        <v>561</v>
      </c>
      <c r="BM313" t="s">
        <v>6146</v>
      </c>
      <c r="BN313">
        <v>19193192</v>
      </c>
      <c r="BO313" t="s">
        <v>74</v>
      </c>
      <c r="BP313" t="s">
        <v>74</v>
      </c>
      <c r="BQ313" t="s">
        <v>74</v>
      </c>
      <c r="BR313" t="s">
        <v>103</v>
      </c>
      <c r="BS313" t="s">
        <v>6147</v>
      </c>
      <c r="BT313" t="str">
        <f>HYPERLINK("https%3A%2F%2Fwww.webofscience.com%2Fwos%2Fwoscc%2Ffull-record%2FWOS:000263765100023","View Full Record in Web of Science")</f>
        <v>View Full Record in Web of Science</v>
      </c>
    </row>
    <row r="314" spans="1:72" x14ac:dyDescent="0.15">
      <c r="A314" t="s">
        <v>72</v>
      </c>
      <c r="B314" t="s">
        <v>6148</v>
      </c>
      <c r="C314" t="s">
        <v>74</v>
      </c>
      <c r="D314" t="s">
        <v>74</v>
      </c>
      <c r="E314" t="s">
        <v>74</v>
      </c>
      <c r="F314" t="s">
        <v>6149</v>
      </c>
      <c r="G314" t="s">
        <v>74</v>
      </c>
      <c r="H314" t="s">
        <v>74</v>
      </c>
      <c r="I314" t="s">
        <v>6150</v>
      </c>
      <c r="J314" t="s">
        <v>6151</v>
      </c>
      <c r="K314" t="s">
        <v>74</v>
      </c>
      <c r="L314" t="s">
        <v>74</v>
      </c>
      <c r="M314" t="s">
        <v>78</v>
      </c>
      <c r="N314" t="s">
        <v>79</v>
      </c>
      <c r="O314" t="s">
        <v>74</v>
      </c>
      <c r="P314" t="s">
        <v>74</v>
      </c>
      <c r="Q314" t="s">
        <v>74</v>
      </c>
      <c r="R314" t="s">
        <v>74</v>
      </c>
      <c r="S314" t="s">
        <v>74</v>
      </c>
      <c r="T314" t="s">
        <v>74</v>
      </c>
      <c r="U314" t="s">
        <v>6152</v>
      </c>
      <c r="V314" t="s">
        <v>6153</v>
      </c>
      <c r="W314" t="s">
        <v>6154</v>
      </c>
      <c r="X314" t="s">
        <v>6155</v>
      </c>
      <c r="Y314" t="s">
        <v>6156</v>
      </c>
      <c r="Z314" t="s">
        <v>6157</v>
      </c>
      <c r="AA314" t="s">
        <v>74</v>
      </c>
      <c r="AB314" t="s">
        <v>74</v>
      </c>
      <c r="AC314" t="s">
        <v>74</v>
      </c>
      <c r="AD314" t="s">
        <v>74</v>
      </c>
      <c r="AE314" t="s">
        <v>74</v>
      </c>
      <c r="AF314" t="s">
        <v>74</v>
      </c>
      <c r="AG314">
        <v>18</v>
      </c>
      <c r="AH314">
        <v>1</v>
      </c>
      <c r="AI314">
        <v>2</v>
      </c>
      <c r="AJ314">
        <v>0</v>
      </c>
      <c r="AK314">
        <v>1</v>
      </c>
      <c r="AL314" t="s">
        <v>6158</v>
      </c>
      <c r="AM314" t="s">
        <v>6159</v>
      </c>
      <c r="AN314" t="s">
        <v>6160</v>
      </c>
      <c r="AO314" t="s">
        <v>6161</v>
      </c>
      <c r="AP314" t="s">
        <v>74</v>
      </c>
      <c r="AQ314" t="s">
        <v>74</v>
      </c>
      <c r="AR314" t="s">
        <v>6162</v>
      </c>
      <c r="AS314" t="s">
        <v>6163</v>
      </c>
      <c r="AT314" t="s">
        <v>6107</v>
      </c>
      <c r="AU314">
        <v>2009</v>
      </c>
      <c r="AV314">
        <v>58</v>
      </c>
      <c r="AW314">
        <v>1</v>
      </c>
      <c r="AX314" t="s">
        <v>74</v>
      </c>
      <c r="AY314" t="s">
        <v>74</v>
      </c>
      <c r="AZ314" t="s">
        <v>74</v>
      </c>
      <c r="BA314" t="s">
        <v>74</v>
      </c>
      <c r="BB314">
        <v>63</v>
      </c>
      <c r="BC314">
        <v>77</v>
      </c>
      <c r="BD314" t="s">
        <v>74</v>
      </c>
      <c r="BE314" t="s">
        <v>6164</v>
      </c>
      <c r="BF314" t="str">
        <f>HYPERLINK("http://dx.doi.org/10.22499/2.5801.007","http://dx.doi.org/10.22499/2.5801.007")</f>
        <v>http://dx.doi.org/10.22499/2.5801.007</v>
      </c>
      <c r="BG314" t="s">
        <v>74</v>
      </c>
      <c r="BH314" t="s">
        <v>74</v>
      </c>
      <c r="BI314">
        <v>15</v>
      </c>
      <c r="BJ314" t="s">
        <v>2824</v>
      </c>
      <c r="BK314" t="s">
        <v>100</v>
      </c>
      <c r="BL314" t="s">
        <v>2824</v>
      </c>
      <c r="BM314" t="s">
        <v>6165</v>
      </c>
      <c r="BN314" t="s">
        <v>74</v>
      </c>
      <c r="BO314" t="s">
        <v>499</v>
      </c>
      <c r="BP314" t="s">
        <v>74</v>
      </c>
      <c r="BQ314" t="s">
        <v>74</v>
      </c>
      <c r="BR314" t="s">
        <v>103</v>
      </c>
      <c r="BS314" t="s">
        <v>6166</v>
      </c>
      <c r="BT314" t="str">
        <f>HYPERLINK("https%3A%2F%2Fwww.webofscience.com%2Fwos%2Fwoscc%2Ffull-record%2FWOS:000268956100008","View Full Record in Web of Science")</f>
        <v>View Full Record in Web of Science</v>
      </c>
    </row>
    <row r="315" spans="1:72" x14ac:dyDescent="0.15">
      <c r="A315" t="s">
        <v>72</v>
      </c>
      <c r="B315" t="s">
        <v>6167</v>
      </c>
      <c r="C315" t="s">
        <v>74</v>
      </c>
      <c r="D315" t="s">
        <v>74</v>
      </c>
      <c r="E315" t="s">
        <v>74</v>
      </c>
      <c r="F315" t="s">
        <v>6168</v>
      </c>
      <c r="G315" t="s">
        <v>74</v>
      </c>
      <c r="H315" t="s">
        <v>74</v>
      </c>
      <c r="I315" t="s">
        <v>6169</v>
      </c>
      <c r="J315" t="s">
        <v>6170</v>
      </c>
      <c r="K315" t="s">
        <v>74</v>
      </c>
      <c r="L315" t="s">
        <v>74</v>
      </c>
      <c r="M315" t="s">
        <v>78</v>
      </c>
      <c r="N315" t="s">
        <v>79</v>
      </c>
      <c r="O315" t="s">
        <v>74</v>
      </c>
      <c r="P315" t="s">
        <v>74</v>
      </c>
      <c r="Q315" t="s">
        <v>74</v>
      </c>
      <c r="R315" t="s">
        <v>74</v>
      </c>
      <c r="S315" t="s">
        <v>74</v>
      </c>
      <c r="T315" t="s">
        <v>6171</v>
      </c>
      <c r="U315" t="s">
        <v>6172</v>
      </c>
      <c r="V315" t="s">
        <v>6173</v>
      </c>
      <c r="W315" t="s">
        <v>6174</v>
      </c>
      <c r="X315" t="s">
        <v>74</v>
      </c>
      <c r="Y315" t="s">
        <v>6175</v>
      </c>
      <c r="Z315" t="s">
        <v>6176</v>
      </c>
      <c r="AA315" t="s">
        <v>6177</v>
      </c>
      <c r="AB315" t="s">
        <v>6178</v>
      </c>
      <c r="AC315" t="s">
        <v>6179</v>
      </c>
      <c r="AD315" t="s">
        <v>6179</v>
      </c>
      <c r="AE315" t="s">
        <v>6180</v>
      </c>
      <c r="AF315" t="s">
        <v>74</v>
      </c>
      <c r="AG315">
        <v>75</v>
      </c>
      <c r="AH315">
        <v>25</v>
      </c>
      <c r="AI315">
        <v>29</v>
      </c>
      <c r="AJ315">
        <v>1</v>
      </c>
      <c r="AK315">
        <v>23</v>
      </c>
      <c r="AL315" t="s">
        <v>1739</v>
      </c>
      <c r="AM315" t="s">
        <v>304</v>
      </c>
      <c r="AN315" t="s">
        <v>1740</v>
      </c>
      <c r="AO315" t="s">
        <v>6181</v>
      </c>
      <c r="AP315" t="s">
        <v>6182</v>
      </c>
      <c r="AQ315" t="s">
        <v>74</v>
      </c>
      <c r="AR315" t="s">
        <v>6183</v>
      </c>
      <c r="AS315" t="s">
        <v>6184</v>
      </c>
      <c r="AT315" t="s">
        <v>6107</v>
      </c>
      <c r="AU315">
        <v>2009</v>
      </c>
      <c r="AV315">
        <v>159</v>
      </c>
      <c r="AW315">
        <v>3</v>
      </c>
      <c r="AX315" t="s">
        <v>74</v>
      </c>
      <c r="AY315" t="s">
        <v>74</v>
      </c>
      <c r="AZ315" t="s">
        <v>74</v>
      </c>
      <c r="BA315" t="s">
        <v>74</v>
      </c>
      <c r="BB315">
        <v>363</v>
      </c>
      <c r="BC315">
        <v>380</v>
      </c>
      <c r="BD315" t="s">
        <v>74</v>
      </c>
      <c r="BE315" t="s">
        <v>6185</v>
      </c>
      <c r="BF315" t="str">
        <f>HYPERLINK("http://dx.doi.org/10.1111/j.1095-8339.2009.00948.x","http://dx.doi.org/10.1111/j.1095-8339.2009.00948.x")</f>
        <v>http://dx.doi.org/10.1111/j.1095-8339.2009.00948.x</v>
      </c>
      <c r="BG315" t="s">
        <v>74</v>
      </c>
      <c r="BH315" t="s">
        <v>74</v>
      </c>
      <c r="BI315">
        <v>18</v>
      </c>
      <c r="BJ315" t="s">
        <v>2573</v>
      </c>
      <c r="BK315" t="s">
        <v>100</v>
      </c>
      <c r="BL315" t="s">
        <v>2573</v>
      </c>
      <c r="BM315" t="s">
        <v>6186</v>
      </c>
      <c r="BN315" t="s">
        <v>74</v>
      </c>
      <c r="BO315" t="s">
        <v>499</v>
      </c>
      <c r="BP315" t="s">
        <v>74</v>
      </c>
      <c r="BQ315" t="s">
        <v>74</v>
      </c>
      <c r="BR315" t="s">
        <v>103</v>
      </c>
      <c r="BS315" t="s">
        <v>6187</v>
      </c>
      <c r="BT315" t="str">
        <f>HYPERLINK("https%3A%2F%2Fwww.webofscience.com%2Fwos%2Fwoscc%2Ffull-record%2FWOS:000264184600001","View Full Record in Web of Science")</f>
        <v>View Full Record in Web of Science</v>
      </c>
    </row>
    <row r="316" spans="1:72" x14ac:dyDescent="0.15">
      <c r="A316" t="s">
        <v>72</v>
      </c>
      <c r="B316" t="s">
        <v>6188</v>
      </c>
      <c r="C316" t="s">
        <v>74</v>
      </c>
      <c r="D316" t="s">
        <v>74</v>
      </c>
      <c r="E316" t="s">
        <v>74</v>
      </c>
      <c r="F316" t="s">
        <v>6189</v>
      </c>
      <c r="G316" t="s">
        <v>74</v>
      </c>
      <c r="H316" t="s">
        <v>74</v>
      </c>
      <c r="I316" t="s">
        <v>6190</v>
      </c>
      <c r="J316" t="s">
        <v>6191</v>
      </c>
      <c r="K316" t="s">
        <v>74</v>
      </c>
      <c r="L316" t="s">
        <v>74</v>
      </c>
      <c r="M316" t="s">
        <v>78</v>
      </c>
      <c r="N316" t="s">
        <v>79</v>
      </c>
      <c r="O316" t="s">
        <v>74</v>
      </c>
      <c r="P316" t="s">
        <v>74</v>
      </c>
      <c r="Q316" t="s">
        <v>74</v>
      </c>
      <c r="R316" t="s">
        <v>74</v>
      </c>
      <c r="S316" t="s">
        <v>74</v>
      </c>
      <c r="T316" t="s">
        <v>6192</v>
      </c>
      <c r="U316" t="s">
        <v>6193</v>
      </c>
      <c r="V316" t="s">
        <v>6194</v>
      </c>
      <c r="W316" t="s">
        <v>6195</v>
      </c>
      <c r="X316" t="s">
        <v>6196</v>
      </c>
      <c r="Y316" t="s">
        <v>6197</v>
      </c>
      <c r="Z316" t="s">
        <v>6198</v>
      </c>
      <c r="AA316" t="s">
        <v>6199</v>
      </c>
      <c r="AB316" t="s">
        <v>6200</v>
      </c>
      <c r="AC316" t="s">
        <v>6201</v>
      </c>
      <c r="AD316" t="s">
        <v>6202</v>
      </c>
      <c r="AE316" t="s">
        <v>6203</v>
      </c>
      <c r="AF316" t="s">
        <v>74</v>
      </c>
      <c r="AG316">
        <v>27</v>
      </c>
      <c r="AH316">
        <v>11</v>
      </c>
      <c r="AI316">
        <v>17</v>
      </c>
      <c r="AJ316">
        <v>3</v>
      </c>
      <c r="AK316">
        <v>20</v>
      </c>
      <c r="AL316" t="s">
        <v>1070</v>
      </c>
      <c r="AM316" t="s">
        <v>1071</v>
      </c>
      <c r="AN316" t="s">
        <v>1072</v>
      </c>
      <c r="AO316" t="s">
        <v>6204</v>
      </c>
      <c r="AP316" t="s">
        <v>6205</v>
      </c>
      <c r="AQ316" t="s">
        <v>74</v>
      </c>
      <c r="AR316" t="s">
        <v>6206</v>
      </c>
      <c r="AS316" t="s">
        <v>6207</v>
      </c>
      <c r="AT316" t="s">
        <v>6107</v>
      </c>
      <c r="AU316">
        <v>2009</v>
      </c>
      <c r="AV316">
        <v>54</v>
      </c>
      <c r="AW316">
        <v>6</v>
      </c>
      <c r="AX316" t="s">
        <v>74</v>
      </c>
      <c r="AY316" t="s">
        <v>74</v>
      </c>
      <c r="AZ316" t="s">
        <v>74</v>
      </c>
      <c r="BA316" t="s">
        <v>74</v>
      </c>
      <c r="BB316">
        <v>1009</v>
      </c>
      <c r="BC316">
        <v>1011</v>
      </c>
      <c r="BD316" t="s">
        <v>74</v>
      </c>
      <c r="BE316" t="s">
        <v>6208</v>
      </c>
      <c r="BF316" t="str">
        <f>HYPERLINK("http://dx.doi.org/10.1007/s11434-009-0012-y","http://dx.doi.org/10.1007/s11434-009-0012-y")</f>
        <v>http://dx.doi.org/10.1007/s11434-009-0012-y</v>
      </c>
      <c r="BG316" t="s">
        <v>74</v>
      </c>
      <c r="BH316" t="s">
        <v>74</v>
      </c>
      <c r="BI316">
        <v>3</v>
      </c>
      <c r="BJ316" t="s">
        <v>790</v>
      </c>
      <c r="BK316" t="s">
        <v>100</v>
      </c>
      <c r="BL316" t="s">
        <v>791</v>
      </c>
      <c r="BM316" t="s">
        <v>6209</v>
      </c>
      <c r="BN316" t="s">
        <v>74</v>
      </c>
      <c r="BO316" t="s">
        <v>74</v>
      </c>
      <c r="BP316" t="s">
        <v>74</v>
      </c>
      <c r="BQ316" t="s">
        <v>74</v>
      </c>
      <c r="BR316" t="s">
        <v>103</v>
      </c>
      <c r="BS316" t="s">
        <v>6210</v>
      </c>
      <c r="BT316" t="str">
        <f>HYPERLINK("https%3A%2F%2Fwww.webofscience.com%2Fwos%2Fwoscc%2Ffull-record%2FWOS:000264174900014","View Full Record in Web of Science")</f>
        <v>View Full Record in Web of Science</v>
      </c>
    </row>
    <row r="317" spans="1:72" x14ac:dyDescent="0.15">
      <c r="A317" t="s">
        <v>72</v>
      </c>
      <c r="B317" t="s">
        <v>6211</v>
      </c>
      <c r="C317" t="s">
        <v>74</v>
      </c>
      <c r="D317" t="s">
        <v>74</v>
      </c>
      <c r="E317" t="s">
        <v>74</v>
      </c>
      <c r="F317" t="s">
        <v>6212</v>
      </c>
      <c r="G317" t="s">
        <v>74</v>
      </c>
      <c r="H317" t="s">
        <v>74</v>
      </c>
      <c r="I317" t="s">
        <v>6213</v>
      </c>
      <c r="J317" t="s">
        <v>3957</v>
      </c>
      <c r="K317" t="s">
        <v>74</v>
      </c>
      <c r="L317" t="s">
        <v>74</v>
      </c>
      <c r="M317" t="s">
        <v>78</v>
      </c>
      <c r="N317" t="s">
        <v>79</v>
      </c>
      <c r="O317" t="s">
        <v>74</v>
      </c>
      <c r="P317" t="s">
        <v>74</v>
      </c>
      <c r="Q317" t="s">
        <v>74</v>
      </c>
      <c r="R317" t="s">
        <v>74</v>
      </c>
      <c r="S317" t="s">
        <v>74</v>
      </c>
      <c r="T317" t="s">
        <v>6214</v>
      </c>
      <c r="U317" t="s">
        <v>6215</v>
      </c>
      <c r="V317" t="s">
        <v>6216</v>
      </c>
      <c r="W317" t="s">
        <v>6217</v>
      </c>
      <c r="X317" t="s">
        <v>6218</v>
      </c>
      <c r="Y317" t="s">
        <v>6219</v>
      </c>
      <c r="Z317" t="s">
        <v>6220</v>
      </c>
      <c r="AA317" t="s">
        <v>6221</v>
      </c>
      <c r="AB317" t="s">
        <v>6222</v>
      </c>
      <c r="AC317" t="s">
        <v>6223</v>
      </c>
      <c r="AD317" t="s">
        <v>6224</v>
      </c>
      <c r="AE317" t="s">
        <v>6225</v>
      </c>
      <c r="AF317" t="s">
        <v>74</v>
      </c>
      <c r="AG317">
        <v>66</v>
      </c>
      <c r="AH317">
        <v>40</v>
      </c>
      <c r="AI317">
        <v>42</v>
      </c>
      <c r="AJ317">
        <v>0</v>
      </c>
      <c r="AK317">
        <v>37</v>
      </c>
      <c r="AL317" t="s">
        <v>3964</v>
      </c>
      <c r="AM317" t="s">
        <v>92</v>
      </c>
      <c r="AN317" t="s">
        <v>3965</v>
      </c>
      <c r="AO317" t="s">
        <v>3966</v>
      </c>
      <c r="AP317" t="s">
        <v>3967</v>
      </c>
      <c r="AQ317" t="s">
        <v>74</v>
      </c>
      <c r="AR317" t="s">
        <v>3968</v>
      </c>
      <c r="AS317" t="s">
        <v>3969</v>
      </c>
      <c r="AT317" t="s">
        <v>6107</v>
      </c>
      <c r="AU317">
        <v>2009</v>
      </c>
      <c r="AV317">
        <v>152</v>
      </c>
      <c r="AW317">
        <v>3</v>
      </c>
      <c r="AX317" t="s">
        <v>74</v>
      </c>
      <c r="AY317" t="s">
        <v>74</v>
      </c>
      <c r="AZ317" t="s">
        <v>74</v>
      </c>
      <c r="BA317" t="s">
        <v>74</v>
      </c>
      <c r="BB317">
        <v>423</v>
      </c>
      <c r="BC317">
        <v>430</v>
      </c>
      <c r="BD317" t="s">
        <v>74</v>
      </c>
      <c r="BE317" t="s">
        <v>6226</v>
      </c>
      <c r="BF317" t="str">
        <f>HYPERLINK("http://dx.doi.org/10.1016/j.cbpa.2008.11.015","http://dx.doi.org/10.1016/j.cbpa.2008.11.015")</f>
        <v>http://dx.doi.org/10.1016/j.cbpa.2008.11.015</v>
      </c>
      <c r="BG317" t="s">
        <v>74</v>
      </c>
      <c r="BH317" t="s">
        <v>74</v>
      </c>
      <c r="BI317">
        <v>8</v>
      </c>
      <c r="BJ317" t="s">
        <v>3971</v>
      </c>
      <c r="BK317" t="s">
        <v>100</v>
      </c>
      <c r="BL317" t="s">
        <v>3971</v>
      </c>
      <c r="BM317" t="s">
        <v>6227</v>
      </c>
      <c r="BN317">
        <v>19100332</v>
      </c>
      <c r="BO317" t="s">
        <v>74</v>
      </c>
      <c r="BP317" t="s">
        <v>74</v>
      </c>
      <c r="BQ317" t="s">
        <v>74</v>
      </c>
      <c r="BR317" t="s">
        <v>103</v>
      </c>
      <c r="BS317" t="s">
        <v>6228</v>
      </c>
      <c r="BT317" t="str">
        <f>HYPERLINK("https%3A%2F%2Fwww.webofscience.com%2Fwos%2Fwoscc%2Ffull-record%2FWOS:000263779800019","View Full Record in Web of Science")</f>
        <v>View Full Record in Web of Science</v>
      </c>
    </row>
    <row r="318" spans="1:72" x14ac:dyDescent="0.15">
      <c r="A318" t="s">
        <v>72</v>
      </c>
      <c r="B318" t="s">
        <v>6229</v>
      </c>
      <c r="C318" t="s">
        <v>74</v>
      </c>
      <c r="D318" t="s">
        <v>74</v>
      </c>
      <c r="E318" t="s">
        <v>74</v>
      </c>
      <c r="F318" t="s">
        <v>6230</v>
      </c>
      <c r="G318" t="s">
        <v>74</v>
      </c>
      <c r="H318" t="s">
        <v>74</v>
      </c>
      <c r="I318" t="s">
        <v>6231</v>
      </c>
      <c r="J318" t="s">
        <v>6232</v>
      </c>
      <c r="K318" t="s">
        <v>74</v>
      </c>
      <c r="L318" t="s">
        <v>74</v>
      </c>
      <c r="M318" t="s">
        <v>78</v>
      </c>
      <c r="N318" t="s">
        <v>79</v>
      </c>
      <c r="O318" t="s">
        <v>74</v>
      </c>
      <c r="P318" t="s">
        <v>74</v>
      </c>
      <c r="Q318" t="s">
        <v>74</v>
      </c>
      <c r="R318" t="s">
        <v>74</v>
      </c>
      <c r="S318" t="s">
        <v>74</v>
      </c>
      <c r="T318" t="s">
        <v>74</v>
      </c>
      <c r="U318" t="s">
        <v>6233</v>
      </c>
      <c r="V318" t="s">
        <v>74</v>
      </c>
      <c r="W318" t="s">
        <v>6234</v>
      </c>
      <c r="X318" t="s">
        <v>6235</v>
      </c>
      <c r="Y318" t="s">
        <v>6236</v>
      </c>
      <c r="Z318" t="s">
        <v>74</v>
      </c>
      <c r="AA318" t="s">
        <v>74</v>
      </c>
      <c r="AB318" t="s">
        <v>74</v>
      </c>
      <c r="AC318" t="s">
        <v>74</v>
      </c>
      <c r="AD318" t="s">
        <v>74</v>
      </c>
      <c r="AE318" t="s">
        <v>74</v>
      </c>
      <c r="AF318" t="s">
        <v>74</v>
      </c>
      <c r="AG318">
        <v>60</v>
      </c>
      <c r="AH318">
        <v>3</v>
      </c>
      <c r="AI318">
        <v>4</v>
      </c>
      <c r="AJ318">
        <v>0</v>
      </c>
      <c r="AK318">
        <v>2</v>
      </c>
      <c r="AL318" t="s">
        <v>6237</v>
      </c>
      <c r="AM318" t="s">
        <v>6238</v>
      </c>
      <c r="AN318" t="s">
        <v>6239</v>
      </c>
      <c r="AO318" t="s">
        <v>6240</v>
      </c>
      <c r="AP318" t="s">
        <v>6241</v>
      </c>
      <c r="AQ318" t="s">
        <v>74</v>
      </c>
      <c r="AR318" t="s">
        <v>6242</v>
      </c>
      <c r="AS318" t="s">
        <v>6243</v>
      </c>
      <c r="AT318" t="s">
        <v>6244</v>
      </c>
      <c r="AU318">
        <v>2009</v>
      </c>
      <c r="AV318">
        <v>42</v>
      </c>
      <c r="AW318">
        <v>2</v>
      </c>
      <c r="AX318" t="s">
        <v>74</v>
      </c>
      <c r="AY318" t="s">
        <v>74</v>
      </c>
      <c r="AZ318" t="s">
        <v>74</v>
      </c>
      <c r="BA318" t="s">
        <v>74</v>
      </c>
      <c r="BB318">
        <v>271</v>
      </c>
      <c r="BC318">
        <v>299</v>
      </c>
      <c r="BD318" t="s">
        <v>74</v>
      </c>
      <c r="BE318" t="s">
        <v>74</v>
      </c>
      <c r="BF318" t="s">
        <v>74</v>
      </c>
      <c r="BG318" t="s">
        <v>74</v>
      </c>
      <c r="BH318" t="s">
        <v>74</v>
      </c>
      <c r="BI318">
        <v>29</v>
      </c>
      <c r="BJ318" t="s">
        <v>6245</v>
      </c>
      <c r="BK318" t="s">
        <v>6246</v>
      </c>
      <c r="BL318" t="s">
        <v>6247</v>
      </c>
      <c r="BM318" t="s">
        <v>6248</v>
      </c>
      <c r="BN318" t="s">
        <v>74</v>
      </c>
      <c r="BO318" t="s">
        <v>74</v>
      </c>
      <c r="BP318" t="s">
        <v>74</v>
      </c>
      <c r="BQ318" t="s">
        <v>74</v>
      </c>
      <c r="BR318" t="s">
        <v>103</v>
      </c>
      <c r="BS318" t="s">
        <v>6249</v>
      </c>
      <c r="BT318" t="str">
        <f>HYPERLINK("https%3A%2F%2Fwww.webofscience.com%2Fwos%2Fwoscc%2Ffull-record%2FWOS:000272508600006","View Full Record in Web of Science")</f>
        <v>View Full Record in Web of Science</v>
      </c>
    </row>
    <row r="319" spans="1:72" x14ac:dyDescent="0.15">
      <c r="A319" t="s">
        <v>72</v>
      </c>
      <c r="B319" t="s">
        <v>6250</v>
      </c>
      <c r="C319" t="s">
        <v>74</v>
      </c>
      <c r="D319" t="s">
        <v>74</v>
      </c>
      <c r="E319" t="s">
        <v>74</v>
      </c>
      <c r="F319" t="s">
        <v>6251</v>
      </c>
      <c r="G319" t="s">
        <v>74</v>
      </c>
      <c r="H319" t="s">
        <v>74</v>
      </c>
      <c r="I319" t="s">
        <v>6252</v>
      </c>
      <c r="J319" t="s">
        <v>1459</v>
      </c>
      <c r="K319" t="s">
        <v>74</v>
      </c>
      <c r="L319" t="s">
        <v>74</v>
      </c>
      <c r="M319" t="s">
        <v>78</v>
      </c>
      <c r="N319" t="s">
        <v>79</v>
      </c>
      <c r="O319" t="s">
        <v>74</v>
      </c>
      <c r="P319" t="s">
        <v>74</v>
      </c>
      <c r="Q319" t="s">
        <v>74</v>
      </c>
      <c r="R319" t="s">
        <v>74</v>
      </c>
      <c r="S319" t="s">
        <v>74</v>
      </c>
      <c r="T319" t="s">
        <v>6253</v>
      </c>
      <c r="U319" t="s">
        <v>6254</v>
      </c>
      <c r="V319" t="s">
        <v>6255</v>
      </c>
      <c r="W319" t="s">
        <v>6256</v>
      </c>
      <c r="X319" t="s">
        <v>6257</v>
      </c>
      <c r="Y319" t="s">
        <v>6258</v>
      </c>
      <c r="Z319" t="s">
        <v>6259</v>
      </c>
      <c r="AA319" t="s">
        <v>6260</v>
      </c>
      <c r="AB319" t="s">
        <v>6261</v>
      </c>
      <c r="AC319" t="s">
        <v>6262</v>
      </c>
      <c r="AD319" t="s">
        <v>6262</v>
      </c>
      <c r="AE319" t="s">
        <v>6263</v>
      </c>
      <c r="AF319" t="s">
        <v>74</v>
      </c>
      <c r="AG319">
        <v>38</v>
      </c>
      <c r="AH319">
        <v>2</v>
      </c>
      <c r="AI319">
        <v>2</v>
      </c>
      <c r="AJ319">
        <v>0</v>
      </c>
      <c r="AK319">
        <v>6</v>
      </c>
      <c r="AL319" t="s">
        <v>303</v>
      </c>
      <c r="AM319" t="s">
        <v>304</v>
      </c>
      <c r="AN319" t="s">
        <v>305</v>
      </c>
      <c r="AO319" t="s">
        <v>1470</v>
      </c>
      <c r="AP319" t="s">
        <v>74</v>
      </c>
      <c r="AQ319" t="s">
        <v>74</v>
      </c>
      <c r="AR319" t="s">
        <v>1472</v>
      </c>
      <c r="AS319" t="s">
        <v>1473</v>
      </c>
      <c r="AT319" t="s">
        <v>6107</v>
      </c>
      <c r="AU319">
        <v>2009</v>
      </c>
      <c r="AV319">
        <v>56</v>
      </c>
      <c r="AW319">
        <v>3</v>
      </c>
      <c r="AX319" t="s">
        <v>74</v>
      </c>
      <c r="AY319" t="s">
        <v>74</v>
      </c>
      <c r="AZ319" t="s">
        <v>74</v>
      </c>
      <c r="BA319" t="s">
        <v>74</v>
      </c>
      <c r="BB319">
        <v>314</v>
      </c>
      <c r="BC319">
        <v>329</v>
      </c>
      <c r="BD319" t="s">
        <v>74</v>
      </c>
      <c r="BE319" t="s">
        <v>6264</v>
      </c>
      <c r="BF319" t="str">
        <f>HYPERLINK("http://dx.doi.org/10.1016/j.dsr.2008.10.005","http://dx.doi.org/10.1016/j.dsr.2008.10.005")</f>
        <v>http://dx.doi.org/10.1016/j.dsr.2008.10.005</v>
      </c>
      <c r="BG319" t="s">
        <v>74</v>
      </c>
      <c r="BH319" t="s">
        <v>74</v>
      </c>
      <c r="BI319">
        <v>16</v>
      </c>
      <c r="BJ319" t="s">
        <v>689</v>
      </c>
      <c r="BK319" t="s">
        <v>100</v>
      </c>
      <c r="BL319" t="s">
        <v>689</v>
      </c>
      <c r="BM319" t="s">
        <v>6265</v>
      </c>
      <c r="BN319" t="s">
        <v>74</v>
      </c>
      <c r="BO319" t="s">
        <v>74</v>
      </c>
      <c r="BP319" t="s">
        <v>74</v>
      </c>
      <c r="BQ319" t="s">
        <v>74</v>
      </c>
      <c r="BR319" t="s">
        <v>103</v>
      </c>
      <c r="BS319" t="s">
        <v>6266</v>
      </c>
      <c r="BT319" t="str">
        <f>HYPERLINK("https%3A%2F%2Fwww.webofscience.com%2Fwos%2Fwoscc%2Ffull-record%2FWOS:000263657200003","View Full Record in Web of Science")</f>
        <v>View Full Record in Web of Science</v>
      </c>
    </row>
    <row r="320" spans="1:72" x14ac:dyDescent="0.15">
      <c r="A320" t="s">
        <v>72</v>
      </c>
      <c r="B320" t="s">
        <v>6267</v>
      </c>
      <c r="C320" t="s">
        <v>74</v>
      </c>
      <c r="D320" t="s">
        <v>74</v>
      </c>
      <c r="E320" t="s">
        <v>74</v>
      </c>
      <c r="F320" t="s">
        <v>6268</v>
      </c>
      <c r="G320" t="s">
        <v>74</v>
      </c>
      <c r="H320" t="s">
        <v>74</v>
      </c>
      <c r="I320" t="s">
        <v>6269</v>
      </c>
      <c r="J320" t="s">
        <v>6270</v>
      </c>
      <c r="K320" t="s">
        <v>74</v>
      </c>
      <c r="L320" t="s">
        <v>74</v>
      </c>
      <c r="M320" t="s">
        <v>78</v>
      </c>
      <c r="N320" t="s">
        <v>79</v>
      </c>
      <c r="O320" t="s">
        <v>74</v>
      </c>
      <c r="P320" t="s">
        <v>74</v>
      </c>
      <c r="Q320" t="s">
        <v>74</v>
      </c>
      <c r="R320" t="s">
        <v>74</v>
      </c>
      <c r="S320" t="s">
        <v>74</v>
      </c>
      <c r="T320" t="s">
        <v>74</v>
      </c>
      <c r="U320" t="s">
        <v>6271</v>
      </c>
      <c r="V320" t="s">
        <v>6272</v>
      </c>
      <c r="W320" t="s">
        <v>6273</v>
      </c>
      <c r="X320" t="s">
        <v>6274</v>
      </c>
      <c r="Y320" t="s">
        <v>6275</v>
      </c>
      <c r="Z320" t="s">
        <v>6276</v>
      </c>
      <c r="AA320" t="s">
        <v>6277</v>
      </c>
      <c r="AB320" t="s">
        <v>6278</v>
      </c>
      <c r="AC320" t="s">
        <v>6279</v>
      </c>
      <c r="AD320" t="s">
        <v>6280</v>
      </c>
      <c r="AE320" t="s">
        <v>6281</v>
      </c>
      <c r="AF320" t="s">
        <v>74</v>
      </c>
      <c r="AG320">
        <v>53</v>
      </c>
      <c r="AH320">
        <v>29</v>
      </c>
      <c r="AI320">
        <v>34</v>
      </c>
      <c r="AJ320">
        <v>0</v>
      </c>
      <c r="AK320">
        <v>22</v>
      </c>
      <c r="AL320" t="s">
        <v>489</v>
      </c>
      <c r="AM320" t="s">
        <v>490</v>
      </c>
      <c r="AN320" t="s">
        <v>491</v>
      </c>
      <c r="AO320" t="s">
        <v>6282</v>
      </c>
      <c r="AP320" t="s">
        <v>6283</v>
      </c>
      <c r="AQ320" t="s">
        <v>74</v>
      </c>
      <c r="AR320" t="s">
        <v>6284</v>
      </c>
      <c r="AS320" t="s">
        <v>6285</v>
      </c>
      <c r="AT320" t="s">
        <v>6107</v>
      </c>
      <c r="AU320">
        <v>2009</v>
      </c>
      <c r="AV320">
        <v>11</v>
      </c>
      <c r="AW320">
        <v>3</v>
      </c>
      <c r="AX320" t="s">
        <v>74</v>
      </c>
      <c r="AY320" t="s">
        <v>74</v>
      </c>
      <c r="AZ320" t="s">
        <v>74</v>
      </c>
      <c r="BA320" t="s">
        <v>74</v>
      </c>
      <c r="BB320">
        <v>554</v>
      </c>
      <c r="BC320">
        <v>565</v>
      </c>
      <c r="BD320" t="s">
        <v>74</v>
      </c>
      <c r="BE320" t="s">
        <v>6286</v>
      </c>
      <c r="BF320" t="str">
        <f>HYPERLINK("http://dx.doi.org/10.1111/j.1462-2920.2008.01787.x","http://dx.doi.org/10.1111/j.1462-2920.2008.01787.x")</f>
        <v>http://dx.doi.org/10.1111/j.1462-2920.2008.01787.x</v>
      </c>
      <c r="BG320" t="s">
        <v>74</v>
      </c>
      <c r="BH320" t="s">
        <v>74</v>
      </c>
      <c r="BI320">
        <v>12</v>
      </c>
      <c r="BJ320" t="s">
        <v>2749</v>
      </c>
      <c r="BK320" t="s">
        <v>100</v>
      </c>
      <c r="BL320" t="s">
        <v>2749</v>
      </c>
      <c r="BM320" t="s">
        <v>6287</v>
      </c>
      <c r="BN320">
        <v>19278444</v>
      </c>
      <c r="BO320" t="s">
        <v>499</v>
      </c>
      <c r="BP320" t="s">
        <v>74</v>
      </c>
      <c r="BQ320" t="s">
        <v>74</v>
      </c>
      <c r="BR320" t="s">
        <v>103</v>
      </c>
      <c r="BS320" t="s">
        <v>6288</v>
      </c>
      <c r="BT320" t="str">
        <f>HYPERLINK("https%3A%2F%2Fwww.webofscience.com%2Fwos%2Fwoscc%2Ffull-record%2FWOS:000263755700002","View Full Record in Web of Science")</f>
        <v>View Full Record in Web of Science</v>
      </c>
    </row>
    <row r="321" spans="1:72" x14ac:dyDescent="0.15">
      <c r="A321" t="s">
        <v>72</v>
      </c>
      <c r="B321" t="s">
        <v>6289</v>
      </c>
      <c r="C321" t="s">
        <v>74</v>
      </c>
      <c r="D321" t="s">
        <v>74</v>
      </c>
      <c r="E321" t="s">
        <v>74</v>
      </c>
      <c r="F321" t="s">
        <v>6290</v>
      </c>
      <c r="G321" t="s">
        <v>74</v>
      </c>
      <c r="H321" t="s">
        <v>74</v>
      </c>
      <c r="I321" t="s">
        <v>6291</v>
      </c>
      <c r="J321" t="s">
        <v>6270</v>
      </c>
      <c r="K321" t="s">
        <v>74</v>
      </c>
      <c r="L321" t="s">
        <v>74</v>
      </c>
      <c r="M321" t="s">
        <v>78</v>
      </c>
      <c r="N321" t="s">
        <v>79</v>
      </c>
      <c r="O321" t="s">
        <v>74</v>
      </c>
      <c r="P321" t="s">
        <v>74</v>
      </c>
      <c r="Q321" t="s">
        <v>74</v>
      </c>
      <c r="R321" t="s">
        <v>74</v>
      </c>
      <c r="S321" t="s">
        <v>74</v>
      </c>
      <c r="T321" t="s">
        <v>74</v>
      </c>
      <c r="U321" t="s">
        <v>6292</v>
      </c>
      <c r="V321" t="s">
        <v>6293</v>
      </c>
      <c r="W321" t="s">
        <v>6294</v>
      </c>
      <c r="X321" t="s">
        <v>6295</v>
      </c>
      <c r="Y321" t="s">
        <v>6296</v>
      </c>
      <c r="Z321" t="s">
        <v>6297</v>
      </c>
      <c r="AA321" t="s">
        <v>6298</v>
      </c>
      <c r="AB321" t="s">
        <v>6299</v>
      </c>
      <c r="AC321" t="s">
        <v>6300</v>
      </c>
      <c r="AD321" t="s">
        <v>6301</v>
      </c>
      <c r="AE321" t="s">
        <v>6302</v>
      </c>
      <c r="AF321" t="s">
        <v>74</v>
      </c>
      <c r="AG321">
        <v>59</v>
      </c>
      <c r="AH321">
        <v>100</v>
      </c>
      <c r="AI321">
        <v>114</v>
      </c>
      <c r="AJ321">
        <v>1</v>
      </c>
      <c r="AK321">
        <v>43</v>
      </c>
      <c r="AL321" t="s">
        <v>489</v>
      </c>
      <c r="AM321" t="s">
        <v>490</v>
      </c>
      <c r="AN321" t="s">
        <v>491</v>
      </c>
      <c r="AO321" t="s">
        <v>6282</v>
      </c>
      <c r="AP321" t="s">
        <v>6283</v>
      </c>
      <c r="AQ321" t="s">
        <v>74</v>
      </c>
      <c r="AR321" t="s">
        <v>6284</v>
      </c>
      <c r="AS321" t="s">
        <v>6285</v>
      </c>
      <c r="AT321" t="s">
        <v>6107</v>
      </c>
      <c r="AU321">
        <v>2009</v>
      </c>
      <c r="AV321">
        <v>11</v>
      </c>
      <c r="AW321">
        <v>3</v>
      </c>
      <c r="AX321" t="s">
        <v>74</v>
      </c>
      <c r="AY321" t="s">
        <v>74</v>
      </c>
      <c r="AZ321" t="s">
        <v>74</v>
      </c>
      <c r="BA321" t="s">
        <v>74</v>
      </c>
      <c r="BB321">
        <v>566</v>
      </c>
      <c r="BC321">
        <v>576</v>
      </c>
      <c r="BD321" t="s">
        <v>74</v>
      </c>
      <c r="BE321" t="s">
        <v>6303</v>
      </c>
      <c r="BF321" t="str">
        <f>HYPERLINK("http://dx.doi.org/10.1111/j.1462-2920.2008.01809.x","http://dx.doi.org/10.1111/j.1462-2920.2008.01809.x")</f>
        <v>http://dx.doi.org/10.1111/j.1462-2920.2008.01809.x</v>
      </c>
      <c r="BG321" t="s">
        <v>74</v>
      </c>
      <c r="BH321" t="s">
        <v>74</v>
      </c>
      <c r="BI321">
        <v>11</v>
      </c>
      <c r="BJ321" t="s">
        <v>2749</v>
      </c>
      <c r="BK321" t="s">
        <v>100</v>
      </c>
      <c r="BL321" t="s">
        <v>2749</v>
      </c>
      <c r="BM321" t="s">
        <v>6287</v>
      </c>
      <c r="BN321">
        <v>19278445</v>
      </c>
      <c r="BO321" t="s">
        <v>499</v>
      </c>
      <c r="BP321" t="s">
        <v>74</v>
      </c>
      <c r="BQ321" t="s">
        <v>74</v>
      </c>
      <c r="BR321" t="s">
        <v>103</v>
      </c>
      <c r="BS321" t="s">
        <v>6304</v>
      </c>
      <c r="BT321" t="str">
        <f>HYPERLINK("https%3A%2F%2Fwww.webofscience.com%2Fwos%2Fwoscc%2Ffull-record%2FWOS:000263755700003","View Full Record in Web of Science")</f>
        <v>View Full Record in Web of Science</v>
      </c>
    </row>
    <row r="322" spans="1:72" x14ac:dyDescent="0.15">
      <c r="A322" t="s">
        <v>72</v>
      </c>
      <c r="B322" t="s">
        <v>6305</v>
      </c>
      <c r="C322" t="s">
        <v>74</v>
      </c>
      <c r="D322" t="s">
        <v>74</v>
      </c>
      <c r="E322" t="s">
        <v>74</v>
      </c>
      <c r="F322" t="s">
        <v>6306</v>
      </c>
      <c r="G322" t="s">
        <v>74</v>
      </c>
      <c r="H322" t="s">
        <v>74</v>
      </c>
      <c r="I322" t="s">
        <v>6307</v>
      </c>
      <c r="J322" t="s">
        <v>6270</v>
      </c>
      <c r="K322" t="s">
        <v>74</v>
      </c>
      <c r="L322" t="s">
        <v>74</v>
      </c>
      <c r="M322" t="s">
        <v>78</v>
      </c>
      <c r="N322" t="s">
        <v>79</v>
      </c>
      <c r="O322" t="s">
        <v>74</v>
      </c>
      <c r="P322" t="s">
        <v>74</v>
      </c>
      <c r="Q322" t="s">
        <v>74</v>
      </c>
      <c r="R322" t="s">
        <v>74</v>
      </c>
      <c r="S322" t="s">
        <v>74</v>
      </c>
      <c r="T322" t="s">
        <v>74</v>
      </c>
      <c r="U322" t="s">
        <v>6308</v>
      </c>
      <c r="V322" t="s">
        <v>6309</v>
      </c>
      <c r="W322" t="s">
        <v>6310</v>
      </c>
      <c r="X322" t="s">
        <v>6311</v>
      </c>
      <c r="Y322" t="s">
        <v>6312</v>
      </c>
      <c r="Z322" t="s">
        <v>6313</v>
      </c>
      <c r="AA322" t="s">
        <v>6314</v>
      </c>
      <c r="AB322" t="s">
        <v>6315</v>
      </c>
      <c r="AC322" t="s">
        <v>6316</v>
      </c>
      <c r="AD322" t="s">
        <v>6317</v>
      </c>
      <c r="AE322" t="s">
        <v>6318</v>
      </c>
      <c r="AF322" t="s">
        <v>74</v>
      </c>
      <c r="AG322">
        <v>66</v>
      </c>
      <c r="AH322">
        <v>60</v>
      </c>
      <c r="AI322">
        <v>72</v>
      </c>
      <c r="AJ322">
        <v>1</v>
      </c>
      <c r="AK322">
        <v>38</v>
      </c>
      <c r="AL322" t="s">
        <v>489</v>
      </c>
      <c r="AM322" t="s">
        <v>490</v>
      </c>
      <c r="AN322" t="s">
        <v>491</v>
      </c>
      <c r="AO322" t="s">
        <v>6282</v>
      </c>
      <c r="AP322" t="s">
        <v>6283</v>
      </c>
      <c r="AQ322" t="s">
        <v>74</v>
      </c>
      <c r="AR322" t="s">
        <v>6284</v>
      </c>
      <c r="AS322" t="s">
        <v>6285</v>
      </c>
      <c r="AT322" t="s">
        <v>6107</v>
      </c>
      <c r="AU322">
        <v>2009</v>
      </c>
      <c r="AV322">
        <v>11</v>
      </c>
      <c r="AW322">
        <v>3</v>
      </c>
      <c r="AX322" t="s">
        <v>74</v>
      </c>
      <c r="AY322" t="s">
        <v>74</v>
      </c>
      <c r="AZ322" t="s">
        <v>74</v>
      </c>
      <c r="BA322" t="s">
        <v>74</v>
      </c>
      <c r="BB322">
        <v>577</v>
      </c>
      <c r="BC322">
        <v>588</v>
      </c>
      <c r="BD322" t="s">
        <v>74</v>
      </c>
      <c r="BE322" t="s">
        <v>6319</v>
      </c>
      <c r="BF322" t="str">
        <f>HYPERLINK("http://dx.doi.org/10.1111/j.1462-2920.2008.01816.x","http://dx.doi.org/10.1111/j.1462-2920.2008.01816.x")</f>
        <v>http://dx.doi.org/10.1111/j.1462-2920.2008.01816.x</v>
      </c>
      <c r="BG322" t="s">
        <v>74</v>
      </c>
      <c r="BH322" t="s">
        <v>74</v>
      </c>
      <c r="BI322">
        <v>12</v>
      </c>
      <c r="BJ322" t="s">
        <v>2749</v>
      </c>
      <c r="BK322" t="s">
        <v>100</v>
      </c>
      <c r="BL322" t="s">
        <v>2749</v>
      </c>
      <c r="BM322" t="s">
        <v>6287</v>
      </c>
      <c r="BN322">
        <v>19040454</v>
      </c>
      <c r="BO322" t="s">
        <v>499</v>
      </c>
      <c r="BP322" t="s">
        <v>74</v>
      </c>
      <c r="BQ322" t="s">
        <v>74</v>
      </c>
      <c r="BR322" t="s">
        <v>103</v>
      </c>
      <c r="BS322" t="s">
        <v>6320</v>
      </c>
      <c r="BT322" t="str">
        <f>HYPERLINK("https%3A%2F%2Fwww.webofscience.com%2Fwos%2Fwoscc%2Ffull-record%2FWOS:000263755700004","View Full Record in Web of Science")</f>
        <v>View Full Record in Web of Science</v>
      </c>
    </row>
    <row r="323" spans="1:72" x14ac:dyDescent="0.15">
      <c r="A323" t="s">
        <v>72</v>
      </c>
      <c r="B323" t="s">
        <v>6321</v>
      </c>
      <c r="C323" t="s">
        <v>74</v>
      </c>
      <c r="D323" t="s">
        <v>74</v>
      </c>
      <c r="E323" t="s">
        <v>74</v>
      </c>
      <c r="F323" t="s">
        <v>6322</v>
      </c>
      <c r="G323" t="s">
        <v>74</v>
      </c>
      <c r="H323" t="s">
        <v>74</v>
      </c>
      <c r="I323" t="s">
        <v>6323</v>
      </c>
      <c r="J323" t="s">
        <v>6270</v>
      </c>
      <c r="K323" t="s">
        <v>74</v>
      </c>
      <c r="L323" t="s">
        <v>74</v>
      </c>
      <c r="M323" t="s">
        <v>78</v>
      </c>
      <c r="N323" t="s">
        <v>79</v>
      </c>
      <c r="O323" t="s">
        <v>74</v>
      </c>
      <c r="P323" t="s">
        <v>74</v>
      </c>
      <c r="Q323" t="s">
        <v>74</v>
      </c>
      <c r="R323" t="s">
        <v>74</v>
      </c>
      <c r="S323" t="s">
        <v>74</v>
      </c>
      <c r="T323" t="s">
        <v>74</v>
      </c>
      <c r="U323" t="s">
        <v>6324</v>
      </c>
      <c r="V323" t="s">
        <v>6325</v>
      </c>
      <c r="W323" t="s">
        <v>6326</v>
      </c>
      <c r="X323" t="s">
        <v>6327</v>
      </c>
      <c r="Y323" t="s">
        <v>6328</v>
      </c>
      <c r="Z323" t="s">
        <v>6329</v>
      </c>
      <c r="AA323" t="s">
        <v>6330</v>
      </c>
      <c r="AB323" t="s">
        <v>6331</v>
      </c>
      <c r="AC323" t="s">
        <v>6332</v>
      </c>
      <c r="AD323" t="s">
        <v>6333</v>
      </c>
      <c r="AE323" t="s">
        <v>6334</v>
      </c>
      <c r="AF323" t="s">
        <v>74</v>
      </c>
      <c r="AG323">
        <v>41</v>
      </c>
      <c r="AH323">
        <v>35</v>
      </c>
      <c r="AI323">
        <v>36</v>
      </c>
      <c r="AJ323">
        <v>0</v>
      </c>
      <c r="AK323">
        <v>31</v>
      </c>
      <c r="AL323" t="s">
        <v>489</v>
      </c>
      <c r="AM323" t="s">
        <v>490</v>
      </c>
      <c r="AN323" t="s">
        <v>491</v>
      </c>
      <c r="AO323" t="s">
        <v>6282</v>
      </c>
      <c r="AP323" t="s">
        <v>6283</v>
      </c>
      <c r="AQ323" t="s">
        <v>74</v>
      </c>
      <c r="AR323" t="s">
        <v>6284</v>
      </c>
      <c r="AS323" t="s">
        <v>6285</v>
      </c>
      <c r="AT323" t="s">
        <v>6107</v>
      </c>
      <c r="AU323">
        <v>2009</v>
      </c>
      <c r="AV323">
        <v>11</v>
      </c>
      <c r="AW323">
        <v>3</v>
      </c>
      <c r="AX323" t="s">
        <v>74</v>
      </c>
      <c r="AY323" t="s">
        <v>74</v>
      </c>
      <c r="AZ323" t="s">
        <v>74</v>
      </c>
      <c r="BA323" t="s">
        <v>74</v>
      </c>
      <c r="BB323">
        <v>589</v>
      </c>
      <c r="BC323">
        <v>596</v>
      </c>
      <c r="BD323" t="s">
        <v>74</v>
      </c>
      <c r="BE323" t="s">
        <v>6335</v>
      </c>
      <c r="BF323" t="str">
        <f>HYPERLINK("http://dx.doi.org/10.1111/j.1462-2920.2008.01829.x","http://dx.doi.org/10.1111/j.1462-2920.2008.01829.x")</f>
        <v>http://dx.doi.org/10.1111/j.1462-2920.2008.01829.x</v>
      </c>
      <c r="BG323" t="s">
        <v>74</v>
      </c>
      <c r="BH323" t="s">
        <v>74</v>
      </c>
      <c r="BI323">
        <v>8</v>
      </c>
      <c r="BJ323" t="s">
        <v>2749</v>
      </c>
      <c r="BK323" t="s">
        <v>100</v>
      </c>
      <c r="BL323" t="s">
        <v>2749</v>
      </c>
      <c r="BM323" t="s">
        <v>6287</v>
      </c>
      <c r="BN323">
        <v>19077008</v>
      </c>
      <c r="BO323" t="s">
        <v>499</v>
      </c>
      <c r="BP323" t="s">
        <v>74</v>
      </c>
      <c r="BQ323" t="s">
        <v>74</v>
      </c>
      <c r="BR323" t="s">
        <v>103</v>
      </c>
      <c r="BS323" t="s">
        <v>6336</v>
      </c>
      <c r="BT323" t="str">
        <f>HYPERLINK("https%3A%2F%2Fwww.webofscience.com%2Fwos%2Fwoscc%2Ffull-record%2FWOS:000263755700005","View Full Record in Web of Science")</f>
        <v>View Full Record in Web of Science</v>
      </c>
    </row>
    <row r="324" spans="1:72" x14ac:dyDescent="0.15">
      <c r="A324" t="s">
        <v>72</v>
      </c>
      <c r="B324" t="s">
        <v>6337</v>
      </c>
      <c r="C324" t="s">
        <v>74</v>
      </c>
      <c r="D324" t="s">
        <v>74</v>
      </c>
      <c r="E324" t="s">
        <v>74</v>
      </c>
      <c r="F324" t="s">
        <v>6338</v>
      </c>
      <c r="G324" t="s">
        <v>74</v>
      </c>
      <c r="H324" t="s">
        <v>74</v>
      </c>
      <c r="I324" t="s">
        <v>6339</v>
      </c>
      <c r="J324" t="s">
        <v>6270</v>
      </c>
      <c r="K324" t="s">
        <v>74</v>
      </c>
      <c r="L324" t="s">
        <v>74</v>
      </c>
      <c r="M324" t="s">
        <v>78</v>
      </c>
      <c r="N324" t="s">
        <v>79</v>
      </c>
      <c r="O324" t="s">
        <v>74</v>
      </c>
      <c r="P324" t="s">
        <v>74</v>
      </c>
      <c r="Q324" t="s">
        <v>74</v>
      </c>
      <c r="R324" t="s">
        <v>74</v>
      </c>
      <c r="S324" t="s">
        <v>74</v>
      </c>
      <c r="T324" t="s">
        <v>74</v>
      </c>
      <c r="U324" t="s">
        <v>6340</v>
      </c>
      <c r="V324" t="s">
        <v>6341</v>
      </c>
      <c r="W324" t="s">
        <v>6342</v>
      </c>
      <c r="X324" t="s">
        <v>6343</v>
      </c>
      <c r="Y324" t="s">
        <v>6344</v>
      </c>
      <c r="Z324" t="s">
        <v>6345</v>
      </c>
      <c r="AA324" t="s">
        <v>6346</v>
      </c>
      <c r="AB324" t="s">
        <v>6347</v>
      </c>
      <c r="AC324" t="s">
        <v>6348</v>
      </c>
      <c r="AD324" t="s">
        <v>6349</v>
      </c>
      <c r="AE324" t="s">
        <v>6350</v>
      </c>
      <c r="AF324" t="s">
        <v>74</v>
      </c>
      <c r="AG324">
        <v>74</v>
      </c>
      <c r="AH324">
        <v>52</v>
      </c>
      <c r="AI324">
        <v>57</v>
      </c>
      <c r="AJ324">
        <v>4</v>
      </c>
      <c r="AK324">
        <v>35</v>
      </c>
      <c r="AL324" t="s">
        <v>1847</v>
      </c>
      <c r="AM324" t="s">
        <v>1848</v>
      </c>
      <c r="AN324" t="s">
        <v>1849</v>
      </c>
      <c r="AO324" t="s">
        <v>6282</v>
      </c>
      <c r="AP324" t="s">
        <v>74</v>
      </c>
      <c r="AQ324" t="s">
        <v>74</v>
      </c>
      <c r="AR324" t="s">
        <v>6284</v>
      </c>
      <c r="AS324" t="s">
        <v>6285</v>
      </c>
      <c r="AT324" t="s">
        <v>6107</v>
      </c>
      <c r="AU324">
        <v>2009</v>
      </c>
      <c r="AV324">
        <v>11</v>
      </c>
      <c r="AW324">
        <v>3</v>
      </c>
      <c r="AX324" t="s">
        <v>74</v>
      </c>
      <c r="AY324" t="s">
        <v>74</v>
      </c>
      <c r="AZ324" t="s">
        <v>74</v>
      </c>
      <c r="BA324" t="s">
        <v>74</v>
      </c>
      <c r="BB324">
        <v>597</v>
      </c>
      <c r="BC324">
        <v>608</v>
      </c>
      <c r="BD324" t="s">
        <v>74</v>
      </c>
      <c r="BE324" t="s">
        <v>6351</v>
      </c>
      <c r="BF324" t="str">
        <f>HYPERLINK("http://dx.doi.org/10.1111/j.1462-2920.2008.01830.x","http://dx.doi.org/10.1111/j.1462-2920.2008.01830.x")</f>
        <v>http://dx.doi.org/10.1111/j.1462-2920.2008.01830.x</v>
      </c>
      <c r="BG324" t="s">
        <v>74</v>
      </c>
      <c r="BH324" t="s">
        <v>74</v>
      </c>
      <c r="BI324">
        <v>12</v>
      </c>
      <c r="BJ324" t="s">
        <v>2749</v>
      </c>
      <c r="BK324" t="s">
        <v>100</v>
      </c>
      <c r="BL324" t="s">
        <v>2749</v>
      </c>
      <c r="BM324" t="s">
        <v>6287</v>
      </c>
      <c r="BN324">
        <v>19278446</v>
      </c>
      <c r="BO324" t="s">
        <v>499</v>
      </c>
      <c r="BP324" t="s">
        <v>74</v>
      </c>
      <c r="BQ324" t="s">
        <v>74</v>
      </c>
      <c r="BR324" t="s">
        <v>103</v>
      </c>
      <c r="BS324" t="s">
        <v>6352</v>
      </c>
      <c r="BT324" t="str">
        <f>HYPERLINK("https%3A%2F%2Fwww.webofscience.com%2Fwos%2Fwoscc%2Ffull-record%2FWOS:000263755700006","View Full Record in Web of Science")</f>
        <v>View Full Record in Web of Science</v>
      </c>
    </row>
    <row r="325" spans="1:72" x14ac:dyDescent="0.15">
      <c r="A325" t="s">
        <v>72</v>
      </c>
      <c r="B325" t="s">
        <v>6353</v>
      </c>
      <c r="C325" t="s">
        <v>74</v>
      </c>
      <c r="D325" t="s">
        <v>74</v>
      </c>
      <c r="E325" t="s">
        <v>74</v>
      </c>
      <c r="F325" t="s">
        <v>6354</v>
      </c>
      <c r="G325" t="s">
        <v>74</v>
      </c>
      <c r="H325" t="s">
        <v>74</v>
      </c>
      <c r="I325" t="s">
        <v>6355</v>
      </c>
      <c r="J325" t="s">
        <v>6270</v>
      </c>
      <c r="K325" t="s">
        <v>74</v>
      </c>
      <c r="L325" t="s">
        <v>74</v>
      </c>
      <c r="M325" t="s">
        <v>78</v>
      </c>
      <c r="N325" t="s">
        <v>79</v>
      </c>
      <c r="O325" t="s">
        <v>74</v>
      </c>
      <c r="P325" t="s">
        <v>74</v>
      </c>
      <c r="Q325" t="s">
        <v>74</v>
      </c>
      <c r="R325" t="s">
        <v>74</v>
      </c>
      <c r="S325" t="s">
        <v>74</v>
      </c>
      <c r="T325" t="s">
        <v>74</v>
      </c>
      <c r="U325" t="s">
        <v>6356</v>
      </c>
      <c r="V325" t="s">
        <v>6357</v>
      </c>
      <c r="W325" t="s">
        <v>6358</v>
      </c>
      <c r="X325" t="s">
        <v>6359</v>
      </c>
      <c r="Y325" t="s">
        <v>6360</v>
      </c>
      <c r="Z325" t="s">
        <v>6361</v>
      </c>
      <c r="AA325" t="s">
        <v>6362</v>
      </c>
      <c r="AB325" t="s">
        <v>6363</v>
      </c>
      <c r="AC325" t="s">
        <v>6364</v>
      </c>
      <c r="AD325" t="s">
        <v>6365</v>
      </c>
      <c r="AE325" t="s">
        <v>6366</v>
      </c>
      <c r="AF325" t="s">
        <v>74</v>
      </c>
      <c r="AG325">
        <v>36</v>
      </c>
      <c r="AH325">
        <v>105</v>
      </c>
      <c r="AI325">
        <v>127</v>
      </c>
      <c r="AJ325">
        <v>2</v>
      </c>
      <c r="AK325">
        <v>105</v>
      </c>
      <c r="AL325" t="s">
        <v>1847</v>
      </c>
      <c r="AM325" t="s">
        <v>1848</v>
      </c>
      <c r="AN325" t="s">
        <v>1849</v>
      </c>
      <c r="AO325" t="s">
        <v>6282</v>
      </c>
      <c r="AP325" t="s">
        <v>74</v>
      </c>
      <c r="AQ325" t="s">
        <v>74</v>
      </c>
      <c r="AR325" t="s">
        <v>6284</v>
      </c>
      <c r="AS325" t="s">
        <v>6285</v>
      </c>
      <c r="AT325" t="s">
        <v>6107</v>
      </c>
      <c r="AU325">
        <v>2009</v>
      </c>
      <c r="AV325">
        <v>11</v>
      </c>
      <c r="AW325">
        <v>3</v>
      </c>
      <c r="AX325" t="s">
        <v>74</v>
      </c>
      <c r="AY325" t="s">
        <v>74</v>
      </c>
      <c r="AZ325" t="s">
        <v>74</v>
      </c>
      <c r="BA325" t="s">
        <v>74</v>
      </c>
      <c r="BB325">
        <v>609</v>
      </c>
      <c r="BC325">
        <v>615</v>
      </c>
      <c r="BD325" t="s">
        <v>74</v>
      </c>
      <c r="BE325" t="s">
        <v>6367</v>
      </c>
      <c r="BF325" t="str">
        <f>HYPERLINK("http://dx.doi.org/10.1111/j.1462-2920.2008.01831.x","http://dx.doi.org/10.1111/j.1462-2920.2008.01831.x")</f>
        <v>http://dx.doi.org/10.1111/j.1462-2920.2008.01831.x</v>
      </c>
      <c r="BG325" t="s">
        <v>74</v>
      </c>
      <c r="BH325" t="s">
        <v>74</v>
      </c>
      <c r="BI325">
        <v>7</v>
      </c>
      <c r="BJ325" t="s">
        <v>2749</v>
      </c>
      <c r="BK325" t="s">
        <v>100</v>
      </c>
      <c r="BL325" t="s">
        <v>2749</v>
      </c>
      <c r="BM325" t="s">
        <v>6287</v>
      </c>
      <c r="BN325">
        <v>19278447</v>
      </c>
      <c r="BO325" t="s">
        <v>499</v>
      </c>
      <c r="BP325" t="s">
        <v>74</v>
      </c>
      <c r="BQ325" t="s">
        <v>74</v>
      </c>
      <c r="BR325" t="s">
        <v>103</v>
      </c>
      <c r="BS325" t="s">
        <v>6368</v>
      </c>
      <c r="BT325" t="str">
        <f>HYPERLINK("https%3A%2F%2Fwww.webofscience.com%2Fwos%2Fwoscc%2Ffull-record%2FWOS:000263755700007","View Full Record in Web of Science")</f>
        <v>View Full Record in Web of Science</v>
      </c>
    </row>
    <row r="326" spans="1:72" x14ac:dyDescent="0.15">
      <c r="A326" t="s">
        <v>72</v>
      </c>
      <c r="B326" t="s">
        <v>6369</v>
      </c>
      <c r="C326" t="s">
        <v>74</v>
      </c>
      <c r="D326" t="s">
        <v>74</v>
      </c>
      <c r="E326" t="s">
        <v>74</v>
      </c>
      <c r="F326" t="s">
        <v>6370</v>
      </c>
      <c r="G326" t="s">
        <v>74</v>
      </c>
      <c r="H326" t="s">
        <v>74</v>
      </c>
      <c r="I326" t="s">
        <v>6371</v>
      </c>
      <c r="J326" t="s">
        <v>6270</v>
      </c>
      <c r="K326" t="s">
        <v>74</v>
      </c>
      <c r="L326" t="s">
        <v>74</v>
      </c>
      <c r="M326" t="s">
        <v>78</v>
      </c>
      <c r="N326" t="s">
        <v>79</v>
      </c>
      <c r="O326" t="s">
        <v>74</v>
      </c>
      <c r="P326" t="s">
        <v>74</v>
      </c>
      <c r="Q326" t="s">
        <v>74</v>
      </c>
      <c r="R326" t="s">
        <v>74</v>
      </c>
      <c r="S326" t="s">
        <v>74</v>
      </c>
      <c r="T326" t="s">
        <v>74</v>
      </c>
      <c r="U326" t="s">
        <v>6372</v>
      </c>
      <c r="V326" t="s">
        <v>6373</v>
      </c>
      <c r="W326" t="s">
        <v>6374</v>
      </c>
      <c r="X326" t="s">
        <v>6375</v>
      </c>
      <c r="Y326" t="s">
        <v>6376</v>
      </c>
      <c r="Z326" t="s">
        <v>6377</v>
      </c>
      <c r="AA326" t="s">
        <v>6378</v>
      </c>
      <c r="AB326" t="s">
        <v>6379</v>
      </c>
      <c r="AC326" t="s">
        <v>6380</v>
      </c>
      <c r="AD326" t="s">
        <v>6381</v>
      </c>
      <c r="AE326" t="s">
        <v>6382</v>
      </c>
      <c r="AF326" t="s">
        <v>74</v>
      </c>
      <c r="AG326">
        <v>56</v>
      </c>
      <c r="AH326">
        <v>39</v>
      </c>
      <c r="AI326">
        <v>45</v>
      </c>
      <c r="AJ326">
        <v>1</v>
      </c>
      <c r="AK326">
        <v>43</v>
      </c>
      <c r="AL326" t="s">
        <v>489</v>
      </c>
      <c r="AM326" t="s">
        <v>490</v>
      </c>
      <c r="AN326" t="s">
        <v>491</v>
      </c>
      <c r="AO326" t="s">
        <v>6282</v>
      </c>
      <c r="AP326" t="s">
        <v>6283</v>
      </c>
      <c r="AQ326" t="s">
        <v>74</v>
      </c>
      <c r="AR326" t="s">
        <v>6284</v>
      </c>
      <c r="AS326" t="s">
        <v>6285</v>
      </c>
      <c r="AT326" t="s">
        <v>6107</v>
      </c>
      <c r="AU326">
        <v>2009</v>
      </c>
      <c r="AV326">
        <v>11</v>
      </c>
      <c r="AW326">
        <v>3</v>
      </c>
      <c r="AX326" t="s">
        <v>74</v>
      </c>
      <c r="AY326" t="s">
        <v>74</v>
      </c>
      <c r="AZ326" t="s">
        <v>74</v>
      </c>
      <c r="BA326" t="s">
        <v>74</v>
      </c>
      <c r="BB326">
        <v>657</v>
      </c>
      <c r="BC326">
        <v>668</v>
      </c>
      <c r="BD326" t="s">
        <v>74</v>
      </c>
      <c r="BE326" t="s">
        <v>6383</v>
      </c>
      <c r="BF326" t="str">
        <f>HYPERLINK("http://dx.doi.org/10.1111/j.1462-2920.2008.01836.x","http://dx.doi.org/10.1111/j.1462-2920.2008.01836.x")</f>
        <v>http://dx.doi.org/10.1111/j.1462-2920.2008.01836.x</v>
      </c>
      <c r="BG326" t="s">
        <v>74</v>
      </c>
      <c r="BH326" t="s">
        <v>74</v>
      </c>
      <c r="BI326">
        <v>12</v>
      </c>
      <c r="BJ326" t="s">
        <v>2749</v>
      </c>
      <c r="BK326" t="s">
        <v>100</v>
      </c>
      <c r="BL326" t="s">
        <v>2749</v>
      </c>
      <c r="BM326" t="s">
        <v>6287</v>
      </c>
      <c r="BN326">
        <v>19278451</v>
      </c>
      <c r="BO326" t="s">
        <v>3159</v>
      </c>
      <c r="BP326" t="s">
        <v>74</v>
      </c>
      <c r="BQ326" t="s">
        <v>74</v>
      </c>
      <c r="BR326" t="s">
        <v>103</v>
      </c>
      <c r="BS326" t="s">
        <v>6384</v>
      </c>
      <c r="BT326" t="str">
        <f>HYPERLINK("https%3A%2F%2Fwww.webofscience.com%2Fwos%2Fwoscc%2Ffull-record%2FWOS:000263755700011","View Full Record in Web of Science")</f>
        <v>View Full Record in Web of Science</v>
      </c>
    </row>
    <row r="327" spans="1:72" x14ac:dyDescent="0.15">
      <c r="A327" t="s">
        <v>72</v>
      </c>
      <c r="B327" t="s">
        <v>6385</v>
      </c>
      <c r="C327" t="s">
        <v>74</v>
      </c>
      <c r="D327" t="s">
        <v>74</v>
      </c>
      <c r="E327" t="s">
        <v>74</v>
      </c>
      <c r="F327" t="s">
        <v>6386</v>
      </c>
      <c r="G327" t="s">
        <v>74</v>
      </c>
      <c r="H327" t="s">
        <v>74</v>
      </c>
      <c r="I327" t="s">
        <v>6387</v>
      </c>
      <c r="J327" t="s">
        <v>6270</v>
      </c>
      <c r="K327" t="s">
        <v>74</v>
      </c>
      <c r="L327" t="s">
        <v>74</v>
      </c>
      <c r="M327" t="s">
        <v>78</v>
      </c>
      <c r="N327" t="s">
        <v>79</v>
      </c>
      <c r="O327" t="s">
        <v>74</v>
      </c>
      <c r="P327" t="s">
        <v>74</v>
      </c>
      <c r="Q327" t="s">
        <v>74</v>
      </c>
      <c r="R327" t="s">
        <v>74</v>
      </c>
      <c r="S327" t="s">
        <v>74</v>
      </c>
      <c r="T327" t="s">
        <v>74</v>
      </c>
      <c r="U327" t="s">
        <v>6388</v>
      </c>
      <c r="V327" t="s">
        <v>6389</v>
      </c>
      <c r="W327" t="s">
        <v>6390</v>
      </c>
      <c r="X327" t="s">
        <v>545</v>
      </c>
      <c r="Y327" t="s">
        <v>6391</v>
      </c>
      <c r="Z327" t="s">
        <v>6392</v>
      </c>
      <c r="AA327" t="s">
        <v>6393</v>
      </c>
      <c r="AB327" t="s">
        <v>6394</v>
      </c>
      <c r="AC327" t="s">
        <v>6395</v>
      </c>
      <c r="AD327" t="s">
        <v>6396</v>
      </c>
      <c r="AE327" t="s">
        <v>6397</v>
      </c>
      <c r="AF327" t="s">
        <v>74</v>
      </c>
      <c r="AG327">
        <v>31</v>
      </c>
      <c r="AH327">
        <v>57</v>
      </c>
      <c r="AI327">
        <v>63</v>
      </c>
      <c r="AJ327">
        <v>1</v>
      </c>
      <c r="AK327">
        <v>15</v>
      </c>
      <c r="AL327" t="s">
        <v>489</v>
      </c>
      <c r="AM327" t="s">
        <v>490</v>
      </c>
      <c r="AN327" t="s">
        <v>491</v>
      </c>
      <c r="AO327" t="s">
        <v>6282</v>
      </c>
      <c r="AP327" t="s">
        <v>6283</v>
      </c>
      <c r="AQ327" t="s">
        <v>74</v>
      </c>
      <c r="AR327" t="s">
        <v>6284</v>
      </c>
      <c r="AS327" t="s">
        <v>6285</v>
      </c>
      <c r="AT327" t="s">
        <v>6107</v>
      </c>
      <c r="AU327">
        <v>2009</v>
      </c>
      <c r="AV327">
        <v>11</v>
      </c>
      <c r="AW327">
        <v>3</v>
      </c>
      <c r="AX327" t="s">
        <v>74</v>
      </c>
      <c r="AY327" t="s">
        <v>74</v>
      </c>
      <c r="AZ327" t="s">
        <v>74</v>
      </c>
      <c r="BA327" t="s">
        <v>74</v>
      </c>
      <c r="BB327">
        <v>669</v>
      </c>
      <c r="BC327">
        <v>673</v>
      </c>
      <c r="BD327" t="s">
        <v>74</v>
      </c>
      <c r="BE327" t="s">
        <v>6398</v>
      </c>
      <c r="BF327" t="str">
        <f>HYPERLINK("http://dx.doi.org/10.1111/j.1462-2920.2008.01843.x","http://dx.doi.org/10.1111/j.1462-2920.2008.01843.x")</f>
        <v>http://dx.doi.org/10.1111/j.1462-2920.2008.01843.x</v>
      </c>
      <c r="BG327" t="s">
        <v>74</v>
      </c>
      <c r="BH327" t="s">
        <v>74</v>
      </c>
      <c r="BI327">
        <v>5</v>
      </c>
      <c r="BJ327" t="s">
        <v>2749</v>
      </c>
      <c r="BK327" t="s">
        <v>100</v>
      </c>
      <c r="BL327" t="s">
        <v>2749</v>
      </c>
      <c r="BM327" t="s">
        <v>6287</v>
      </c>
      <c r="BN327">
        <v>19207566</v>
      </c>
      <c r="BO327" t="s">
        <v>74</v>
      </c>
      <c r="BP327" t="s">
        <v>74</v>
      </c>
      <c r="BQ327" t="s">
        <v>74</v>
      </c>
      <c r="BR327" t="s">
        <v>103</v>
      </c>
      <c r="BS327" t="s">
        <v>6399</v>
      </c>
      <c r="BT327" t="str">
        <f>HYPERLINK("https%3A%2F%2Fwww.webofscience.com%2Fwos%2Fwoscc%2Ffull-record%2FWOS:000263755700012","View Full Record in Web of Science")</f>
        <v>View Full Record in Web of Science</v>
      </c>
    </row>
    <row r="328" spans="1:72" x14ac:dyDescent="0.15">
      <c r="A328" t="s">
        <v>72</v>
      </c>
      <c r="B328" t="s">
        <v>6400</v>
      </c>
      <c r="C328" t="s">
        <v>74</v>
      </c>
      <c r="D328" t="s">
        <v>74</v>
      </c>
      <c r="E328" t="s">
        <v>74</v>
      </c>
      <c r="F328" t="s">
        <v>6401</v>
      </c>
      <c r="G328" t="s">
        <v>74</v>
      </c>
      <c r="H328" t="s">
        <v>74</v>
      </c>
      <c r="I328" t="s">
        <v>6402</v>
      </c>
      <c r="J328" t="s">
        <v>6270</v>
      </c>
      <c r="K328" t="s">
        <v>74</v>
      </c>
      <c r="L328" t="s">
        <v>74</v>
      </c>
      <c r="M328" t="s">
        <v>78</v>
      </c>
      <c r="N328" t="s">
        <v>79</v>
      </c>
      <c r="O328" t="s">
        <v>74</v>
      </c>
      <c r="P328" t="s">
        <v>74</v>
      </c>
      <c r="Q328" t="s">
        <v>74</v>
      </c>
      <c r="R328" t="s">
        <v>74</v>
      </c>
      <c r="S328" t="s">
        <v>74</v>
      </c>
      <c r="T328" t="s">
        <v>74</v>
      </c>
      <c r="U328" t="s">
        <v>6403</v>
      </c>
      <c r="V328" t="s">
        <v>6404</v>
      </c>
      <c r="W328" t="s">
        <v>6405</v>
      </c>
      <c r="X328" t="s">
        <v>6406</v>
      </c>
      <c r="Y328" t="s">
        <v>6407</v>
      </c>
      <c r="Z328" t="s">
        <v>6408</v>
      </c>
      <c r="AA328" t="s">
        <v>6409</v>
      </c>
      <c r="AB328" t="s">
        <v>6410</v>
      </c>
      <c r="AC328" t="s">
        <v>6411</v>
      </c>
      <c r="AD328" t="s">
        <v>6412</v>
      </c>
      <c r="AE328" t="s">
        <v>6413</v>
      </c>
      <c r="AF328" t="s">
        <v>74</v>
      </c>
      <c r="AG328">
        <v>68</v>
      </c>
      <c r="AH328">
        <v>76</v>
      </c>
      <c r="AI328">
        <v>86</v>
      </c>
      <c r="AJ328">
        <v>3</v>
      </c>
      <c r="AK328">
        <v>52</v>
      </c>
      <c r="AL328" t="s">
        <v>489</v>
      </c>
      <c r="AM328" t="s">
        <v>490</v>
      </c>
      <c r="AN328" t="s">
        <v>491</v>
      </c>
      <c r="AO328" t="s">
        <v>6282</v>
      </c>
      <c r="AP328" t="s">
        <v>6283</v>
      </c>
      <c r="AQ328" t="s">
        <v>74</v>
      </c>
      <c r="AR328" t="s">
        <v>6284</v>
      </c>
      <c r="AS328" t="s">
        <v>6285</v>
      </c>
      <c r="AT328" t="s">
        <v>6107</v>
      </c>
      <c r="AU328">
        <v>2009</v>
      </c>
      <c r="AV328">
        <v>11</v>
      </c>
      <c r="AW328">
        <v>3</v>
      </c>
      <c r="AX328" t="s">
        <v>74</v>
      </c>
      <c r="AY328" t="s">
        <v>74</v>
      </c>
      <c r="AZ328" t="s">
        <v>74</v>
      </c>
      <c r="BA328" t="s">
        <v>74</v>
      </c>
      <c r="BB328">
        <v>674</v>
      </c>
      <c r="BC328">
        <v>686</v>
      </c>
      <c r="BD328" t="s">
        <v>74</v>
      </c>
      <c r="BE328" t="s">
        <v>6414</v>
      </c>
      <c r="BF328" t="str">
        <f>HYPERLINK("http://dx.doi.org/10.1111/j.1462-2920.2008.01844.x","http://dx.doi.org/10.1111/j.1462-2920.2008.01844.x")</f>
        <v>http://dx.doi.org/10.1111/j.1462-2920.2008.01844.x</v>
      </c>
      <c r="BG328" t="s">
        <v>74</v>
      </c>
      <c r="BH328" t="s">
        <v>74</v>
      </c>
      <c r="BI328">
        <v>13</v>
      </c>
      <c r="BJ328" t="s">
        <v>2749</v>
      </c>
      <c r="BK328" t="s">
        <v>100</v>
      </c>
      <c r="BL328" t="s">
        <v>2749</v>
      </c>
      <c r="BM328" t="s">
        <v>6287</v>
      </c>
      <c r="BN328">
        <v>19187281</v>
      </c>
      <c r="BO328" t="s">
        <v>74</v>
      </c>
      <c r="BP328" t="s">
        <v>74</v>
      </c>
      <c r="BQ328" t="s">
        <v>74</v>
      </c>
      <c r="BR328" t="s">
        <v>103</v>
      </c>
      <c r="BS328" t="s">
        <v>6415</v>
      </c>
      <c r="BT328" t="str">
        <f>HYPERLINK("https%3A%2F%2Fwww.webofscience.com%2Fwos%2Fwoscc%2Ffull-record%2FWOS:000263755700013","View Full Record in Web of Science")</f>
        <v>View Full Record in Web of Science</v>
      </c>
    </row>
    <row r="329" spans="1:72" x14ac:dyDescent="0.15">
      <c r="A329" t="s">
        <v>72</v>
      </c>
      <c r="B329" t="s">
        <v>6416</v>
      </c>
      <c r="C329" t="s">
        <v>74</v>
      </c>
      <c r="D329" t="s">
        <v>74</v>
      </c>
      <c r="E329" t="s">
        <v>74</v>
      </c>
      <c r="F329" t="s">
        <v>6417</v>
      </c>
      <c r="G329" t="s">
        <v>74</v>
      </c>
      <c r="H329" t="s">
        <v>74</v>
      </c>
      <c r="I329" t="s">
        <v>6418</v>
      </c>
      <c r="J329" t="s">
        <v>6270</v>
      </c>
      <c r="K329" t="s">
        <v>74</v>
      </c>
      <c r="L329" t="s">
        <v>74</v>
      </c>
      <c r="M329" t="s">
        <v>78</v>
      </c>
      <c r="N329" t="s">
        <v>79</v>
      </c>
      <c r="O329" t="s">
        <v>74</v>
      </c>
      <c r="P329" t="s">
        <v>74</v>
      </c>
      <c r="Q329" t="s">
        <v>74</v>
      </c>
      <c r="R329" t="s">
        <v>74</v>
      </c>
      <c r="S329" t="s">
        <v>74</v>
      </c>
      <c r="T329" t="s">
        <v>74</v>
      </c>
      <c r="U329" t="s">
        <v>6419</v>
      </c>
      <c r="V329" t="s">
        <v>6420</v>
      </c>
      <c r="W329" t="s">
        <v>6421</v>
      </c>
      <c r="X329" t="s">
        <v>6422</v>
      </c>
      <c r="Y329" t="s">
        <v>6423</v>
      </c>
      <c r="Z329" t="s">
        <v>6424</v>
      </c>
      <c r="AA329" t="s">
        <v>6425</v>
      </c>
      <c r="AB329" t="s">
        <v>6426</v>
      </c>
      <c r="AC329" t="s">
        <v>6427</v>
      </c>
      <c r="AD329" t="s">
        <v>6428</v>
      </c>
      <c r="AE329" t="s">
        <v>6429</v>
      </c>
      <c r="AF329" t="s">
        <v>74</v>
      </c>
      <c r="AG329">
        <v>58</v>
      </c>
      <c r="AH329">
        <v>42</v>
      </c>
      <c r="AI329">
        <v>44</v>
      </c>
      <c r="AJ329">
        <v>0</v>
      </c>
      <c r="AK329">
        <v>21</v>
      </c>
      <c r="AL329" t="s">
        <v>489</v>
      </c>
      <c r="AM329" t="s">
        <v>490</v>
      </c>
      <c r="AN329" t="s">
        <v>491</v>
      </c>
      <c r="AO329" t="s">
        <v>6282</v>
      </c>
      <c r="AP329" t="s">
        <v>6283</v>
      </c>
      <c r="AQ329" t="s">
        <v>74</v>
      </c>
      <c r="AR329" t="s">
        <v>6284</v>
      </c>
      <c r="AS329" t="s">
        <v>6285</v>
      </c>
      <c r="AT329" t="s">
        <v>6107</v>
      </c>
      <c r="AU329">
        <v>2009</v>
      </c>
      <c r="AV329">
        <v>11</v>
      </c>
      <c r="AW329">
        <v>3</v>
      </c>
      <c r="AX329" t="s">
        <v>74</v>
      </c>
      <c r="AY329" t="s">
        <v>74</v>
      </c>
      <c r="AZ329" t="s">
        <v>74</v>
      </c>
      <c r="BA329" t="s">
        <v>74</v>
      </c>
      <c r="BB329">
        <v>700</v>
      </c>
      <c r="BC329">
        <v>714</v>
      </c>
      <c r="BD329" t="s">
        <v>74</v>
      </c>
      <c r="BE329" t="s">
        <v>6430</v>
      </c>
      <c r="BF329" t="str">
        <f>HYPERLINK("http://dx.doi.org/10.1111/j.1462-2920.2008.01858.x","http://dx.doi.org/10.1111/j.1462-2920.2008.01858.x")</f>
        <v>http://dx.doi.org/10.1111/j.1462-2920.2008.01858.x</v>
      </c>
      <c r="BG329" t="s">
        <v>74</v>
      </c>
      <c r="BH329" t="s">
        <v>74</v>
      </c>
      <c r="BI329">
        <v>15</v>
      </c>
      <c r="BJ329" t="s">
        <v>2749</v>
      </c>
      <c r="BK329" t="s">
        <v>100</v>
      </c>
      <c r="BL329" t="s">
        <v>2749</v>
      </c>
      <c r="BM329" t="s">
        <v>6287</v>
      </c>
      <c r="BN329">
        <v>19278452</v>
      </c>
      <c r="BO329" t="s">
        <v>499</v>
      </c>
      <c r="BP329" t="s">
        <v>74</v>
      </c>
      <c r="BQ329" t="s">
        <v>74</v>
      </c>
      <c r="BR329" t="s">
        <v>103</v>
      </c>
      <c r="BS329" t="s">
        <v>6431</v>
      </c>
      <c r="BT329" t="str">
        <f>HYPERLINK("https%3A%2F%2Fwww.webofscience.com%2Fwos%2Fwoscc%2Ffull-record%2FWOS:000263755700015","View Full Record in Web of Science")</f>
        <v>View Full Record in Web of Science</v>
      </c>
    </row>
    <row r="330" spans="1:72" x14ac:dyDescent="0.15">
      <c r="A330" t="s">
        <v>72</v>
      </c>
      <c r="B330" t="s">
        <v>6432</v>
      </c>
      <c r="C330" t="s">
        <v>74</v>
      </c>
      <c r="D330" t="s">
        <v>74</v>
      </c>
      <c r="E330" t="s">
        <v>74</v>
      </c>
      <c r="F330" t="s">
        <v>6433</v>
      </c>
      <c r="G330" t="s">
        <v>74</v>
      </c>
      <c r="H330" t="s">
        <v>74</v>
      </c>
      <c r="I330" t="s">
        <v>6434</v>
      </c>
      <c r="J330" t="s">
        <v>6270</v>
      </c>
      <c r="K330" t="s">
        <v>74</v>
      </c>
      <c r="L330" t="s">
        <v>74</v>
      </c>
      <c r="M330" t="s">
        <v>78</v>
      </c>
      <c r="N330" t="s">
        <v>79</v>
      </c>
      <c r="O330" t="s">
        <v>74</v>
      </c>
      <c r="P330" t="s">
        <v>74</v>
      </c>
      <c r="Q330" t="s">
        <v>74</v>
      </c>
      <c r="R330" t="s">
        <v>74</v>
      </c>
      <c r="S330" t="s">
        <v>74</v>
      </c>
      <c r="T330" t="s">
        <v>74</v>
      </c>
      <c r="U330" t="s">
        <v>6435</v>
      </c>
      <c r="V330" t="s">
        <v>6436</v>
      </c>
      <c r="W330" t="s">
        <v>6437</v>
      </c>
      <c r="X330" t="s">
        <v>6438</v>
      </c>
      <c r="Y330" t="s">
        <v>6439</v>
      </c>
      <c r="Z330" t="s">
        <v>6440</v>
      </c>
      <c r="AA330" t="s">
        <v>6441</v>
      </c>
      <c r="AB330" t="s">
        <v>6442</v>
      </c>
      <c r="AC330" t="s">
        <v>6443</v>
      </c>
      <c r="AD330" t="s">
        <v>6444</v>
      </c>
      <c r="AE330" t="s">
        <v>6445</v>
      </c>
      <c r="AF330" t="s">
        <v>74</v>
      </c>
      <c r="AG330">
        <v>76</v>
      </c>
      <c r="AH330">
        <v>53</v>
      </c>
      <c r="AI330">
        <v>57</v>
      </c>
      <c r="AJ330">
        <v>1</v>
      </c>
      <c r="AK330">
        <v>23</v>
      </c>
      <c r="AL330" t="s">
        <v>489</v>
      </c>
      <c r="AM330" t="s">
        <v>490</v>
      </c>
      <c r="AN330" t="s">
        <v>491</v>
      </c>
      <c r="AO330" t="s">
        <v>6282</v>
      </c>
      <c r="AP330" t="s">
        <v>6283</v>
      </c>
      <c r="AQ330" t="s">
        <v>74</v>
      </c>
      <c r="AR330" t="s">
        <v>6284</v>
      </c>
      <c r="AS330" t="s">
        <v>6285</v>
      </c>
      <c r="AT330" t="s">
        <v>6107</v>
      </c>
      <c r="AU330">
        <v>2009</v>
      </c>
      <c r="AV330">
        <v>11</v>
      </c>
      <c r="AW330">
        <v>3</v>
      </c>
      <c r="AX330" t="s">
        <v>74</v>
      </c>
      <c r="AY330" t="s">
        <v>74</v>
      </c>
      <c r="AZ330" t="s">
        <v>74</v>
      </c>
      <c r="BA330" t="s">
        <v>74</v>
      </c>
      <c r="BB330">
        <v>715</v>
      </c>
      <c r="BC330">
        <v>728</v>
      </c>
      <c r="BD330" t="s">
        <v>74</v>
      </c>
      <c r="BE330" t="s">
        <v>6446</v>
      </c>
      <c r="BF330" t="str">
        <f>HYPERLINK("http://dx.doi.org/10.1111/j.1462-2920.2009.01859.x","http://dx.doi.org/10.1111/j.1462-2920.2009.01859.x")</f>
        <v>http://dx.doi.org/10.1111/j.1462-2920.2009.01859.x</v>
      </c>
      <c r="BG330" t="s">
        <v>74</v>
      </c>
      <c r="BH330" t="s">
        <v>74</v>
      </c>
      <c r="BI330">
        <v>14</v>
      </c>
      <c r="BJ330" t="s">
        <v>2749</v>
      </c>
      <c r="BK330" t="s">
        <v>100</v>
      </c>
      <c r="BL330" t="s">
        <v>2749</v>
      </c>
      <c r="BM330" t="s">
        <v>6287</v>
      </c>
      <c r="BN330">
        <v>19278453</v>
      </c>
      <c r="BO330" t="s">
        <v>499</v>
      </c>
      <c r="BP330" t="s">
        <v>74</v>
      </c>
      <c r="BQ330" t="s">
        <v>74</v>
      </c>
      <c r="BR330" t="s">
        <v>103</v>
      </c>
      <c r="BS330" t="s">
        <v>6447</v>
      </c>
      <c r="BT330" t="str">
        <f>HYPERLINK("https%3A%2F%2Fwww.webofscience.com%2Fwos%2Fwoscc%2Ffull-record%2FWOS:000263755700016","View Full Record in Web of Science")</f>
        <v>View Full Record in Web of Science</v>
      </c>
    </row>
    <row r="331" spans="1:72" x14ac:dyDescent="0.15">
      <c r="A331" t="s">
        <v>72</v>
      </c>
      <c r="B331" t="s">
        <v>6448</v>
      </c>
      <c r="C331" t="s">
        <v>74</v>
      </c>
      <c r="D331" t="s">
        <v>74</v>
      </c>
      <c r="E331" t="s">
        <v>74</v>
      </c>
      <c r="F331" t="s">
        <v>6449</v>
      </c>
      <c r="G331" t="s">
        <v>74</v>
      </c>
      <c r="H331" t="s">
        <v>74</v>
      </c>
      <c r="I331" t="s">
        <v>6450</v>
      </c>
      <c r="J331" t="s">
        <v>2910</v>
      </c>
      <c r="K331" t="s">
        <v>74</v>
      </c>
      <c r="L331" t="s">
        <v>74</v>
      </c>
      <c r="M331" t="s">
        <v>78</v>
      </c>
      <c r="N331" t="s">
        <v>79</v>
      </c>
      <c r="O331" t="s">
        <v>74</v>
      </c>
      <c r="P331" t="s">
        <v>74</v>
      </c>
      <c r="Q331" t="s">
        <v>74</v>
      </c>
      <c r="R331" t="s">
        <v>74</v>
      </c>
      <c r="S331" t="s">
        <v>74</v>
      </c>
      <c r="T331" t="s">
        <v>6451</v>
      </c>
      <c r="U331" t="s">
        <v>6452</v>
      </c>
      <c r="V331" t="s">
        <v>6453</v>
      </c>
      <c r="W331" t="s">
        <v>6454</v>
      </c>
      <c r="X331" t="s">
        <v>6455</v>
      </c>
      <c r="Y331" t="s">
        <v>6456</v>
      </c>
      <c r="Z331" t="s">
        <v>6457</v>
      </c>
      <c r="AA331" t="s">
        <v>6458</v>
      </c>
      <c r="AB331" t="s">
        <v>6459</v>
      </c>
      <c r="AC331" t="s">
        <v>74</v>
      </c>
      <c r="AD331" t="s">
        <v>74</v>
      </c>
      <c r="AE331" t="s">
        <v>74</v>
      </c>
      <c r="AF331" t="s">
        <v>74</v>
      </c>
      <c r="AG331">
        <v>56</v>
      </c>
      <c r="AH331">
        <v>9</v>
      </c>
      <c r="AI331">
        <v>9</v>
      </c>
      <c r="AJ331">
        <v>0</v>
      </c>
      <c r="AK331">
        <v>13</v>
      </c>
      <c r="AL331" t="s">
        <v>6460</v>
      </c>
      <c r="AM331" t="s">
        <v>2924</v>
      </c>
      <c r="AN331" t="s">
        <v>2925</v>
      </c>
      <c r="AO331" t="s">
        <v>2926</v>
      </c>
      <c r="AP331" t="s">
        <v>74</v>
      </c>
      <c r="AQ331" t="s">
        <v>74</v>
      </c>
      <c r="AR331" t="s">
        <v>2928</v>
      </c>
      <c r="AS331" t="s">
        <v>2929</v>
      </c>
      <c r="AT331" t="s">
        <v>6144</v>
      </c>
      <c r="AU331">
        <v>2009</v>
      </c>
      <c r="AV331">
        <v>81</v>
      </c>
      <c r="AW331">
        <v>4</v>
      </c>
      <c r="AX331" t="s">
        <v>74</v>
      </c>
      <c r="AY331" t="s">
        <v>74</v>
      </c>
      <c r="AZ331" t="s">
        <v>74</v>
      </c>
      <c r="BA331" t="s">
        <v>74</v>
      </c>
      <c r="BB331">
        <v>491</v>
      </c>
      <c r="BC331">
        <v>500</v>
      </c>
      <c r="BD331" t="s">
        <v>74</v>
      </c>
      <c r="BE331" t="s">
        <v>6461</v>
      </c>
      <c r="BF331" t="str">
        <f>HYPERLINK("http://dx.doi.org/10.1016/j.ecss.2008.12.014","http://dx.doi.org/10.1016/j.ecss.2008.12.014")</f>
        <v>http://dx.doi.org/10.1016/j.ecss.2008.12.014</v>
      </c>
      <c r="BG331" t="s">
        <v>74</v>
      </c>
      <c r="BH331" t="s">
        <v>74</v>
      </c>
      <c r="BI331">
        <v>10</v>
      </c>
      <c r="BJ331" t="s">
        <v>2107</v>
      </c>
      <c r="BK331" t="s">
        <v>100</v>
      </c>
      <c r="BL331" t="s">
        <v>2107</v>
      </c>
      <c r="BM331" t="s">
        <v>6462</v>
      </c>
      <c r="BN331" t="s">
        <v>74</v>
      </c>
      <c r="BO331" t="s">
        <v>74</v>
      </c>
      <c r="BP331" t="s">
        <v>74</v>
      </c>
      <c r="BQ331" t="s">
        <v>74</v>
      </c>
      <c r="BR331" t="s">
        <v>103</v>
      </c>
      <c r="BS331" t="s">
        <v>6463</v>
      </c>
      <c r="BT331" t="str">
        <f>HYPERLINK("https%3A%2F%2Fwww.webofscience.com%2Fwos%2Fwoscc%2Ffull-record%2FWOS:000263648500006","View Full Record in Web of Science")</f>
        <v>View Full Record in Web of Science</v>
      </c>
    </row>
    <row r="332" spans="1:72" x14ac:dyDescent="0.15">
      <c r="A332" t="s">
        <v>72</v>
      </c>
      <c r="B332" t="s">
        <v>6464</v>
      </c>
      <c r="C332" t="s">
        <v>74</v>
      </c>
      <c r="D332" t="s">
        <v>74</v>
      </c>
      <c r="E332" t="s">
        <v>74</v>
      </c>
      <c r="F332" t="s">
        <v>6465</v>
      </c>
      <c r="G332" t="s">
        <v>74</v>
      </c>
      <c r="H332" t="s">
        <v>74</v>
      </c>
      <c r="I332" t="s">
        <v>6466</v>
      </c>
      <c r="J332" t="s">
        <v>6467</v>
      </c>
      <c r="K332" t="s">
        <v>74</v>
      </c>
      <c r="L332" t="s">
        <v>74</v>
      </c>
      <c r="M332" t="s">
        <v>78</v>
      </c>
      <c r="N332" t="s">
        <v>79</v>
      </c>
      <c r="O332" t="s">
        <v>74</v>
      </c>
      <c r="P332" t="s">
        <v>74</v>
      </c>
      <c r="Q332" t="s">
        <v>74</v>
      </c>
      <c r="R332" t="s">
        <v>74</v>
      </c>
      <c r="S332" t="s">
        <v>74</v>
      </c>
      <c r="T332" t="s">
        <v>6468</v>
      </c>
      <c r="U332" t="s">
        <v>6469</v>
      </c>
      <c r="V332" t="s">
        <v>6470</v>
      </c>
      <c r="W332" t="s">
        <v>6471</v>
      </c>
      <c r="X332" t="s">
        <v>6472</v>
      </c>
      <c r="Y332" t="s">
        <v>6473</v>
      </c>
      <c r="Z332" t="s">
        <v>6474</v>
      </c>
      <c r="AA332" t="s">
        <v>74</v>
      </c>
      <c r="AB332" t="s">
        <v>6475</v>
      </c>
      <c r="AC332" t="s">
        <v>6476</v>
      </c>
      <c r="AD332" t="s">
        <v>6477</v>
      </c>
      <c r="AE332" t="s">
        <v>6478</v>
      </c>
      <c r="AF332" t="s">
        <v>74</v>
      </c>
      <c r="AG332">
        <v>64</v>
      </c>
      <c r="AH332">
        <v>73</v>
      </c>
      <c r="AI332">
        <v>87</v>
      </c>
      <c r="AJ332">
        <v>4</v>
      </c>
      <c r="AK332">
        <v>56</v>
      </c>
      <c r="AL332" t="s">
        <v>6479</v>
      </c>
      <c r="AM332" t="s">
        <v>1975</v>
      </c>
      <c r="AN332" t="s">
        <v>6480</v>
      </c>
      <c r="AO332" t="s">
        <v>6481</v>
      </c>
      <c r="AP332" t="s">
        <v>6482</v>
      </c>
      <c r="AQ332" t="s">
        <v>74</v>
      </c>
      <c r="AR332" t="s">
        <v>6467</v>
      </c>
      <c r="AS332" t="s">
        <v>6483</v>
      </c>
      <c r="AT332" t="s">
        <v>6107</v>
      </c>
      <c r="AU332">
        <v>2009</v>
      </c>
      <c r="AV332">
        <v>13</v>
      </c>
      <c r="AW332">
        <v>2</v>
      </c>
      <c r="AX332" t="s">
        <v>74</v>
      </c>
      <c r="AY332" t="s">
        <v>74</v>
      </c>
      <c r="AZ332" t="s">
        <v>74</v>
      </c>
      <c r="BA332" t="s">
        <v>74</v>
      </c>
      <c r="BB332">
        <v>233</v>
      </c>
      <c r="BC332">
        <v>246</v>
      </c>
      <c r="BD332" t="s">
        <v>74</v>
      </c>
      <c r="BE332" t="s">
        <v>6484</v>
      </c>
      <c r="BF332" t="str">
        <f>HYPERLINK("http://dx.doi.org/10.1007/s00792-009-0225-7","http://dx.doi.org/10.1007/s00792-009-0225-7")</f>
        <v>http://dx.doi.org/10.1007/s00792-009-0225-7</v>
      </c>
      <c r="BG332" t="s">
        <v>74</v>
      </c>
      <c r="BH332" t="s">
        <v>74</v>
      </c>
      <c r="BI332">
        <v>14</v>
      </c>
      <c r="BJ332" t="s">
        <v>6485</v>
      </c>
      <c r="BK332" t="s">
        <v>100</v>
      </c>
      <c r="BL332" t="s">
        <v>6485</v>
      </c>
      <c r="BM332" t="s">
        <v>6486</v>
      </c>
      <c r="BN332">
        <v>19153801</v>
      </c>
      <c r="BO332" t="s">
        <v>74</v>
      </c>
      <c r="BP332" t="s">
        <v>74</v>
      </c>
      <c r="BQ332" t="s">
        <v>74</v>
      </c>
      <c r="BR332" t="s">
        <v>103</v>
      </c>
      <c r="BS332" t="s">
        <v>6487</v>
      </c>
      <c r="BT332" t="str">
        <f>HYPERLINK("https%3A%2F%2Fwww.webofscience.com%2Fwos%2Fwoscc%2Ffull-record%2FWOS:000263784200002","View Full Record in Web of Science")</f>
        <v>View Full Record in Web of Science</v>
      </c>
    </row>
    <row r="333" spans="1:72" x14ac:dyDescent="0.15">
      <c r="A333" t="s">
        <v>72</v>
      </c>
      <c r="B333" t="s">
        <v>6488</v>
      </c>
      <c r="C333" t="s">
        <v>74</v>
      </c>
      <c r="D333" t="s">
        <v>74</v>
      </c>
      <c r="E333" t="s">
        <v>74</v>
      </c>
      <c r="F333" t="s">
        <v>6489</v>
      </c>
      <c r="G333" t="s">
        <v>74</v>
      </c>
      <c r="H333" t="s">
        <v>74</v>
      </c>
      <c r="I333" t="s">
        <v>6490</v>
      </c>
      <c r="J333" t="s">
        <v>6467</v>
      </c>
      <c r="K333" t="s">
        <v>74</v>
      </c>
      <c r="L333" t="s">
        <v>74</v>
      </c>
      <c r="M333" t="s">
        <v>78</v>
      </c>
      <c r="N333" t="s">
        <v>79</v>
      </c>
      <c r="O333" t="s">
        <v>74</v>
      </c>
      <c r="P333" t="s">
        <v>74</v>
      </c>
      <c r="Q333" t="s">
        <v>74</v>
      </c>
      <c r="R333" t="s">
        <v>74</v>
      </c>
      <c r="S333" t="s">
        <v>74</v>
      </c>
      <c r="T333" t="s">
        <v>6491</v>
      </c>
      <c r="U333" t="s">
        <v>6492</v>
      </c>
      <c r="V333" t="s">
        <v>6493</v>
      </c>
      <c r="W333" t="s">
        <v>6494</v>
      </c>
      <c r="X333" t="s">
        <v>6495</v>
      </c>
      <c r="Y333" t="s">
        <v>6496</v>
      </c>
      <c r="Z333" t="s">
        <v>6497</v>
      </c>
      <c r="AA333" t="s">
        <v>6498</v>
      </c>
      <c r="AB333" t="s">
        <v>6499</v>
      </c>
      <c r="AC333" t="s">
        <v>6500</v>
      </c>
      <c r="AD333" t="s">
        <v>6501</v>
      </c>
      <c r="AE333" t="s">
        <v>6502</v>
      </c>
      <c r="AF333" t="s">
        <v>74</v>
      </c>
      <c r="AG333">
        <v>48</v>
      </c>
      <c r="AH333">
        <v>43</v>
      </c>
      <c r="AI333">
        <v>49</v>
      </c>
      <c r="AJ333">
        <v>0</v>
      </c>
      <c r="AK333">
        <v>19</v>
      </c>
      <c r="AL333" t="s">
        <v>6479</v>
      </c>
      <c r="AM333" t="s">
        <v>1975</v>
      </c>
      <c r="AN333" t="s">
        <v>6503</v>
      </c>
      <c r="AO333" t="s">
        <v>6481</v>
      </c>
      <c r="AP333" t="s">
        <v>6482</v>
      </c>
      <c r="AQ333" t="s">
        <v>74</v>
      </c>
      <c r="AR333" t="s">
        <v>6467</v>
      </c>
      <c r="AS333" t="s">
        <v>6483</v>
      </c>
      <c r="AT333" t="s">
        <v>6107</v>
      </c>
      <c r="AU333">
        <v>2009</v>
      </c>
      <c r="AV333">
        <v>13</v>
      </c>
      <c r="AW333">
        <v>2</v>
      </c>
      <c r="AX333" t="s">
        <v>74</v>
      </c>
      <c r="AY333" t="s">
        <v>74</v>
      </c>
      <c r="AZ333" t="s">
        <v>74</v>
      </c>
      <c r="BA333" t="s">
        <v>74</v>
      </c>
      <c r="BB333">
        <v>273</v>
      </c>
      <c r="BC333">
        <v>281</v>
      </c>
      <c r="BD333" t="s">
        <v>74</v>
      </c>
      <c r="BE333" t="s">
        <v>6504</v>
      </c>
      <c r="BF333" t="str">
        <f>HYPERLINK("http://dx.doi.org/10.1007/s00792-008-0215-1","http://dx.doi.org/10.1007/s00792-008-0215-1")</f>
        <v>http://dx.doi.org/10.1007/s00792-008-0215-1</v>
      </c>
      <c r="BG333" t="s">
        <v>74</v>
      </c>
      <c r="BH333" t="s">
        <v>74</v>
      </c>
      <c r="BI333">
        <v>9</v>
      </c>
      <c r="BJ333" t="s">
        <v>6485</v>
      </c>
      <c r="BK333" t="s">
        <v>100</v>
      </c>
      <c r="BL333" t="s">
        <v>6485</v>
      </c>
      <c r="BM333" t="s">
        <v>6486</v>
      </c>
      <c r="BN333">
        <v>19089529</v>
      </c>
      <c r="BO333" t="s">
        <v>74</v>
      </c>
      <c r="BP333" t="s">
        <v>74</v>
      </c>
      <c r="BQ333" t="s">
        <v>74</v>
      </c>
      <c r="BR333" t="s">
        <v>103</v>
      </c>
      <c r="BS333" t="s">
        <v>6505</v>
      </c>
      <c r="BT333" t="str">
        <f>HYPERLINK("https%3A%2F%2Fwww.webofscience.com%2Fwos%2Fwoscc%2Ffull-record%2FWOS:000263784200006","View Full Record in Web of Science")</f>
        <v>View Full Record in Web of Science</v>
      </c>
    </row>
    <row r="334" spans="1:72" x14ac:dyDescent="0.15">
      <c r="A334" t="s">
        <v>72</v>
      </c>
      <c r="B334" t="s">
        <v>6506</v>
      </c>
      <c r="C334" t="s">
        <v>74</v>
      </c>
      <c r="D334" t="s">
        <v>74</v>
      </c>
      <c r="E334" t="s">
        <v>74</v>
      </c>
      <c r="F334" t="s">
        <v>6507</v>
      </c>
      <c r="G334" t="s">
        <v>74</v>
      </c>
      <c r="H334" t="s">
        <v>74</v>
      </c>
      <c r="I334" t="s">
        <v>6508</v>
      </c>
      <c r="J334" t="s">
        <v>6509</v>
      </c>
      <c r="K334" t="s">
        <v>74</v>
      </c>
      <c r="L334" t="s">
        <v>74</v>
      </c>
      <c r="M334" t="s">
        <v>78</v>
      </c>
      <c r="N334" t="s">
        <v>172</v>
      </c>
      <c r="O334" t="s">
        <v>74</v>
      </c>
      <c r="P334" t="s">
        <v>74</v>
      </c>
      <c r="Q334" t="s">
        <v>74</v>
      </c>
      <c r="R334" t="s">
        <v>74</v>
      </c>
      <c r="S334" t="s">
        <v>74</v>
      </c>
      <c r="T334" t="s">
        <v>6510</v>
      </c>
      <c r="U334" t="s">
        <v>6511</v>
      </c>
      <c r="V334" t="s">
        <v>6512</v>
      </c>
      <c r="W334" t="s">
        <v>6513</v>
      </c>
      <c r="X334" t="s">
        <v>6514</v>
      </c>
      <c r="Y334" t="s">
        <v>6515</v>
      </c>
      <c r="Z334" t="s">
        <v>6516</v>
      </c>
      <c r="AA334" t="s">
        <v>74</v>
      </c>
      <c r="AB334" t="s">
        <v>74</v>
      </c>
      <c r="AC334" t="s">
        <v>6517</v>
      </c>
      <c r="AD334" t="s">
        <v>6518</v>
      </c>
      <c r="AE334" t="s">
        <v>6519</v>
      </c>
      <c r="AF334" t="s">
        <v>74</v>
      </c>
      <c r="AG334">
        <v>183</v>
      </c>
      <c r="AH334">
        <v>78</v>
      </c>
      <c r="AI334">
        <v>85</v>
      </c>
      <c r="AJ334">
        <v>2</v>
      </c>
      <c r="AK334">
        <v>54</v>
      </c>
      <c r="AL334" t="s">
        <v>489</v>
      </c>
      <c r="AM334" t="s">
        <v>490</v>
      </c>
      <c r="AN334" t="s">
        <v>491</v>
      </c>
      <c r="AO334" t="s">
        <v>6520</v>
      </c>
      <c r="AP334" t="s">
        <v>6521</v>
      </c>
      <c r="AQ334" t="s">
        <v>74</v>
      </c>
      <c r="AR334" t="s">
        <v>6522</v>
      </c>
      <c r="AS334" t="s">
        <v>6523</v>
      </c>
      <c r="AT334" t="s">
        <v>6107</v>
      </c>
      <c r="AU334">
        <v>2009</v>
      </c>
      <c r="AV334">
        <v>10</v>
      </c>
      <c r="AW334">
        <v>1</v>
      </c>
      <c r="AX334" t="s">
        <v>74</v>
      </c>
      <c r="AY334" t="s">
        <v>74</v>
      </c>
      <c r="AZ334" t="s">
        <v>74</v>
      </c>
      <c r="BA334" t="s">
        <v>74</v>
      </c>
      <c r="BB334">
        <v>13</v>
      </c>
      <c r="BC334">
        <v>38</v>
      </c>
      <c r="BD334" t="s">
        <v>74</v>
      </c>
      <c r="BE334" t="s">
        <v>6524</v>
      </c>
      <c r="BF334" t="str">
        <f>HYPERLINK("http://dx.doi.org/10.1111/j.1467-2979.2008.00293.x","http://dx.doi.org/10.1111/j.1467-2979.2008.00293.x")</f>
        <v>http://dx.doi.org/10.1111/j.1467-2979.2008.00293.x</v>
      </c>
      <c r="BG334" t="s">
        <v>74</v>
      </c>
      <c r="BH334" t="s">
        <v>74</v>
      </c>
      <c r="BI334">
        <v>26</v>
      </c>
      <c r="BJ334" t="s">
        <v>6525</v>
      </c>
      <c r="BK334" t="s">
        <v>100</v>
      </c>
      <c r="BL334" t="s">
        <v>6525</v>
      </c>
      <c r="BM334" t="s">
        <v>6526</v>
      </c>
      <c r="BN334" t="s">
        <v>74</v>
      </c>
      <c r="BO334" t="s">
        <v>1106</v>
      </c>
      <c r="BP334" t="s">
        <v>74</v>
      </c>
      <c r="BQ334" t="s">
        <v>74</v>
      </c>
      <c r="BR334" t="s">
        <v>103</v>
      </c>
      <c r="BS334" t="s">
        <v>6527</v>
      </c>
      <c r="BT334" t="str">
        <f>HYPERLINK("https%3A%2F%2Fwww.webofscience.com%2Fwos%2Fwoscc%2Ffull-record%2FWOS:000263520300002","View Full Record in Web of Science")</f>
        <v>View Full Record in Web of Science</v>
      </c>
    </row>
    <row r="335" spans="1:72" x14ac:dyDescent="0.15">
      <c r="A335" t="s">
        <v>72</v>
      </c>
      <c r="B335" t="s">
        <v>6528</v>
      </c>
      <c r="C335" t="s">
        <v>74</v>
      </c>
      <c r="D335" t="s">
        <v>74</v>
      </c>
      <c r="E335" t="s">
        <v>74</v>
      </c>
      <c r="F335" t="s">
        <v>6529</v>
      </c>
      <c r="G335" t="s">
        <v>74</v>
      </c>
      <c r="H335" t="s">
        <v>74</v>
      </c>
      <c r="I335" t="s">
        <v>6530</v>
      </c>
      <c r="J335" t="s">
        <v>6531</v>
      </c>
      <c r="K335" t="s">
        <v>74</v>
      </c>
      <c r="L335" t="s">
        <v>74</v>
      </c>
      <c r="M335" t="s">
        <v>78</v>
      </c>
      <c r="N335" t="s">
        <v>79</v>
      </c>
      <c r="O335" t="s">
        <v>74</v>
      </c>
      <c r="P335" t="s">
        <v>74</v>
      </c>
      <c r="Q335" t="s">
        <v>74</v>
      </c>
      <c r="R335" t="s">
        <v>74</v>
      </c>
      <c r="S335" t="s">
        <v>74</v>
      </c>
      <c r="T335" t="s">
        <v>6532</v>
      </c>
      <c r="U335" t="s">
        <v>6533</v>
      </c>
      <c r="V335" t="s">
        <v>6534</v>
      </c>
      <c r="W335" t="s">
        <v>6535</v>
      </c>
      <c r="X335" t="s">
        <v>6536</v>
      </c>
      <c r="Y335" t="s">
        <v>6537</v>
      </c>
      <c r="Z335" t="s">
        <v>6538</v>
      </c>
      <c r="AA335" t="s">
        <v>74</v>
      </c>
      <c r="AB335" t="s">
        <v>6539</v>
      </c>
      <c r="AC335" t="s">
        <v>6540</v>
      </c>
      <c r="AD335" t="s">
        <v>6541</v>
      </c>
      <c r="AE335" t="s">
        <v>6542</v>
      </c>
      <c r="AF335" t="s">
        <v>74</v>
      </c>
      <c r="AG335">
        <v>69</v>
      </c>
      <c r="AH335">
        <v>7</v>
      </c>
      <c r="AI335">
        <v>8</v>
      </c>
      <c r="AJ335">
        <v>1</v>
      </c>
      <c r="AK335">
        <v>27</v>
      </c>
      <c r="AL335" t="s">
        <v>91</v>
      </c>
      <c r="AM335" t="s">
        <v>374</v>
      </c>
      <c r="AN335" t="s">
        <v>375</v>
      </c>
      <c r="AO335" t="s">
        <v>6543</v>
      </c>
      <c r="AP335" t="s">
        <v>6544</v>
      </c>
      <c r="AQ335" t="s">
        <v>74</v>
      </c>
      <c r="AR335" t="s">
        <v>6545</v>
      </c>
      <c r="AS335" t="s">
        <v>6546</v>
      </c>
      <c r="AT335" t="s">
        <v>6107</v>
      </c>
      <c r="AU335">
        <v>2009</v>
      </c>
      <c r="AV335">
        <v>35</v>
      </c>
      <c r="AW335">
        <v>1</v>
      </c>
      <c r="AX335" t="s">
        <v>74</v>
      </c>
      <c r="AY335" t="s">
        <v>74</v>
      </c>
      <c r="AZ335" t="s">
        <v>74</v>
      </c>
      <c r="BA335" t="s">
        <v>74</v>
      </c>
      <c r="BB335">
        <v>43</v>
      </c>
      <c r="BC335">
        <v>52</v>
      </c>
      <c r="BD335" t="s">
        <v>74</v>
      </c>
      <c r="BE335" t="s">
        <v>6547</v>
      </c>
      <c r="BF335" t="str">
        <f>HYPERLINK("http://dx.doi.org/10.1007/s10695-008-9282-6","http://dx.doi.org/10.1007/s10695-008-9282-6")</f>
        <v>http://dx.doi.org/10.1007/s10695-008-9282-6</v>
      </c>
      <c r="BG335" t="s">
        <v>74</v>
      </c>
      <c r="BH335" t="s">
        <v>74</v>
      </c>
      <c r="BI335">
        <v>10</v>
      </c>
      <c r="BJ335" t="s">
        <v>6548</v>
      </c>
      <c r="BK335" t="s">
        <v>100</v>
      </c>
      <c r="BL335" t="s">
        <v>6548</v>
      </c>
      <c r="BM335" t="s">
        <v>6549</v>
      </c>
      <c r="BN335">
        <v>18979217</v>
      </c>
      <c r="BO335" t="s">
        <v>217</v>
      </c>
      <c r="BP335" t="s">
        <v>74</v>
      </c>
      <c r="BQ335" t="s">
        <v>74</v>
      </c>
      <c r="BR335" t="s">
        <v>103</v>
      </c>
      <c r="BS335" t="s">
        <v>6550</v>
      </c>
      <c r="BT335" t="str">
        <f>HYPERLINK("https%3A%2F%2Fwww.webofscience.com%2Fwos%2Fwoscc%2Ffull-record%2FWOS:000263059000005","View Full Record in Web of Science")</f>
        <v>View Full Record in Web of Science</v>
      </c>
    </row>
    <row r="336" spans="1:72" x14ac:dyDescent="0.15">
      <c r="A336" t="s">
        <v>72</v>
      </c>
      <c r="B336" t="s">
        <v>6551</v>
      </c>
      <c r="C336" t="s">
        <v>74</v>
      </c>
      <c r="D336" t="s">
        <v>74</v>
      </c>
      <c r="E336" t="s">
        <v>74</v>
      </c>
      <c r="F336" t="s">
        <v>6552</v>
      </c>
      <c r="G336" t="s">
        <v>74</v>
      </c>
      <c r="H336" t="s">
        <v>74</v>
      </c>
      <c r="I336" t="s">
        <v>6553</v>
      </c>
      <c r="J336" t="s">
        <v>6531</v>
      </c>
      <c r="K336" t="s">
        <v>74</v>
      </c>
      <c r="L336" t="s">
        <v>74</v>
      </c>
      <c r="M336" t="s">
        <v>78</v>
      </c>
      <c r="N336" t="s">
        <v>79</v>
      </c>
      <c r="O336" t="s">
        <v>74</v>
      </c>
      <c r="P336" t="s">
        <v>74</v>
      </c>
      <c r="Q336" t="s">
        <v>74</v>
      </c>
      <c r="R336" t="s">
        <v>74</v>
      </c>
      <c r="S336" t="s">
        <v>74</v>
      </c>
      <c r="T336" t="s">
        <v>6554</v>
      </c>
      <c r="U336" t="s">
        <v>6555</v>
      </c>
      <c r="V336" t="s">
        <v>6556</v>
      </c>
      <c r="W336" t="s">
        <v>6557</v>
      </c>
      <c r="X336" t="s">
        <v>6536</v>
      </c>
      <c r="Y336" t="s">
        <v>6558</v>
      </c>
      <c r="Z336" t="s">
        <v>6538</v>
      </c>
      <c r="AA336" t="s">
        <v>74</v>
      </c>
      <c r="AB336" t="s">
        <v>6539</v>
      </c>
      <c r="AC336" t="s">
        <v>6559</v>
      </c>
      <c r="AD336" t="s">
        <v>6560</v>
      </c>
      <c r="AE336" t="s">
        <v>6561</v>
      </c>
      <c r="AF336" t="s">
        <v>74</v>
      </c>
      <c r="AG336">
        <v>33</v>
      </c>
      <c r="AH336">
        <v>18</v>
      </c>
      <c r="AI336">
        <v>20</v>
      </c>
      <c r="AJ336">
        <v>3</v>
      </c>
      <c r="AK336">
        <v>11</v>
      </c>
      <c r="AL336" t="s">
        <v>91</v>
      </c>
      <c r="AM336" t="s">
        <v>374</v>
      </c>
      <c r="AN336" t="s">
        <v>375</v>
      </c>
      <c r="AO336" t="s">
        <v>6543</v>
      </c>
      <c r="AP336" t="s">
        <v>6544</v>
      </c>
      <c r="AQ336" t="s">
        <v>74</v>
      </c>
      <c r="AR336" t="s">
        <v>6545</v>
      </c>
      <c r="AS336" t="s">
        <v>6546</v>
      </c>
      <c r="AT336" t="s">
        <v>6107</v>
      </c>
      <c r="AU336">
        <v>2009</v>
      </c>
      <c r="AV336">
        <v>35</v>
      </c>
      <c r="AW336">
        <v>1</v>
      </c>
      <c r="AX336" t="s">
        <v>74</v>
      </c>
      <c r="AY336" t="s">
        <v>74</v>
      </c>
      <c r="AZ336" t="s">
        <v>74</v>
      </c>
      <c r="BA336" t="s">
        <v>74</v>
      </c>
      <c r="BB336">
        <v>181</v>
      </c>
      <c r="BC336">
        <v>188</v>
      </c>
      <c r="BD336" t="s">
        <v>74</v>
      </c>
      <c r="BE336" t="s">
        <v>6562</v>
      </c>
      <c r="BF336" t="str">
        <f>HYPERLINK("http://dx.doi.org/10.1007/s10695-008-9234-1","http://dx.doi.org/10.1007/s10695-008-9234-1")</f>
        <v>http://dx.doi.org/10.1007/s10695-008-9234-1</v>
      </c>
      <c r="BG336" t="s">
        <v>74</v>
      </c>
      <c r="BH336" t="s">
        <v>74</v>
      </c>
      <c r="BI336">
        <v>8</v>
      </c>
      <c r="BJ336" t="s">
        <v>6548</v>
      </c>
      <c r="BK336" t="s">
        <v>100</v>
      </c>
      <c r="BL336" t="s">
        <v>6548</v>
      </c>
      <c r="BM336" t="s">
        <v>6549</v>
      </c>
      <c r="BN336">
        <v>19189243</v>
      </c>
      <c r="BO336" t="s">
        <v>217</v>
      </c>
      <c r="BP336" t="s">
        <v>74</v>
      </c>
      <c r="BQ336" t="s">
        <v>74</v>
      </c>
      <c r="BR336" t="s">
        <v>103</v>
      </c>
      <c r="BS336" t="s">
        <v>6563</v>
      </c>
      <c r="BT336" t="str">
        <f>HYPERLINK("https%3A%2F%2Fwww.webofscience.com%2Fwos%2Fwoscc%2Ffull-record%2FWOS:000263059000016","View Full Record in Web of Science")</f>
        <v>View Full Record in Web of Science</v>
      </c>
    </row>
    <row r="337" spans="1:72" x14ac:dyDescent="0.15">
      <c r="A337" t="s">
        <v>72</v>
      </c>
      <c r="B337" t="s">
        <v>6564</v>
      </c>
      <c r="C337" t="s">
        <v>74</v>
      </c>
      <c r="D337" t="s">
        <v>74</v>
      </c>
      <c r="E337" t="s">
        <v>74</v>
      </c>
      <c r="F337" t="s">
        <v>6565</v>
      </c>
      <c r="G337" t="s">
        <v>74</v>
      </c>
      <c r="H337" t="s">
        <v>74</v>
      </c>
      <c r="I337" t="s">
        <v>6566</v>
      </c>
      <c r="J337" t="s">
        <v>6567</v>
      </c>
      <c r="K337" t="s">
        <v>74</v>
      </c>
      <c r="L337" t="s">
        <v>74</v>
      </c>
      <c r="M337" t="s">
        <v>78</v>
      </c>
      <c r="N337" t="s">
        <v>79</v>
      </c>
      <c r="O337" t="s">
        <v>74</v>
      </c>
      <c r="P337" t="s">
        <v>74</v>
      </c>
      <c r="Q337" t="s">
        <v>74</v>
      </c>
      <c r="R337" t="s">
        <v>74</v>
      </c>
      <c r="S337" t="s">
        <v>74</v>
      </c>
      <c r="T337" t="s">
        <v>6568</v>
      </c>
      <c r="U337" t="s">
        <v>6569</v>
      </c>
      <c r="V337" t="s">
        <v>6570</v>
      </c>
      <c r="W337" t="s">
        <v>6571</v>
      </c>
      <c r="X337" t="s">
        <v>5241</v>
      </c>
      <c r="Y337" t="s">
        <v>6572</v>
      </c>
      <c r="Z337" t="s">
        <v>6573</v>
      </c>
      <c r="AA337" t="s">
        <v>6574</v>
      </c>
      <c r="AB337" t="s">
        <v>6575</v>
      </c>
      <c r="AC337" t="s">
        <v>74</v>
      </c>
      <c r="AD337" t="s">
        <v>74</v>
      </c>
      <c r="AE337" t="s">
        <v>74</v>
      </c>
      <c r="AF337" t="s">
        <v>74</v>
      </c>
      <c r="AG337">
        <v>40</v>
      </c>
      <c r="AH337">
        <v>35</v>
      </c>
      <c r="AI337">
        <v>41</v>
      </c>
      <c r="AJ337">
        <v>2</v>
      </c>
      <c r="AK337">
        <v>23</v>
      </c>
      <c r="AL337" t="s">
        <v>553</v>
      </c>
      <c r="AM337" t="s">
        <v>252</v>
      </c>
      <c r="AN337" t="s">
        <v>554</v>
      </c>
      <c r="AO337" t="s">
        <v>6576</v>
      </c>
      <c r="AP337" t="s">
        <v>74</v>
      </c>
      <c r="AQ337" t="s">
        <v>74</v>
      </c>
      <c r="AR337" t="s">
        <v>6577</v>
      </c>
      <c r="AS337" t="s">
        <v>6578</v>
      </c>
      <c r="AT337" t="s">
        <v>6107</v>
      </c>
      <c r="AU337">
        <v>2009</v>
      </c>
      <c r="AV337">
        <v>96</v>
      </c>
      <c r="AW337" t="s">
        <v>6579</v>
      </c>
      <c r="AX337" t="s">
        <v>74</v>
      </c>
      <c r="AY337" t="s">
        <v>74</v>
      </c>
      <c r="AZ337" t="s">
        <v>74</v>
      </c>
      <c r="BA337" t="s">
        <v>74</v>
      </c>
      <c r="BB337">
        <v>188</v>
      </c>
      <c r="BC337">
        <v>194</v>
      </c>
      <c r="BD337" t="s">
        <v>74</v>
      </c>
      <c r="BE337" t="s">
        <v>6580</v>
      </c>
      <c r="BF337" t="str">
        <f>HYPERLINK("http://dx.doi.org/10.1016/j.fishres.2008.11.002","http://dx.doi.org/10.1016/j.fishres.2008.11.002")</f>
        <v>http://dx.doi.org/10.1016/j.fishres.2008.11.002</v>
      </c>
      <c r="BG337" t="s">
        <v>74</v>
      </c>
      <c r="BH337" t="s">
        <v>74</v>
      </c>
      <c r="BI337">
        <v>7</v>
      </c>
      <c r="BJ337" t="s">
        <v>6525</v>
      </c>
      <c r="BK337" t="s">
        <v>100</v>
      </c>
      <c r="BL337" t="s">
        <v>6525</v>
      </c>
      <c r="BM337" t="s">
        <v>6581</v>
      </c>
      <c r="BN337" t="s">
        <v>74</v>
      </c>
      <c r="BO337" t="s">
        <v>74</v>
      </c>
      <c r="BP337" t="s">
        <v>74</v>
      </c>
      <c r="BQ337" t="s">
        <v>74</v>
      </c>
      <c r="BR337" t="s">
        <v>103</v>
      </c>
      <c r="BS337" t="s">
        <v>6582</v>
      </c>
      <c r="BT337" t="str">
        <f>HYPERLINK("https%3A%2F%2Fwww.webofscience.com%2Fwos%2Fwoscc%2Ffull-record%2FWOS:000264087800009","View Full Record in Web of Science")</f>
        <v>View Full Record in Web of Science</v>
      </c>
    </row>
    <row r="338" spans="1:72" x14ac:dyDescent="0.15">
      <c r="A338" t="s">
        <v>72</v>
      </c>
      <c r="B338" t="s">
        <v>6583</v>
      </c>
      <c r="C338" t="s">
        <v>74</v>
      </c>
      <c r="D338" t="s">
        <v>74</v>
      </c>
      <c r="E338" t="s">
        <v>74</v>
      </c>
      <c r="F338" t="s">
        <v>6584</v>
      </c>
      <c r="G338" t="s">
        <v>74</v>
      </c>
      <c r="H338" t="s">
        <v>74</v>
      </c>
      <c r="I338" t="s">
        <v>6585</v>
      </c>
      <c r="J338" t="s">
        <v>751</v>
      </c>
      <c r="K338" t="s">
        <v>74</v>
      </c>
      <c r="L338" t="s">
        <v>74</v>
      </c>
      <c r="M338" t="s">
        <v>78</v>
      </c>
      <c r="N338" t="s">
        <v>79</v>
      </c>
      <c r="O338" t="s">
        <v>74</v>
      </c>
      <c r="P338" t="s">
        <v>74</v>
      </c>
      <c r="Q338" t="s">
        <v>74</v>
      </c>
      <c r="R338" t="s">
        <v>74</v>
      </c>
      <c r="S338" t="s">
        <v>74</v>
      </c>
      <c r="T338" t="s">
        <v>74</v>
      </c>
      <c r="U338" t="s">
        <v>6586</v>
      </c>
      <c r="V338" t="s">
        <v>6587</v>
      </c>
      <c r="W338" t="s">
        <v>6588</v>
      </c>
      <c r="X338" t="s">
        <v>6589</v>
      </c>
      <c r="Y338" t="s">
        <v>6590</v>
      </c>
      <c r="Z338" t="s">
        <v>6591</v>
      </c>
      <c r="AA338" t="s">
        <v>6592</v>
      </c>
      <c r="AB338" t="s">
        <v>6593</v>
      </c>
      <c r="AC338" t="s">
        <v>6594</v>
      </c>
      <c r="AD338" t="s">
        <v>6595</v>
      </c>
      <c r="AE338" t="s">
        <v>74</v>
      </c>
      <c r="AF338" t="s">
        <v>74</v>
      </c>
      <c r="AG338">
        <v>99</v>
      </c>
      <c r="AH338">
        <v>41</v>
      </c>
      <c r="AI338">
        <v>41</v>
      </c>
      <c r="AJ338">
        <v>1</v>
      </c>
      <c r="AK338">
        <v>17</v>
      </c>
      <c r="AL338" t="s">
        <v>303</v>
      </c>
      <c r="AM338" t="s">
        <v>304</v>
      </c>
      <c r="AN338" t="s">
        <v>305</v>
      </c>
      <c r="AO338" t="s">
        <v>762</v>
      </c>
      <c r="AP338" t="s">
        <v>763</v>
      </c>
      <c r="AQ338" t="s">
        <v>74</v>
      </c>
      <c r="AR338" t="s">
        <v>764</v>
      </c>
      <c r="AS338" t="s">
        <v>765</v>
      </c>
      <c r="AT338" t="s">
        <v>6144</v>
      </c>
      <c r="AU338">
        <v>2009</v>
      </c>
      <c r="AV338">
        <v>73</v>
      </c>
      <c r="AW338">
        <v>5</v>
      </c>
      <c r="AX338" t="s">
        <v>74</v>
      </c>
      <c r="AY338" t="s">
        <v>74</v>
      </c>
      <c r="AZ338" t="s">
        <v>74</v>
      </c>
      <c r="BA338" t="s">
        <v>74</v>
      </c>
      <c r="BB338">
        <v>1505</v>
      </c>
      <c r="BC338">
        <v>1522</v>
      </c>
      <c r="BD338" t="s">
        <v>74</v>
      </c>
      <c r="BE338" t="s">
        <v>6596</v>
      </c>
      <c r="BF338" t="str">
        <f>HYPERLINK("http://dx.doi.org/10.1016/j.gca.2008.11.030","http://dx.doi.org/10.1016/j.gca.2008.11.030")</f>
        <v>http://dx.doi.org/10.1016/j.gca.2008.11.030</v>
      </c>
      <c r="BG338" t="s">
        <v>74</v>
      </c>
      <c r="BH338" t="s">
        <v>74</v>
      </c>
      <c r="BI338">
        <v>18</v>
      </c>
      <c r="BJ338" t="s">
        <v>534</v>
      </c>
      <c r="BK338" t="s">
        <v>100</v>
      </c>
      <c r="BL338" t="s">
        <v>534</v>
      </c>
      <c r="BM338" t="s">
        <v>6597</v>
      </c>
      <c r="BN338" t="s">
        <v>74</v>
      </c>
      <c r="BO338" t="s">
        <v>74</v>
      </c>
      <c r="BP338" t="s">
        <v>74</v>
      </c>
      <c r="BQ338" t="s">
        <v>74</v>
      </c>
      <c r="BR338" t="s">
        <v>103</v>
      </c>
      <c r="BS338" t="s">
        <v>6598</v>
      </c>
      <c r="BT338" t="str">
        <f>HYPERLINK("https%3A%2F%2Fwww.webofscience.com%2Fwos%2Fwoscc%2Ffull-record%2FWOS:000263714300019","View Full Record in Web of Science")</f>
        <v>View Full Record in Web of Science</v>
      </c>
    </row>
    <row r="339" spans="1:72" x14ac:dyDescent="0.15">
      <c r="A339" t="s">
        <v>72</v>
      </c>
      <c r="B339" t="s">
        <v>6599</v>
      </c>
      <c r="C339" t="s">
        <v>74</v>
      </c>
      <c r="D339" t="s">
        <v>74</v>
      </c>
      <c r="E339" t="s">
        <v>74</v>
      </c>
      <c r="F339" t="s">
        <v>6600</v>
      </c>
      <c r="G339" t="s">
        <v>74</v>
      </c>
      <c r="H339" t="s">
        <v>74</v>
      </c>
      <c r="I339" t="s">
        <v>6601</v>
      </c>
      <c r="J339" t="s">
        <v>6602</v>
      </c>
      <c r="K339" t="s">
        <v>74</v>
      </c>
      <c r="L339" t="s">
        <v>74</v>
      </c>
      <c r="M339" t="s">
        <v>78</v>
      </c>
      <c r="N339" t="s">
        <v>79</v>
      </c>
      <c r="O339" t="s">
        <v>74</v>
      </c>
      <c r="P339" t="s">
        <v>74</v>
      </c>
      <c r="Q339" t="s">
        <v>74</v>
      </c>
      <c r="R339" t="s">
        <v>74</v>
      </c>
      <c r="S339" t="s">
        <v>74</v>
      </c>
      <c r="T339" t="s">
        <v>6603</v>
      </c>
      <c r="U339" t="s">
        <v>6604</v>
      </c>
      <c r="V339" t="s">
        <v>6605</v>
      </c>
      <c r="W339" t="s">
        <v>6606</v>
      </c>
      <c r="X339" t="s">
        <v>6607</v>
      </c>
      <c r="Y339" t="s">
        <v>6608</v>
      </c>
      <c r="Z339" t="s">
        <v>6609</v>
      </c>
      <c r="AA339" t="s">
        <v>74</v>
      </c>
      <c r="AB339" t="s">
        <v>74</v>
      </c>
      <c r="AC339" t="s">
        <v>6610</v>
      </c>
      <c r="AD339" t="s">
        <v>6611</v>
      </c>
      <c r="AE339" t="s">
        <v>6612</v>
      </c>
      <c r="AF339" t="s">
        <v>74</v>
      </c>
      <c r="AG339">
        <v>26</v>
      </c>
      <c r="AH339">
        <v>16</v>
      </c>
      <c r="AI339">
        <v>18</v>
      </c>
      <c r="AJ339">
        <v>0</v>
      </c>
      <c r="AK339">
        <v>6</v>
      </c>
      <c r="AL339" t="s">
        <v>1947</v>
      </c>
      <c r="AM339" t="s">
        <v>1948</v>
      </c>
      <c r="AN339" t="s">
        <v>1949</v>
      </c>
      <c r="AO339" t="s">
        <v>6613</v>
      </c>
      <c r="AP339" t="s">
        <v>74</v>
      </c>
      <c r="AQ339" t="s">
        <v>74</v>
      </c>
      <c r="AR339" t="s">
        <v>6614</v>
      </c>
      <c r="AS339" t="s">
        <v>6615</v>
      </c>
      <c r="AT339" t="s">
        <v>6107</v>
      </c>
      <c r="AU339">
        <v>2009</v>
      </c>
      <c r="AV339">
        <v>13</v>
      </c>
      <c r="AW339">
        <v>1</v>
      </c>
      <c r="AX339" t="s">
        <v>74</v>
      </c>
      <c r="AY339" t="s">
        <v>74</v>
      </c>
      <c r="AZ339" t="s">
        <v>74</v>
      </c>
      <c r="BA339" t="s">
        <v>74</v>
      </c>
      <c r="BB339">
        <v>59</v>
      </c>
      <c r="BC339">
        <v>67</v>
      </c>
      <c r="BD339" t="s">
        <v>74</v>
      </c>
      <c r="BE339" t="s">
        <v>6616</v>
      </c>
      <c r="BF339" t="str">
        <f>HYPERLINK("http://dx.doi.org/10.1007/s12303-009-0005-5","http://dx.doi.org/10.1007/s12303-009-0005-5")</f>
        <v>http://dx.doi.org/10.1007/s12303-009-0005-5</v>
      </c>
      <c r="BG339" t="s">
        <v>74</v>
      </c>
      <c r="BH339" t="s">
        <v>74</v>
      </c>
      <c r="BI339">
        <v>9</v>
      </c>
      <c r="BJ339" t="s">
        <v>496</v>
      </c>
      <c r="BK339" t="s">
        <v>100</v>
      </c>
      <c r="BL339" t="s">
        <v>497</v>
      </c>
      <c r="BM339" t="s">
        <v>6617</v>
      </c>
      <c r="BN339" t="s">
        <v>74</v>
      </c>
      <c r="BO339" t="s">
        <v>74</v>
      </c>
      <c r="BP339" t="s">
        <v>74</v>
      </c>
      <c r="BQ339" t="s">
        <v>74</v>
      </c>
      <c r="BR339" t="s">
        <v>103</v>
      </c>
      <c r="BS339" t="s">
        <v>6618</v>
      </c>
      <c r="BT339" t="str">
        <f>HYPERLINK("https%3A%2F%2Fwww.webofscience.com%2Fwos%2Fwoscc%2Ffull-record%2FWOS:000264855200005","View Full Record in Web of Science")</f>
        <v>View Full Record in Web of Science</v>
      </c>
    </row>
    <row r="340" spans="1:72" x14ac:dyDescent="0.15">
      <c r="A340" t="s">
        <v>72</v>
      </c>
      <c r="B340" t="s">
        <v>6619</v>
      </c>
      <c r="C340" t="s">
        <v>74</v>
      </c>
      <c r="D340" t="s">
        <v>74</v>
      </c>
      <c r="E340" t="s">
        <v>74</v>
      </c>
      <c r="F340" t="s">
        <v>6620</v>
      </c>
      <c r="G340" t="s">
        <v>74</v>
      </c>
      <c r="H340" t="s">
        <v>74</v>
      </c>
      <c r="I340" t="s">
        <v>6621</v>
      </c>
      <c r="J340" t="s">
        <v>1751</v>
      </c>
      <c r="K340" t="s">
        <v>74</v>
      </c>
      <c r="L340" t="s">
        <v>74</v>
      </c>
      <c r="M340" t="s">
        <v>78</v>
      </c>
      <c r="N340" t="s">
        <v>79</v>
      </c>
      <c r="O340" t="s">
        <v>74</v>
      </c>
      <c r="P340" t="s">
        <v>74</v>
      </c>
      <c r="Q340" t="s">
        <v>74</v>
      </c>
      <c r="R340" t="s">
        <v>74</v>
      </c>
      <c r="S340" t="s">
        <v>74</v>
      </c>
      <c r="T340" t="s">
        <v>74</v>
      </c>
      <c r="U340" t="s">
        <v>6622</v>
      </c>
      <c r="V340" t="s">
        <v>6623</v>
      </c>
      <c r="W340" t="s">
        <v>1754</v>
      </c>
      <c r="X340" t="s">
        <v>1755</v>
      </c>
      <c r="Y340" t="s">
        <v>6624</v>
      </c>
      <c r="Z340" t="s">
        <v>6625</v>
      </c>
      <c r="AA340" t="s">
        <v>6626</v>
      </c>
      <c r="AB340" t="s">
        <v>74</v>
      </c>
      <c r="AC340" t="s">
        <v>6627</v>
      </c>
      <c r="AD340" t="s">
        <v>6628</v>
      </c>
      <c r="AE340" t="s">
        <v>6629</v>
      </c>
      <c r="AF340" t="s">
        <v>74</v>
      </c>
      <c r="AG340">
        <v>31</v>
      </c>
      <c r="AH340">
        <v>7</v>
      </c>
      <c r="AI340">
        <v>7</v>
      </c>
      <c r="AJ340">
        <v>0</v>
      </c>
      <c r="AK340">
        <v>6</v>
      </c>
      <c r="AL340" t="s">
        <v>1761</v>
      </c>
      <c r="AM340" t="s">
        <v>1762</v>
      </c>
      <c r="AN340" t="s">
        <v>1763</v>
      </c>
      <c r="AO340" t="s">
        <v>1764</v>
      </c>
      <c r="AP340" t="s">
        <v>1765</v>
      </c>
      <c r="AQ340" t="s">
        <v>74</v>
      </c>
      <c r="AR340" t="s">
        <v>1766</v>
      </c>
      <c r="AS340" t="s">
        <v>1767</v>
      </c>
      <c r="AT340" t="s">
        <v>6107</v>
      </c>
      <c r="AU340">
        <v>2009</v>
      </c>
      <c r="AV340">
        <v>43</v>
      </c>
      <c r="AW340">
        <v>2</v>
      </c>
      <c r="AX340" t="s">
        <v>74</v>
      </c>
      <c r="AY340" t="s">
        <v>74</v>
      </c>
      <c r="AZ340" t="s">
        <v>74</v>
      </c>
      <c r="BA340" t="s">
        <v>74</v>
      </c>
      <c r="BB340">
        <v>87</v>
      </c>
      <c r="BC340">
        <v>99</v>
      </c>
      <c r="BD340" t="s">
        <v>74</v>
      </c>
      <c r="BE340" t="s">
        <v>6630</v>
      </c>
      <c r="BF340" t="str">
        <f>HYPERLINK("http://dx.doi.org/10.1134/S0016852109020022","http://dx.doi.org/10.1134/S0016852109020022")</f>
        <v>http://dx.doi.org/10.1134/S0016852109020022</v>
      </c>
      <c r="BG340" t="s">
        <v>74</v>
      </c>
      <c r="BH340" t="s">
        <v>74</v>
      </c>
      <c r="BI340">
        <v>13</v>
      </c>
      <c r="BJ340" t="s">
        <v>534</v>
      </c>
      <c r="BK340" t="s">
        <v>100</v>
      </c>
      <c r="BL340" t="s">
        <v>534</v>
      </c>
      <c r="BM340" t="s">
        <v>6631</v>
      </c>
      <c r="BN340" t="s">
        <v>74</v>
      </c>
      <c r="BO340" t="s">
        <v>74</v>
      </c>
      <c r="BP340" t="s">
        <v>74</v>
      </c>
      <c r="BQ340" t="s">
        <v>74</v>
      </c>
      <c r="BR340" t="s">
        <v>103</v>
      </c>
      <c r="BS340" t="s">
        <v>6632</v>
      </c>
      <c r="BT340" t="str">
        <f>HYPERLINK("https%3A%2F%2Fwww.webofscience.com%2Fwos%2Fwoscc%2Ffull-record%2FWOS:000265498300002","View Full Record in Web of Science")</f>
        <v>View Full Record in Web of Science</v>
      </c>
    </row>
    <row r="341" spans="1:72" x14ac:dyDescent="0.15">
      <c r="A341" t="s">
        <v>72</v>
      </c>
      <c r="B341" t="s">
        <v>6633</v>
      </c>
      <c r="C341" t="s">
        <v>74</v>
      </c>
      <c r="D341" t="s">
        <v>74</v>
      </c>
      <c r="E341" t="s">
        <v>74</v>
      </c>
      <c r="F341" t="s">
        <v>6634</v>
      </c>
      <c r="G341" t="s">
        <v>74</v>
      </c>
      <c r="H341" t="s">
        <v>74</v>
      </c>
      <c r="I341" t="s">
        <v>6635</v>
      </c>
      <c r="J341" t="s">
        <v>6636</v>
      </c>
      <c r="K341" t="s">
        <v>74</v>
      </c>
      <c r="L341" t="s">
        <v>74</v>
      </c>
      <c r="M341" t="s">
        <v>78</v>
      </c>
      <c r="N341" t="s">
        <v>79</v>
      </c>
      <c r="O341" t="s">
        <v>74</v>
      </c>
      <c r="P341" t="s">
        <v>74</v>
      </c>
      <c r="Q341" t="s">
        <v>74</v>
      </c>
      <c r="R341" t="s">
        <v>74</v>
      </c>
      <c r="S341" t="s">
        <v>74</v>
      </c>
      <c r="T341" t="s">
        <v>6637</v>
      </c>
      <c r="U341" t="s">
        <v>6638</v>
      </c>
      <c r="V341" t="s">
        <v>6639</v>
      </c>
      <c r="W341" t="s">
        <v>6640</v>
      </c>
      <c r="X341" t="s">
        <v>74</v>
      </c>
      <c r="Y341" t="s">
        <v>6641</v>
      </c>
      <c r="Z341" t="s">
        <v>6642</v>
      </c>
      <c r="AA341" t="s">
        <v>74</v>
      </c>
      <c r="AB341" t="s">
        <v>74</v>
      </c>
      <c r="AC341" t="s">
        <v>6643</v>
      </c>
      <c r="AD341" t="s">
        <v>6644</v>
      </c>
      <c r="AE341" t="s">
        <v>6645</v>
      </c>
      <c r="AF341" t="s">
        <v>74</v>
      </c>
      <c r="AG341">
        <v>68</v>
      </c>
      <c r="AH341">
        <v>9</v>
      </c>
      <c r="AI341">
        <v>11</v>
      </c>
      <c r="AJ341">
        <v>1</v>
      </c>
      <c r="AK341">
        <v>9</v>
      </c>
      <c r="AL341" t="s">
        <v>2124</v>
      </c>
      <c r="AM341" t="s">
        <v>490</v>
      </c>
      <c r="AN341" t="s">
        <v>491</v>
      </c>
      <c r="AO341" t="s">
        <v>6646</v>
      </c>
      <c r="AP341" t="s">
        <v>6647</v>
      </c>
      <c r="AQ341" t="s">
        <v>74</v>
      </c>
      <c r="AR341" t="s">
        <v>6648</v>
      </c>
      <c r="AS341" t="s">
        <v>6649</v>
      </c>
      <c r="AT341" t="s">
        <v>6107</v>
      </c>
      <c r="AU341">
        <v>2009</v>
      </c>
      <c r="AV341">
        <v>18</v>
      </c>
      <c r="AW341">
        <v>2</v>
      </c>
      <c r="AX341" t="s">
        <v>74</v>
      </c>
      <c r="AY341" t="s">
        <v>74</v>
      </c>
      <c r="AZ341" t="s">
        <v>74</v>
      </c>
      <c r="BA341" t="s">
        <v>74</v>
      </c>
      <c r="BB341">
        <v>178</v>
      </c>
      <c r="BC341">
        <v>191</v>
      </c>
      <c r="BD341" t="s">
        <v>74</v>
      </c>
      <c r="BE341" t="s">
        <v>6650</v>
      </c>
      <c r="BF341" t="str">
        <f>HYPERLINK("http://dx.doi.org/10.1111/j.1466-8238.2008.00435.x","http://dx.doi.org/10.1111/j.1466-8238.2008.00435.x")</f>
        <v>http://dx.doi.org/10.1111/j.1466-8238.2008.00435.x</v>
      </c>
      <c r="BG341" t="s">
        <v>74</v>
      </c>
      <c r="BH341" t="s">
        <v>74</v>
      </c>
      <c r="BI341">
        <v>14</v>
      </c>
      <c r="BJ341" t="s">
        <v>1878</v>
      </c>
      <c r="BK341" t="s">
        <v>100</v>
      </c>
      <c r="BL341" t="s">
        <v>1104</v>
      </c>
      <c r="BM341" t="s">
        <v>6651</v>
      </c>
      <c r="BN341" t="s">
        <v>74</v>
      </c>
      <c r="BO341" t="s">
        <v>74</v>
      </c>
      <c r="BP341" t="s">
        <v>74</v>
      </c>
      <c r="BQ341" t="s">
        <v>74</v>
      </c>
      <c r="BR341" t="s">
        <v>103</v>
      </c>
      <c r="BS341" t="s">
        <v>6652</v>
      </c>
      <c r="BT341" t="str">
        <f>HYPERLINK("https%3A%2F%2Fwww.webofscience.com%2Fwos%2Fwoscc%2Ffull-record%2FWOS:000263245200005","View Full Record in Web of Science")</f>
        <v>View Full Record in Web of Science</v>
      </c>
    </row>
    <row r="342" spans="1:72" x14ac:dyDescent="0.15">
      <c r="A342" t="s">
        <v>72</v>
      </c>
      <c r="B342" t="s">
        <v>6653</v>
      </c>
      <c r="C342" t="s">
        <v>74</v>
      </c>
      <c r="D342" t="s">
        <v>74</v>
      </c>
      <c r="E342" t="s">
        <v>74</v>
      </c>
      <c r="F342" t="s">
        <v>6654</v>
      </c>
      <c r="G342" t="s">
        <v>74</v>
      </c>
      <c r="H342" t="s">
        <v>74</v>
      </c>
      <c r="I342" t="s">
        <v>6655</v>
      </c>
      <c r="J342" t="s">
        <v>6656</v>
      </c>
      <c r="K342" t="s">
        <v>74</v>
      </c>
      <c r="L342" t="s">
        <v>74</v>
      </c>
      <c r="M342" t="s">
        <v>78</v>
      </c>
      <c r="N342" t="s">
        <v>79</v>
      </c>
      <c r="O342" t="s">
        <v>74</v>
      </c>
      <c r="P342" t="s">
        <v>74</v>
      </c>
      <c r="Q342" t="s">
        <v>74</v>
      </c>
      <c r="R342" t="s">
        <v>74</v>
      </c>
      <c r="S342" t="s">
        <v>74</v>
      </c>
      <c r="T342" t="s">
        <v>6657</v>
      </c>
      <c r="U342" t="s">
        <v>6658</v>
      </c>
      <c r="V342" t="s">
        <v>6659</v>
      </c>
      <c r="W342" t="s">
        <v>6660</v>
      </c>
      <c r="X342" t="s">
        <v>6661</v>
      </c>
      <c r="Y342" t="s">
        <v>6662</v>
      </c>
      <c r="Z342" t="s">
        <v>6663</v>
      </c>
      <c r="AA342" t="s">
        <v>74</v>
      </c>
      <c r="AB342" t="s">
        <v>6664</v>
      </c>
      <c r="AC342" t="s">
        <v>6665</v>
      </c>
      <c r="AD342" t="s">
        <v>6666</v>
      </c>
      <c r="AE342" t="s">
        <v>6667</v>
      </c>
      <c r="AF342" t="s">
        <v>74</v>
      </c>
      <c r="AG342">
        <v>60</v>
      </c>
      <c r="AH342">
        <v>32</v>
      </c>
      <c r="AI342">
        <v>33</v>
      </c>
      <c r="AJ342">
        <v>0</v>
      </c>
      <c r="AK342">
        <v>15</v>
      </c>
      <c r="AL342" t="s">
        <v>91</v>
      </c>
      <c r="AM342" t="s">
        <v>374</v>
      </c>
      <c r="AN342" t="s">
        <v>375</v>
      </c>
      <c r="AO342" t="s">
        <v>6668</v>
      </c>
      <c r="AP342" t="s">
        <v>74</v>
      </c>
      <c r="AQ342" t="s">
        <v>74</v>
      </c>
      <c r="AR342" t="s">
        <v>6656</v>
      </c>
      <c r="AS342" t="s">
        <v>6669</v>
      </c>
      <c r="AT342" t="s">
        <v>6107</v>
      </c>
      <c r="AU342">
        <v>2009</v>
      </c>
      <c r="AV342">
        <v>620</v>
      </c>
      <c r="AW342" t="s">
        <v>74</v>
      </c>
      <c r="AX342" t="s">
        <v>74</v>
      </c>
      <c r="AY342" t="s">
        <v>74</v>
      </c>
      <c r="AZ342" t="s">
        <v>74</v>
      </c>
      <c r="BA342" t="s">
        <v>74</v>
      </c>
      <c r="BB342">
        <v>47</v>
      </c>
      <c r="BC342">
        <v>61</v>
      </c>
      <c r="BD342" t="s">
        <v>74</v>
      </c>
      <c r="BE342" t="s">
        <v>6670</v>
      </c>
      <c r="BF342" t="str">
        <f>HYPERLINK("http://dx.doi.org/10.1007/s10750-008-9614-7","http://dx.doi.org/10.1007/s10750-008-9614-7")</f>
        <v>http://dx.doi.org/10.1007/s10750-008-9614-7</v>
      </c>
      <c r="BG342" t="s">
        <v>74</v>
      </c>
      <c r="BH342" t="s">
        <v>74</v>
      </c>
      <c r="BI342">
        <v>15</v>
      </c>
      <c r="BJ342" t="s">
        <v>448</v>
      </c>
      <c r="BK342" t="s">
        <v>100</v>
      </c>
      <c r="BL342" t="s">
        <v>448</v>
      </c>
      <c r="BM342" t="s">
        <v>6671</v>
      </c>
      <c r="BN342" t="s">
        <v>74</v>
      </c>
      <c r="BO342" t="s">
        <v>74</v>
      </c>
      <c r="BP342" t="s">
        <v>74</v>
      </c>
      <c r="BQ342" t="s">
        <v>74</v>
      </c>
      <c r="BR342" t="s">
        <v>103</v>
      </c>
      <c r="BS342" t="s">
        <v>6672</v>
      </c>
      <c r="BT342" t="str">
        <f>HYPERLINK("https%3A%2F%2Fwww.webofscience.com%2Fwos%2Fwoscc%2Ffull-record%2FWOS:000261987900005","View Full Record in Web of Science")</f>
        <v>View Full Record in Web of Science</v>
      </c>
    </row>
    <row r="343" spans="1:72" x14ac:dyDescent="0.15">
      <c r="A343" t="s">
        <v>72</v>
      </c>
      <c r="B343" t="s">
        <v>6673</v>
      </c>
      <c r="C343" t="s">
        <v>74</v>
      </c>
      <c r="D343" t="s">
        <v>74</v>
      </c>
      <c r="E343" t="s">
        <v>74</v>
      </c>
      <c r="F343" t="s">
        <v>6674</v>
      </c>
      <c r="G343" t="s">
        <v>74</v>
      </c>
      <c r="H343" t="s">
        <v>74</v>
      </c>
      <c r="I343" t="s">
        <v>6675</v>
      </c>
      <c r="J343" t="s">
        <v>6676</v>
      </c>
      <c r="K343" t="s">
        <v>74</v>
      </c>
      <c r="L343" t="s">
        <v>74</v>
      </c>
      <c r="M343" t="s">
        <v>78</v>
      </c>
      <c r="N343" t="s">
        <v>79</v>
      </c>
      <c r="O343" t="s">
        <v>74</v>
      </c>
      <c r="P343" t="s">
        <v>74</v>
      </c>
      <c r="Q343" t="s">
        <v>74</v>
      </c>
      <c r="R343" t="s">
        <v>74</v>
      </c>
      <c r="S343" t="s">
        <v>74</v>
      </c>
      <c r="T343" t="s">
        <v>6677</v>
      </c>
      <c r="U343" t="s">
        <v>6678</v>
      </c>
      <c r="V343" t="s">
        <v>6679</v>
      </c>
      <c r="W343" t="s">
        <v>6680</v>
      </c>
      <c r="X343" t="s">
        <v>6681</v>
      </c>
      <c r="Y343" t="s">
        <v>6682</v>
      </c>
      <c r="Z343" t="s">
        <v>6683</v>
      </c>
      <c r="AA343" t="s">
        <v>6684</v>
      </c>
      <c r="AB343" t="s">
        <v>6685</v>
      </c>
      <c r="AC343" t="s">
        <v>6686</v>
      </c>
      <c r="AD343" t="s">
        <v>6687</v>
      </c>
      <c r="AE343" t="s">
        <v>6688</v>
      </c>
      <c r="AF343" t="s">
        <v>74</v>
      </c>
      <c r="AG343">
        <v>41</v>
      </c>
      <c r="AH343">
        <v>115</v>
      </c>
      <c r="AI343">
        <v>136</v>
      </c>
      <c r="AJ343">
        <v>5</v>
      </c>
      <c r="AK343">
        <v>66</v>
      </c>
      <c r="AL343" t="s">
        <v>3225</v>
      </c>
      <c r="AM343" t="s">
        <v>2924</v>
      </c>
      <c r="AN343" t="s">
        <v>3226</v>
      </c>
      <c r="AO343" t="s">
        <v>6689</v>
      </c>
      <c r="AP343" t="s">
        <v>6690</v>
      </c>
      <c r="AQ343" t="s">
        <v>74</v>
      </c>
      <c r="AR343" t="s">
        <v>6691</v>
      </c>
      <c r="AS343" t="s">
        <v>6692</v>
      </c>
      <c r="AT343" t="s">
        <v>6107</v>
      </c>
      <c r="AU343">
        <v>2009</v>
      </c>
      <c r="AV343">
        <v>3</v>
      </c>
      <c r="AW343">
        <v>3</v>
      </c>
      <c r="AX343" t="s">
        <v>74</v>
      </c>
      <c r="AY343" t="s">
        <v>74</v>
      </c>
      <c r="AZ343" t="s">
        <v>74</v>
      </c>
      <c r="BA343" t="s">
        <v>74</v>
      </c>
      <c r="BB343">
        <v>340</v>
      </c>
      <c r="BC343">
        <v>351</v>
      </c>
      <c r="BD343" t="s">
        <v>74</v>
      </c>
      <c r="BE343" t="s">
        <v>6693</v>
      </c>
      <c r="BF343" t="str">
        <f>HYPERLINK("http://dx.doi.org/10.1038/ismej.2008.111","http://dx.doi.org/10.1038/ismej.2008.111")</f>
        <v>http://dx.doi.org/10.1038/ismej.2008.111</v>
      </c>
      <c r="BG343" t="s">
        <v>74</v>
      </c>
      <c r="BH343" t="s">
        <v>74</v>
      </c>
      <c r="BI343">
        <v>12</v>
      </c>
      <c r="BJ343" t="s">
        <v>6694</v>
      </c>
      <c r="BK343" t="s">
        <v>100</v>
      </c>
      <c r="BL343" t="s">
        <v>6695</v>
      </c>
      <c r="BM343" t="s">
        <v>6696</v>
      </c>
      <c r="BN343">
        <v>19020556</v>
      </c>
      <c r="BO343" t="s">
        <v>1353</v>
      </c>
      <c r="BP343" t="s">
        <v>74</v>
      </c>
      <c r="BQ343" t="s">
        <v>74</v>
      </c>
      <c r="BR343" t="s">
        <v>103</v>
      </c>
      <c r="BS343" t="s">
        <v>6697</v>
      </c>
      <c r="BT343" t="str">
        <f>HYPERLINK("https%3A%2F%2Fwww.webofscience.com%2Fwos%2Fwoscc%2Ffull-record%2FWOS:000263914100007","View Full Record in Web of Science")</f>
        <v>View Full Record in Web of Science</v>
      </c>
    </row>
    <row r="344" spans="1:72" x14ac:dyDescent="0.15">
      <c r="A344" t="s">
        <v>72</v>
      </c>
      <c r="B344" t="s">
        <v>6698</v>
      </c>
      <c r="C344" t="s">
        <v>74</v>
      </c>
      <c r="D344" t="s">
        <v>74</v>
      </c>
      <c r="E344" t="s">
        <v>74</v>
      </c>
      <c r="F344" t="s">
        <v>6699</v>
      </c>
      <c r="G344" t="s">
        <v>74</v>
      </c>
      <c r="H344" t="s">
        <v>74</v>
      </c>
      <c r="I344" t="s">
        <v>6700</v>
      </c>
      <c r="J344" t="s">
        <v>6701</v>
      </c>
      <c r="K344" t="s">
        <v>74</v>
      </c>
      <c r="L344" t="s">
        <v>74</v>
      </c>
      <c r="M344" t="s">
        <v>78</v>
      </c>
      <c r="N344" t="s">
        <v>79</v>
      </c>
      <c r="O344" t="s">
        <v>74</v>
      </c>
      <c r="P344" t="s">
        <v>74</v>
      </c>
      <c r="Q344" t="s">
        <v>74</v>
      </c>
      <c r="R344" t="s">
        <v>74</v>
      </c>
      <c r="S344" t="s">
        <v>74</v>
      </c>
      <c r="T344" t="s">
        <v>6702</v>
      </c>
      <c r="U344" t="s">
        <v>6703</v>
      </c>
      <c r="V344" t="s">
        <v>6704</v>
      </c>
      <c r="W344" t="s">
        <v>6705</v>
      </c>
      <c r="X344" t="s">
        <v>6706</v>
      </c>
      <c r="Y344" t="s">
        <v>6707</v>
      </c>
      <c r="Z344" t="s">
        <v>6708</v>
      </c>
      <c r="AA344" t="s">
        <v>74</v>
      </c>
      <c r="AB344" t="s">
        <v>74</v>
      </c>
      <c r="AC344" t="s">
        <v>6709</v>
      </c>
      <c r="AD344" t="s">
        <v>6710</v>
      </c>
      <c r="AE344" t="s">
        <v>6711</v>
      </c>
      <c r="AF344" t="s">
        <v>74</v>
      </c>
      <c r="AG344">
        <v>31</v>
      </c>
      <c r="AH344">
        <v>12</v>
      </c>
      <c r="AI344">
        <v>12</v>
      </c>
      <c r="AJ344">
        <v>0</v>
      </c>
      <c r="AK344">
        <v>2</v>
      </c>
      <c r="AL344" t="s">
        <v>553</v>
      </c>
      <c r="AM344" t="s">
        <v>252</v>
      </c>
      <c r="AN344" t="s">
        <v>554</v>
      </c>
      <c r="AO344" t="s">
        <v>6712</v>
      </c>
      <c r="AP344" t="s">
        <v>6713</v>
      </c>
      <c r="AQ344" t="s">
        <v>74</v>
      </c>
      <c r="AR344" t="s">
        <v>6714</v>
      </c>
      <c r="AS344" t="s">
        <v>6715</v>
      </c>
      <c r="AT344" t="s">
        <v>6107</v>
      </c>
      <c r="AU344">
        <v>2009</v>
      </c>
      <c r="AV344">
        <v>67</v>
      </c>
      <c r="AW344">
        <v>3</v>
      </c>
      <c r="AX344" t="s">
        <v>74</v>
      </c>
      <c r="AY344" t="s">
        <v>74</v>
      </c>
      <c r="AZ344" t="s">
        <v>2297</v>
      </c>
      <c r="BA344" t="s">
        <v>74</v>
      </c>
      <c r="BB344">
        <v>242</v>
      </c>
      <c r="BC344">
        <v>249</v>
      </c>
      <c r="BD344" t="s">
        <v>74</v>
      </c>
      <c r="BE344" t="s">
        <v>6716</v>
      </c>
      <c r="BF344" t="str">
        <f>HYPERLINK("http://dx.doi.org/10.1016/j.jappgeo.2008.05.010","http://dx.doi.org/10.1016/j.jappgeo.2008.05.010")</f>
        <v>http://dx.doi.org/10.1016/j.jappgeo.2008.05.010</v>
      </c>
      <c r="BG344" t="s">
        <v>74</v>
      </c>
      <c r="BH344" t="s">
        <v>74</v>
      </c>
      <c r="BI344">
        <v>8</v>
      </c>
      <c r="BJ344" t="s">
        <v>6717</v>
      </c>
      <c r="BK344" t="s">
        <v>100</v>
      </c>
      <c r="BL344" t="s">
        <v>6718</v>
      </c>
      <c r="BM344" t="s">
        <v>6719</v>
      </c>
      <c r="BN344" t="s">
        <v>74</v>
      </c>
      <c r="BO344" t="s">
        <v>74</v>
      </c>
      <c r="BP344" t="s">
        <v>74</v>
      </c>
      <c r="BQ344" t="s">
        <v>74</v>
      </c>
      <c r="BR344" t="s">
        <v>103</v>
      </c>
      <c r="BS344" t="s">
        <v>6720</v>
      </c>
      <c r="BT344" t="str">
        <f>HYPERLINK("https%3A%2F%2Fwww.webofscience.com%2Fwos%2Fwoscc%2Ffull-record%2FWOS:000265314500006","View Full Record in Web of Science")</f>
        <v>View Full Record in Web of Science</v>
      </c>
    </row>
    <row r="345" spans="1:72" x14ac:dyDescent="0.15">
      <c r="A345" t="s">
        <v>72</v>
      </c>
      <c r="B345" t="s">
        <v>6721</v>
      </c>
      <c r="C345" t="s">
        <v>74</v>
      </c>
      <c r="D345" t="s">
        <v>74</v>
      </c>
      <c r="E345" t="s">
        <v>74</v>
      </c>
      <c r="F345" t="s">
        <v>6722</v>
      </c>
      <c r="G345" t="s">
        <v>74</v>
      </c>
      <c r="H345" t="s">
        <v>74</v>
      </c>
      <c r="I345" t="s">
        <v>6723</v>
      </c>
      <c r="J345" t="s">
        <v>4463</v>
      </c>
      <c r="K345" t="s">
        <v>74</v>
      </c>
      <c r="L345" t="s">
        <v>74</v>
      </c>
      <c r="M345" t="s">
        <v>78</v>
      </c>
      <c r="N345" t="s">
        <v>1437</v>
      </c>
      <c r="O345" t="s">
        <v>6724</v>
      </c>
      <c r="P345" t="s">
        <v>6725</v>
      </c>
      <c r="Q345" t="s">
        <v>6726</v>
      </c>
      <c r="R345" t="s">
        <v>74</v>
      </c>
      <c r="S345" t="s">
        <v>6727</v>
      </c>
      <c r="T345" t="s">
        <v>6728</v>
      </c>
      <c r="U345" t="s">
        <v>6729</v>
      </c>
      <c r="V345" t="s">
        <v>6730</v>
      </c>
      <c r="W345" t="s">
        <v>6731</v>
      </c>
      <c r="X345" t="s">
        <v>6732</v>
      </c>
      <c r="Y345" t="s">
        <v>6733</v>
      </c>
      <c r="Z345" t="s">
        <v>6734</v>
      </c>
      <c r="AA345" t="s">
        <v>6735</v>
      </c>
      <c r="AB345" t="s">
        <v>6736</v>
      </c>
      <c r="AC345" t="s">
        <v>74</v>
      </c>
      <c r="AD345" t="s">
        <v>74</v>
      </c>
      <c r="AE345" t="s">
        <v>74</v>
      </c>
      <c r="AF345" t="s">
        <v>74</v>
      </c>
      <c r="AG345">
        <v>28</v>
      </c>
      <c r="AH345">
        <v>16</v>
      </c>
      <c r="AI345">
        <v>17</v>
      </c>
      <c r="AJ345">
        <v>0</v>
      </c>
      <c r="AK345">
        <v>2</v>
      </c>
      <c r="AL345" t="s">
        <v>303</v>
      </c>
      <c r="AM345" t="s">
        <v>304</v>
      </c>
      <c r="AN345" t="s">
        <v>305</v>
      </c>
      <c r="AO345" t="s">
        <v>4473</v>
      </c>
      <c r="AP345" t="s">
        <v>6737</v>
      </c>
      <c r="AQ345" t="s">
        <v>74</v>
      </c>
      <c r="AR345" t="s">
        <v>4474</v>
      </c>
      <c r="AS345" t="s">
        <v>4475</v>
      </c>
      <c r="AT345" t="s">
        <v>6107</v>
      </c>
      <c r="AU345">
        <v>2009</v>
      </c>
      <c r="AV345">
        <v>71</v>
      </c>
      <c r="AW345" t="s">
        <v>3346</v>
      </c>
      <c r="AX345" t="s">
        <v>74</v>
      </c>
      <c r="AY345" t="s">
        <v>74</v>
      </c>
      <c r="AZ345" t="s">
        <v>2297</v>
      </c>
      <c r="BA345" t="s">
        <v>74</v>
      </c>
      <c r="BB345">
        <v>464</v>
      </c>
      <c r="BC345">
        <v>469</v>
      </c>
      <c r="BD345" t="s">
        <v>74</v>
      </c>
      <c r="BE345" t="s">
        <v>6738</v>
      </c>
      <c r="BF345" t="str">
        <f>HYPERLINK("http://dx.doi.org/10.1016/j.jastp.2008.09.042","http://dx.doi.org/10.1016/j.jastp.2008.09.042")</f>
        <v>http://dx.doi.org/10.1016/j.jastp.2008.09.042</v>
      </c>
      <c r="BG345" t="s">
        <v>74</v>
      </c>
      <c r="BH345" t="s">
        <v>74</v>
      </c>
      <c r="BI345">
        <v>6</v>
      </c>
      <c r="BJ345" t="s">
        <v>4477</v>
      </c>
      <c r="BK345" t="s">
        <v>1453</v>
      </c>
      <c r="BL345" t="s">
        <v>4477</v>
      </c>
      <c r="BM345" t="s">
        <v>6739</v>
      </c>
      <c r="BN345" t="s">
        <v>74</v>
      </c>
      <c r="BO345" t="s">
        <v>74</v>
      </c>
      <c r="BP345" t="s">
        <v>74</v>
      </c>
      <c r="BQ345" t="s">
        <v>74</v>
      </c>
      <c r="BR345" t="s">
        <v>103</v>
      </c>
      <c r="BS345" t="s">
        <v>6740</v>
      </c>
      <c r="BT345" t="str">
        <f>HYPERLINK("https%3A%2F%2Fwww.webofscience.com%2Fwos%2Fwoscc%2Ffull-record%2FWOS:000265231700018","View Full Record in Web of Science")</f>
        <v>View Full Record in Web of Science</v>
      </c>
    </row>
    <row r="346" spans="1:72" x14ac:dyDescent="0.15">
      <c r="A346" t="s">
        <v>72</v>
      </c>
      <c r="B346" t="s">
        <v>6741</v>
      </c>
      <c r="C346" t="s">
        <v>74</v>
      </c>
      <c r="D346" t="s">
        <v>74</v>
      </c>
      <c r="E346" t="s">
        <v>74</v>
      </c>
      <c r="F346" t="s">
        <v>6742</v>
      </c>
      <c r="G346" t="s">
        <v>74</v>
      </c>
      <c r="H346" t="s">
        <v>74</v>
      </c>
      <c r="I346" t="s">
        <v>6743</v>
      </c>
      <c r="J346" t="s">
        <v>1860</v>
      </c>
      <c r="K346" t="s">
        <v>74</v>
      </c>
      <c r="L346" t="s">
        <v>74</v>
      </c>
      <c r="M346" t="s">
        <v>78</v>
      </c>
      <c r="N346" t="s">
        <v>1437</v>
      </c>
      <c r="O346" t="s">
        <v>6744</v>
      </c>
      <c r="P346" t="s">
        <v>6745</v>
      </c>
      <c r="Q346" t="s">
        <v>6746</v>
      </c>
      <c r="R346" t="s">
        <v>74</v>
      </c>
      <c r="S346" t="s">
        <v>6747</v>
      </c>
      <c r="T346" t="s">
        <v>6748</v>
      </c>
      <c r="U346" t="s">
        <v>6749</v>
      </c>
      <c r="V346" t="s">
        <v>6750</v>
      </c>
      <c r="W346" t="s">
        <v>6751</v>
      </c>
      <c r="X346" t="s">
        <v>6752</v>
      </c>
      <c r="Y346" t="s">
        <v>6753</v>
      </c>
      <c r="Z346" t="s">
        <v>6754</v>
      </c>
      <c r="AA346" t="s">
        <v>74</v>
      </c>
      <c r="AB346" t="s">
        <v>6755</v>
      </c>
      <c r="AC346" t="s">
        <v>74</v>
      </c>
      <c r="AD346" t="s">
        <v>74</v>
      </c>
      <c r="AE346" t="s">
        <v>74</v>
      </c>
      <c r="AF346" t="s">
        <v>74</v>
      </c>
      <c r="AG346">
        <v>80</v>
      </c>
      <c r="AH346">
        <v>48</v>
      </c>
      <c r="AI346">
        <v>58</v>
      </c>
      <c r="AJ346">
        <v>1</v>
      </c>
      <c r="AK346">
        <v>33</v>
      </c>
      <c r="AL346" t="s">
        <v>489</v>
      </c>
      <c r="AM346" t="s">
        <v>490</v>
      </c>
      <c r="AN346" t="s">
        <v>491</v>
      </c>
      <c r="AO346" t="s">
        <v>1873</v>
      </c>
      <c r="AP346" t="s">
        <v>1874</v>
      </c>
      <c r="AQ346" t="s">
        <v>74</v>
      </c>
      <c r="AR346" t="s">
        <v>1875</v>
      </c>
      <c r="AS346" t="s">
        <v>1876</v>
      </c>
      <c r="AT346" t="s">
        <v>6107</v>
      </c>
      <c r="AU346">
        <v>2009</v>
      </c>
      <c r="AV346">
        <v>36</v>
      </c>
      <c r="AW346">
        <v>3</v>
      </c>
      <c r="AX346" t="s">
        <v>74</v>
      </c>
      <c r="AY346" t="s">
        <v>74</v>
      </c>
      <c r="AZ346" t="s">
        <v>74</v>
      </c>
      <c r="BA346" t="s">
        <v>74</v>
      </c>
      <c r="BB346">
        <v>439</v>
      </c>
      <c r="BC346">
        <v>451</v>
      </c>
      <c r="BD346" t="s">
        <v>74</v>
      </c>
      <c r="BE346" t="s">
        <v>6756</v>
      </c>
      <c r="BF346" t="str">
        <f>HYPERLINK("http://dx.doi.org/10.1111/j.1365-2699.2007.01873.x","http://dx.doi.org/10.1111/j.1365-2699.2007.01873.x")</f>
        <v>http://dx.doi.org/10.1111/j.1365-2699.2007.01873.x</v>
      </c>
      <c r="BG346" t="s">
        <v>74</v>
      </c>
      <c r="BH346" t="s">
        <v>74</v>
      </c>
      <c r="BI346">
        <v>13</v>
      </c>
      <c r="BJ346" t="s">
        <v>1878</v>
      </c>
      <c r="BK346" t="s">
        <v>1453</v>
      </c>
      <c r="BL346" t="s">
        <v>1104</v>
      </c>
      <c r="BM346" t="s">
        <v>6757</v>
      </c>
      <c r="BN346" t="s">
        <v>74</v>
      </c>
      <c r="BO346" t="s">
        <v>74</v>
      </c>
      <c r="BP346" t="s">
        <v>74</v>
      </c>
      <c r="BQ346" t="s">
        <v>74</v>
      </c>
      <c r="BR346" t="s">
        <v>103</v>
      </c>
      <c r="BS346" t="s">
        <v>6758</v>
      </c>
      <c r="BT346" t="str">
        <f>HYPERLINK("https%3A%2F%2Fwww.webofscience.com%2Fwos%2Fwoscc%2Ffull-record%2FWOS:000263340300006","View Full Record in Web of Science")</f>
        <v>View Full Record in Web of Science</v>
      </c>
    </row>
    <row r="347" spans="1:72" x14ac:dyDescent="0.15">
      <c r="A347" t="s">
        <v>72</v>
      </c>
      <c r="B347" t="s">
        <v>6759</v>
      </c>
      <c r="C347" t="s">
        <v>74</v>
      </c>
      <c r="D347" t="s">
        <v>74</v>
      </c>
      <c r="E347" t="s">
        <v>74</v>
      </c>
      <c r="F347" t="s">
        <v>6760</v>
      </c>
      <c r="G347" t="s">
        <v>74</v>
      </c>
      <c r="H347" t="s">
        <v>74</v>
      </c>
      <c r="I347" t="s">
        <v>6761</v>
      </c>
      <c r="J347" t="s">
        <v>6762</v>
      </c>
      <c r="K347" t="s">
        <v>74</v>
      </c>
      <c r="L347" t="s">
        <v>74</v>
      </c>
      <c r="M347" t="s">
        <v>78</v>
      </c>
      <c r="N347" t="s">
        <v>79</v>
      </c>
      <c r="O347" t="s">
        <v>74</v>
      </c>
      <c r="P347" t="s">
        <v>74</v>
      </c>
      <c r="Q347" t="s">
        <v>74</v>
      </c>
      <c r="R347" t="s">
        <v>74</v>
      </c>
      <c r="S347" t="s">
        <v>74</v>
      </c>
      <c r="T347" t="s">
        <v>74</v>
      </c>
      <c r="U347" t="s">
        <v>6763</v>
      </c>
      <c r="V347" t="s">
        <v>74</v>
      </c>
      <c r="W347" t="s">
        <v>6764</v>
      </c>
      <c r="X347" t="s">
        <v>6765</v>
      </c>
      <c r="Y347" t="s">
        <v>6766</v>
      </c>
      <c r="Z347" t="s">
        <v>6767</v>
      </c>
      <c r="AA347" t="s">
        <v>6768</v>
      </c>
      <c r="AB347" t="s">
        <v>6769</v>
      </c>
      <c r="AC347" t="s">
        <v>74</v>
      </c>
      <c r="AD347" t="s">
        <v>74</v>
      </c>
      <c r="AE347" t="s">
        <v>74</v>
      </c>
      <c r="AF347" t="s">
        <v>74</v>
      </c>
      <c r="AG347">
        <v>95</v>
      </c>
      <c r="AH347">
        <v>42</v>
      </c>
      <c r="AI347">
        <v>50</v>
      </c>
      <c r="AJ347">
        <v>0</v>
      </c>
      <c r="AK347">
        <v>7</v>
      </c>
      <c r="AL347" t="s">
        <v>1167</v>
      </c>
      <c r="AM347" t="s">
        <v>1168</v>
      </c>
      <c r="AN347" t="s">
        <v>1169</v>
      </c>
      <c r="AO347" t="s">
        <v>6770</v>
      </c>
      <c r="AP347" t="s">
        <v>6771</v>
      </c>
      <c r="AQ347" t="s">
        <v>74</v>
      </c>
      <c r="AR347" t="s">
        <v>6772</v>
      </c>
      <c r="AS347" t="s">
        <v>6773</v>
      </c>
      <c r="AT347" t="s">
        <v>6107</v>
      </c>
      <c r="AU347">
        <v>2009</v>
      </c>
      <c r="AV347">
        <v>31</v>
      </c>
      <c r="AW347" t="s">
        <v>74</v>
      </c>
      <c r="AX347">
        <v>1</v>
      </c>
      <c r="AY347" t="s">
        <v>74</v>
      </c>
      <c r="AZ347" t="s">
        <v>74</v>
      </c>
      <c r="BA347" t="s">
        <v>74</v>
      </c>
      <c r="BB347">
        <v>54</v>
      </c>
      <c r="BC347">
        <v>62</v>
      </c>
      <c r="BD347" t="s">
        <v>74</v>
      </c>
      <c r="BE347" t="s">
        <v>6774</v>
      </c>
      <c r="BF347" t="str">
        <f>HYPERLINK("http://dx.doi.org/10.1179/037366808X343711","http://dx.doi.org/10.1179/037366808X343711")</f>
        <v>http://dx.doi.org/10.1179/037366808X343711</v>
      </c>
      <c r="BG347" t="s">
        <v>74</v>
      </c>
      <c r="BH347" t="s">
        <v>74</v>
      </c>
      <c r="BI347">
        <v>10</v>
      </c>
      <c r="BJ347" t="s">
        <v>2573</v>
      </c>
      <c r="BK347" t="s">
        <v>100</v>
      </c>
      <c r="BL347" t="s">
        <v>2573</v>
      </c>
      <c r="BM347" t="s">
        <v>6775</v>
      </c>
      <c r="BN347" t="s">
        <v>74</v>
      </c>
      <c r="BO347" t="s">
        <v>74</v>
      </c>
      <c r="BP347" t="s">
        <v>74</v>
      </c>
      <c r="BQ347" t="s">
        <v>74</v>
      </c>
      <c r="BR347" t="s">
        <v>103</v>
      </c>
      <c r="BS347" t="s">
        <v>6776</v>
      </c>
      <c r="BT347" t="str">
        <f>HYPERLINK("https%3A%2F%2Fwww.webofscience.com%2Fwos%2Fwoscc%2Ffull-record%2FWOS:000265901100011","View Full Record in Web of Science")</f>
        <v>View Full Record in Web of Science</v>
      </c>
    </row>
    <row r="348" spans="1:72" x14ac:dyDescent="0.15">
      <c r="A348" t="s">
        <v>72</v>
      </c>
      <c r="B348" t="s">
        <v>1881</v>
      </c>
      <c r="C348" t="s">
        <v>74</v>
      </c>
      <c r="D348" t="s">
        <v>74</v>
      </c>
      <c r="E348" t="s">
        <v>74</v>
      </c>
      <c r="F348" t="s">
        <v>1882</v>
      </c>
      <c r="G348" t="s">
        <v>74</v>
      </c>
      <c r="H348" t="s">
        <v>74</v>
      </c>
      <c r="I348" t="s">
        <v>6777</v>
      </c>
      <c r="J348" t="s">
        <v>1884</v>
      </c>
      <c r="K348" t="s">
        <v>74</v>
      </c>
      <c r="L348" t="s">
        <v>74</v>
      </c>
      <c r="M348" t="s">
        <v>78</v>
      </c>
      <c r="N348" t="s">
        <v>79</v>
      </c>
      <c r="O348" t="s">
        <v>74</v>
      </c>
      <c r="P348" t="s">
        <v>74</v>
      </c>
      <c r="Q348" t="s">
        <v>74</v>
      </c>
      <c r="R348" t="s">
        <v>74</v>
      </c>
      <c r="S348" t="s">
        <v>74</v>
      </c>
      <c r="T348" t="s">
        <v>74</v>
      </c>
      <c r="U348" t="s">
        <v>6778</v>
      </c>
      <c r="V348" t="s">
        <v>6779</v>
      </c>
      <c r="W348" t="s">
        <v>6780</v>
      </c>
      <c r="X348" t="s">
        <v>1888</v>
      </c>
      <c r="Y348" t="s">
        <v>6781</v>
      </c>
      <c r="Z348" t="s">
        <v>1890</v>
      </c>
      <c r="AA348" t="s">
        <v>1891</v>
      </c>
      <c r="AB348" t="s">
        <v>1892</v>
      </c>
      <c r="AC348" t="s">
        <v>1893</v>
      </c>
      <c r="AD348" t="s">
        <v>1894</v>
      </c>
      <c r="AE348" t="s">
        <v>1895</v>
      </c>
      <c r="AF348" t="s">
        <v>74</v>
      </c>
      <c r="AG348">
        <v>42</v>
      </c>
      <c r="AH348">
        <v>52</v>
      </c>
      <c r="AI348">
        <v>59</v>
      </c>
      <c r="AJ348">
        <v>1</v>
      </c>
      <c r="AK348">
        <v>23</v>
      </c>
      <c r="AL348" t="s">
        <v>1398</v>
      </c>
      <c r="AM348" t="s">
        <v>1399</v>
      </c>
      <c r="AN348" t="s">
        <v>1400</v>
      </c>
      <c r="AO348" t="s">
        <v>1896</v>
      </c>
      <c r="AP348" t="s">
        <v>1897</v>
      </c>
      <c r="AQ348" t="s">
        <v>74</v>
      </c>
      <c r="AR348" t="s">
        <v>1898</v>
      </c>
      <c r="AS348" t="s">
        <v>1899</v>
      </c>
      <c r="AT348" t="s">
        <v>6144</v>
      </c>
      <c r="AU348">
        <v>2009</v>
      </c>
      <c r="AV348">
        <v>22</v>
      </c>
      <c r="AW348">
        <v>5</v>
      </c>
      <c r="AX348" t="s">
        <v>74</v>
      </c>
      <c r="AY348" t="s">
        <v>74</v>
      </c>
      <c r="AZ348" t="s">
        <v>74</v>
      </c>
      <c r="BA348" t="s">
        <v>74</v>
      </c>
      <c r="BB348">
        <v>1277</v>
      </c>
      <c r="BC348">
        <v>1286</v>
      </c>
      <c r="BD348" t="s">
        <v>74</v>
      </c>
      <c r="BE348" t="s">
        <v>6782</v>
      </c>
      <c r="BF348" t="str">
        <f>HYPERLINK("http://dx.doi.org/10.1175/2008JCLI2310.1","http://dx.doi.org/10.1175/2008JCLI2310.1")</f>
        <v>http://dx.doi.org/10.1175/2008JCLI2310.1</v>
      </c>
      <c r="BG348" t="s">
        <v>74</v>
      </c>
      <c r="BH348" t="s">
        <v>74</v>
      </c>
      <c r="BI348">
        <v>10</v>
      </c>
      <c r="BJ348" t="s">
        <v>398</v>
      </c>
      <c r="BK348" t="s">
        <v>100</v>
      </c>
      <c r="BL348" t="s">
        <v>398</v>
      </c>
      <c r="BM348" t="s">
        <v>6783</v>
      </c>
      <c r="BN348" t="s">
        <v>74</v>
      </c>
      <c r="BO348" t="s">
        <v>499</v>
      </c>
      <c r="BP348" t="s">
        <v>74</v>
      </c>
      <c r="BQ348" t="s">
        <v>74</v>
      </c>
      <c r="BR348" t="s">
        <v>103</v>
      </c>
      <c r="BS348" t="s">
        <v>6784</v>
      </c>
      <c r="BT348" t="str">
        <f>HYPERLINK("https%3A%2F%2Fwww.webofscience.com%2Fwos%2Fwoscc%2Ffull-record%2FWOS:000264681100013","View Full Record in Web of Science")</f>
        <v>View Full Record in Web of Science</v>
      </c>
    </row>
    <row r="349" spans="1:72" x14ac:dyDescent="0.15">
      <c r="A349" t="s">
        <v>72</v>
      </c>
      <c r="B349" t="s">
        <v>6785</v>
      </c>
      <c r="C349" t="s">
        <v>74</v>
      </c>
      <c r="D349" t="s">
        <v>74</v>
      </c>
      <c r="E349" t="s">
        <v>74</v>
      </c>
      <c r="F349" t="s">
        <v>6786</v>
      </c>
      <c r="G349" t="s">
        <v>74</v>
      </c>
      <c r="H349" t="s">
        <v>74</v>
      </c>
      <c r="I349" t="s">
        <v>6787</v>
      </c>
      <c r="J349" t="s">
        <v>1884</v>
      </c>
      <c r="K349" t="s">
        <v>74</v>
      </c>
      <c r="L349" t="s">
        <v>74</v>
      </c>
      <c r="M349" t="s">
        <v>78</v>
      </c>
      <c r="N349" t="s">
        <v>79</v>
      </c>
      <c r="O349" t="s">
        <v>74</v>
      </c>
      <c r="P349" t="s">
        <v>74</v>
      </c>
      <c r="Q349" t="s">
        <v>74</v>
      </c>
      <c r="R349" t="s">
        <v>74</v>
      </c>
      <c r="S349" t="s">
        <v>74</v>
      </c>
      <c r="T349" t="s">
        <v>74</v>
      </c>
      <c r="U349" t="s">
        <v>6788</v>
      </c>
      <c r="V349" t="s">
        <v>6789</v>
      </c>
      <c r="W349" t="s">
        <v>6790</v>
      </c>
      <c r="X349" t="s">
        <v>6791</v>
      </c>
      <c r="Y349" t="s">
        <v>6792</v>
      </c>
      <c r="Z349" t="s">
        <v>6793</v>
      </c>
      <c r="AA349" t="s">
        <v>74</v>
      </c>
      <c r="AB349" t="s">
        <v>74</v>
      </c>
      <c r="AC349" t="s">
        <v>6794</v>
      </c>
      <c r="AD349" t="s">
        <v>6794</v>
      </c>
      <c r="AE349" t="s">
        <v>6795</v>
      </c>
      <c r="AF349" t="s">
        <v>74</v>
      </c>
      <c r="AG349">
        <v>33</v>
      </c>
      <c r="AH349">
        <v>194</v>
      </c>
      <c r="AI349">
        <v>206</v>
      </c>
      <c r="AJ349">
        <v>0</v>
      </c>
      <c r="AK349">
        <v>30</v>
      </c>
      <c r="AL349" t="s">
        <v>1398</v>
      </c>
      <c r="AM349" t="s">
        <v>1399</v>
      </c>
      <c r="AN349" t="s">
        <v>1400</v>
      </c>
      <c r="AO349" t="s">
        <v>1896</v>
      </c>
      <c r="AP349" t="s">
        <v>1897</v>
      </c>
      <c r="AQ349" t="s">
        <v>74</v>
      </c>
      <c r="AR349" t="s">
        <v>1898</v>
      </c>
      <c r="AS349" t="s">
        <v>1899</v>
      </c>
      <c r="AT349" t="s">
        <v>6107</v>
      </c>
      <c r="AU349">
        <v>2009</v>
      </c>
      <c r="AV349">
        <v>22</v>
      </c>
      <c r="AW349">
        <v>6</v>
      </c>
      <c r="AX349" t="s">
        <v>74</v>
      </c>
      <c r="AY349" t="s">
        <v>74</v>
      </c>
      <c r="AZ349" t="s">
        <v>74</v>
      </c>
      <c r="BA349" t="s">
        <v>74</v>
      </c>
      <c r="BB349">
        <v>1516</v>
      </c>
      <c r="BC349">
        <v>1540</v>
      </c>
      <c r="BD349" t="s">
        <v>74</v>
      </c>
      <c r="BE349" t="s">
        <v>6796</v>
      </c>
      <c r="BF349" t="str">
        <f>HYPERLINK("http://dx.doi.org/10.1175/2008JCLI2679.1","http://dx.doi.org/10.1175/2008JCLI2679.1")</f>
        <v>http://dx.doi.org/10.1175/2008JCLI2679.1</v>
      </c>
      <c r="BG349" t="s">
        <v>74</v>
      </c>
      <c r="BH349" t="s">
        <v>74</v>
      </c>
      <c r="BI349">
        <v>25</v>
      </c>
      <c r="BJ349" t="s">
        <v>398</v>
      </c>
      <c r="BK349" t="s">
        <v>100</v>
      </c>
      <c r="BL349" t="s">
        <v>398</v>
      </c>
      <c r="BM349" t="s">
        <v>6797</v>
      </c>
      <c r="BN349" t="s">
        <v>74</v>
      </c>
      <c r="BO349" t="s">
        <v>262</v>
      </c>
      <c r="BP349" t="s">
        <v>74</v>
      </c>
      <c r="BQ349" t="s">
        <v>74</v>
      </c>
      <c r="BR349" t="s">
        <v>103</v>
      </c>
      <c r="BS349" t="s">
        <v>6798</v>
      </c>
      <c r="BT349" t="str">
        <f>HYPERLINK("https%3A%2F%2Fwww.webofscience.com%2Fwos%2Fwoscc%2Ffull-record%2FWOS:000265104000013","View Full Record in Web of Science")</f>
        <v>View Full Record in Web of Science</v>
      </c>
    </row>
    <row r="350" spans="1:72" x14ac:dyDescent="0.15">
      <c r="A350" t="s">
        <v>72</v>
      </c>
      <c r="B350" t="s">
        <v>6799</v>
      </c>
      <c r="C350" t="s">
        <v>74</v>
      </c>
      <c r="D350" t="s">
        <v>74</v>
      </c>
      <c r="E350" t="s">
        <v>74</v>
      </c>
      <c r="F350" t="s">
        <v>6800</v>
      </c>
      <c r="G350" t="s">
        <v>74</v>
      </c>
      <c r="H350" t="s">
        <v>74</v>
      </c>
      <c r="I350" t="s">
        <v>6801</v>
      </c>
      <c r="J350" t="s">
        <v>6802</v>
      </c>
      <c r="K350" t="s">
        <v>74</v>
      </c>
      <c r="L350" t="s">
        <v>74</v>
      </c>
      <c r="M350" t="s">
        <v>78</v>
      </c>
      <c r="N350" t="s">
        <v>79</v>
      </c>
      <c r="O350" t="s">
        <v>74</v>
      </c>
      <c r="P350" t="s">
        <v>74</v>
      </c>
      <c r="Q350" t="s">
        <v>74</v>
      </c>
      <c r="R350" t="s">
        <v>74</v>
      </c>
      <c r="S350" t="s">
        <v>74</v>
      </c>
      <c r="T350" t="s">
        <v>6803</v>
      </c>
      <c r="U350" t="s">
        <v>6804</v>
      </c>
      <c r="V350" t="s">
        <v>6805</v>
      </c>
      <c r="W350" t="s">
        <v>6806</v>
      </c>
      <c r="X350" t="s">
        <v>6807</v>
      </c>
      <c r="Y350" t="s">
        <v>6808</v>
      </c>
      <c r="Z350" t="s">
        <v>6809</v>
      </c>
      <c r="AA350" t="s">
        <v>74</v>
      </c>
      <c r="AB350" t="s">
        <v>74</v>
      </c>
      <c r="AC350" t="s">
        <v>6810</v>
      </c>
      <c r="AD350" t="s">
        <v>6810</v>
      </c>
      <c r="AE350" t="s">
        <v>6811</v>
      </c>
      <c r="AF350" t="s">
        <v>74</v>
      </c>
      <c r="AG350">
        <v>43</v>
      </c>
      <c r="AH350">
        <v>8</v>
      </c>
      <c r="AI350">
        <v>10</v>
      </c>
      <c r="AJ350">
        <v>0</v>
      </c>
      <c r="AK350">
        <v>16</v>
      </c>
      <c r="AL350" t="s">
        <v>489</v>
      </c>
      <c r="AM350" t="s">
        <v>490</v>
      </c>
      <c r="AN350" t="s">
        <v>491</v>
      </c>
      <c r="AO350" t="s">
        <v>6812</v>
      </c>
      <c r="AP350" t="s">
        <v>6813</v>
      </c>
      <c r="AQ350" t="s">
        <v>74</v>
      </c>
      <c r="AR350" t="s">
        <v>6814</v>
      </c>
      <c r="AS350" t="s">
        <v>6815</v>
      </c>
      <c r="AT350" t="s">
        <v>6107</v>
      </c>
      <c r="AU350">
        <v>2009</v>
      </c>
      <c r="AV350">
        <v>74</v>
      </c>
      <c r="AW350">
        <v>4</v>
      </c>
      <c r="AX350" t="s">
        <v>74</v>
      </c>
      <c r="AY350" t="s">
        <v>74</v>
      </c>
      <c r="AZ350" t="s">
        <v>74</v>
      </c>
      <c r="BA350" t="s">
        <v>74</v>
      </c>
      <c r="BB350">
        <v>806</v>
      </c>
      <c r="BC350">
        <v>819</v>
      </c>
      <c r="BD350" t="s">
        <v>74</v>
      </c>
      <c r="BE350" t="s">
        <v>6816</v>
      </c>
      <c r="BF350" t="str">
        <f>HYPERLINK("http://dx.doi.org/10.1111/j.1095-8649.2008.02158.x","http://dx.doi.org/10.1111/j.1095-8649.2008.02158.x")</f>
        <v>http://dx.doi.org/10.1111/j.1095-8649.2008.02158.x</v>
      </c>
      <c r="BG350" t="s">
        <v>74</v>
      </c>
      <c r="BH350" t="s">
        <v>74</v>
      </c>
      <c r="BI350">
        <v>14</v>
      </c>
      <c r="BJ350" t="s">
        <v>380</v>
      </c>
      <c r="BK350" t="s">
        <v>100</v>
      </c>
      <c r="BL350" t="s">
        <v>380</v>
      </c>
      <c r="BM350" t="s">
        <v>6817</v>
      </c>
      <c r="BN350">
        <v>20735601</v>
      </c>
      <c r="BO350" t="s">
        <v>74</v>
      </c>
      <c r="BP350" t="s">
        <v>74</v>
      </c>
      <c r="BQ350" t="s">
        <v>74</v>
      </c>
      <c r="BR350" t="s">
        <v>103</v>
      </c>
      <c r="BS350" t="s">
        <v>6818</v>
      </c>
      <c r="BT350" t="str">
        <f>HYPERLINK("https%3A%2F%2Fwww.webofscience.com%2Fwos%2Fwoscc%2Ffull-record%2FWOS:000264022500006","View Full Record in Web of Science")</f>
        <v>View Full Record in Web of Science</v>
      </c>
    </row>
    <row r="351" spans="1:72" x14ac:dyDescent="0.15">
      <c r="A351" t="s">
        <v>72</v>
      </c>
      <c r="B351" t="s">
        <v>6819</v>
      </c>
      <c r="C351" t="s">
        <v>74</v>
      </c>
      <c r="D351" t="s">
        <v>74</v>
      </c>
      <c r="E351" t="s">
        <v>74</v>
      </c>
      <c r="F351" t="s">
        <v>6820</v>
      </c>
      <c r="G351" t="s">
        <v>74</v>
      </c>
      <c r="H351" t="s">
        <v>74</v>
      </c>
      <c r="I351" t="s">
        <v>6821</v>
      </c>
      <c r="J351" t="s">
        <v>1987</v>
      </c>
      <c r="K351" t="s">
        <v>74</v>
      </c>
      <c r="L351" t="s">
        <v>74</v>
      </c>
      <c r="M351" t="s">
        <v>78</v>
      </c>
      <c r="N351" t="s">
        <v>79</v>
      </c>
      <c r="O351" t="s">
        <v>74</v>
      </c>
      <c r="P351" t="s">
        <v>74</v>
      </c>
      <c r="Q351" t="s">
        <v>74</v>
      </c>
      <c r="R351" t="s">
        <v>74</v>
      </c>
      <c r="S351" t="s">
        <v>74</v>
      </c>
      <c r="T351" t="s">
        <v>6822</v>
      </c>
      <c r="U351" t="s">
        <v>6823</v>
      </c>
      <c r="V351" t="s">
        <v>6824</v>
      </c>
      <c r="W351" t="s">
        <v>6825</v>
      </c>
      <c r="X351" t="s">
        <v>6826</v>
      </c>
      <c r="Y351" t="s">
        <v>6827</v>
      </c>
      <c r="Z351" t="s">
        <v>6828</v>
      </c>
      <c r="AA351" t="s">
        <v>6829</v>
      </c>
      <c r="AB351" t="s">
        <v>6830</v>
      </c>
      <c r="AC351" t="s">
        <v>74</v>
      </c>
      <c r="AD351" t="s">
        <v>74</v>
      </c>
      <c r="AE351" t="s">
        <v>74</v>
      </c>
      <c r="AF351" t="s">
        <v>74</v>
      </c>
      <c r="AG351">
        <v>49</v>
      </c>
      <c r="AH351">
        <v>96</v>
      </c>
      <c r="AI351">
        <v>120</v>
      </c>
      <c r="AJ351">
        <v>1</v>
      </c>
      <c r="AK351">
        <v>37</v>
      </c>
      <c r="AL351" t="s">
        <v>489</v>
      </c>
      <c r="AM351" t="s">
        <v>490</v>
      </c>
      <c r="AN351" t="s">
        <v>491</v>
      </c>
      <c r="AO351" t="s">
        <v>1995</v>
      </c>
      <c r="AP351" t="s">
        <v>1996</v>
      </c>
      <c r="AQ351" t="s">
        <v>74</v>
      </c>
      <c r="AR351" t="s">
        <v>1997</v>
      </c>
      <c r="AS351" t="s">
        <v>1998</v>
      </c>
      <c r="AT351" t="s">
        <v>6107</v>
      </c>
      <c r="AU351">
        <v>2009</v>
      </c>
      <c r="AV351">
        <v>74</v>
      </c>
      <c r="AW351">
        <v>2</v>
      </c>
      <c r="AX351" t="s">
        <v>74</v>
      </c>
      <c r="AY351" t="s">
        <v>74</v>
      </c>
      <c r="AZ351" t="s">
        <v>74</v>
      </c>
      <c r="BA351" t="s">
        <v>74</v>
      </c>
      <c r="BB351" t="s">
        <v>6831</v>
      </c>
      <c r="BC351" t="s">
        <v>6832</v>
      </c>
      <c r="BD351" t="s">
        <v>74</v>
      </c>
      <c r="BE351" t="s">
        <v>6833</v>
      </c>
      <c r="BF351" t="str">
        <f>HYPERLINK("http://dx.doi.org/10.1111/j.1750-3841.2008.01026.x","http://dx.doi.org/10.1111/j.1750-3841.2008.01026.x")</f>
        <v>http://dx.doi.org/10.1111/j.1750-3841.2008.01026.x</v>
      </c>
      <c r="BG351" t="s">
        <v>74</v>
      </c>
      <c r="BH351" t="s">
        <v>74</v>
      </c>
      <c r="BI351">
        <v>9</v>
      </c>
      <c r="BJ351" t="s">
        <v>2002</v>
      </c>
      <c r="BK351" t="s">
        <v>100</v>
      </c>
      <c r="BL351" t="s">
        <v>2002</v>
      </c>
      <c r="BM351" t="s">
        <v>6834</v>
      </c>
      <c r="BN351">
        <v>19323748</v>
      </c>
      <c r="BO351" t="s">
        <v>74</v>
      </c>
      <c r="BP351" t="s">
        <v>74</v>
      </c>
      <c r="BQ351" t="s">
        <v>74</v>
      </c>
      <c r="BR351" t="s">
        <v>103</v>
      </c>
      <c r="BS351" t="s">
        <v>6835</v>
      </c>
      <c r="BT351" t="str">
        <f>HYPERLINK("https%3A%2F%2Fwww.webofscience.com%2Fwos%2Fwoscc%2Ffull-record%2FWOS:000264272500028","View Full Record in Web of Science")</f>
        <v>View Full Record in Web of Science</v>
      </c>
    </row>
    <row r="352" spans="1:72" x14ac:dyDescent="0.15">
      <c r="A352" t="s">
        <v>72</v>
      </c>
      <c r="B352" t="s">
        <v>6836</v>
      </c>
      <c r="C352" t="s">
        <v>74</v>
      </c>
      <c r="D352" t="s">
        <v>74</v>
      </c>
      <c r="E352" t="s">
        <v>74</v>
      </c>
      <c r="F352" t="s">
        <v>6837</v>
      </c>
      <c r="G352" t="s">
        <v>74</v>
      </c>
      <c r="H352" t="s">
        <v>74</v>
      </c>
      <c r="I352" t="s">
        <v>6838</v>
      </c>
      <c r="J352" t="s">
        <v>6839</v>
      </c>
      <c r="K352" t="s">
        <v>74</v>
      </c>
      <c r="L352" t="s">
        <v>74</v>
      </c>
      <c r="M352" t="s">
        <v>78</v>
      </c>
      <c r="N352" t="s">
        <v>79</v>
      </c>
      <c r="O352" t="s">
        <v>74</v>
      </c>
      <c r="P352" t="s">
        <v>74</v>
      </c>
      <c r="Q352" t="s">
        <v>74</v>
      </c>
      <c r="R352" t="s">
        <v>74</v>
      </c>
      <c r="S352" t="s">
        <v>74</v>
      </c>
      <c r="T352" t="s">
        <v>6840</v>
      </c>
      <c r="U352" t="s">
        <v>6841</v>
      </c>
      <c r="V352" t="s">
        <v>6842</v>
      </c>
      <c r="W352" t="s">
        <v>6843</v>
      </c>
      <c r="X352" t="s">
        <v>1939</v>
      </c>
      <c r="Y352" t="s">
        <v>3962</v>
      </c>
      <c r="Z352" t="s">
        <v>3835</v>
      </c>
      <c r="AA352" t="s">
        <v>74</v>
      </c>
      <c r="AB352" t="s">
        <v>74</v>
      </c>
      <c r="AC352" t="s">
        <v>2715</v>
      </c>
      <c r="AD352" t="s">
        <v>2716</v>
      </c>
      <c r="AE352" t="s">
        <v>6844</v>
      </c>
      <c r="AF352" t="s">
        <v>74</v>
      </c>
      <c r="AG352">
        <v>40</v>
      </c>
      <c r="AH352">
        <v>13</v>
      </c>
      <c r="AI352">
        <v>15</v>
      </c>
      <c r="AJ352">
        <v>0</v>
      </c>
      <c r="AK352">
        <v>19</v>
      </c>
      <c r="AL352" t="s">
        <v>6845</v>
      </c>
      <c r="AM352" t="s">
        <v>92</v>
      </c>
      <c r="AN352" t="s">
        <v>93</v>
      </c>
      <c r="AO352" t="s">
        <v>6846</v>
      </c>
      <c r="AP352" t="s">
        <v>6847</v>
      </c>
      <c r="AQ352" t="s">
        <v>74</v>
      </c>
      <c r="AR352" t="s">
        <v>6848</v>
      </c>
      <c r="AS352" t="s">
        <v>6849</v>
      </c>
      <c r="AT352" t="s">
        <v>6107</v>
      </c>
      <c r="AU352">
        <v>2009</v>
      </c>
      <c r="AV352">
        <v>22</v>
      </c>
      <c r="AW352">
        <v>2</v>
      </c>
      <c r="AX352" t="s">
        <v>74</v>
      </c>
      <c r="AY352" t="s">
        <v>74</v>
      </c>
      <c r="AZ352" t="s">
        <v>74</v>
      </c>
      <c r="BA352" t="s">
        <v>74</v>
      </c>
      <c r="BB352">
        <v>121</v>
      </c>
      <c r="BC352">
        <v>133</v>
      </c>
      <c r="BD352" t="s">
        <v>74</v>
      </c>
      <c r="BE352" t="s">
        <v>6850</v>
      </c>
      <c r="BF352" t="str">
        <f>HYPERLINK("http://dx.doi.org/10.1007/s10905-008-9159-7","http://dx.doi.org/10.1007/s10905-008-9159-7")</f>
        <v>http://dx.doi.org/10.1007/s10905-008-9159-7</v>
      </c>
      <c r="BG352" t="s">
        <v>74</v>
      </c>
      <c r="BH352" t="s">
        <v>74</v>
      </c>
      <c r="BI352">
        <v>13</v>
      </c>
      <c r="BJ352" t="s">
        <v>6851</v>
      </c>
      <c r="BK352" t="s">
        <v>100</v>
      </c>
      <c r="BL352" t="s">
        <v>6851</v>
      </c>
      <c r="BM352" t="s">
        <v>6852</v>
      </c>
      <c r="BN352" t="s">
        <v>74</v>
      </c>
      <c r="BO352" t="s">
        <v>74</v>
      </c>
      <c r="BP352" t="s">
        <v>74</v>
      </c>
      <c r="BQ352" t="s">
        <v>74</v>
      </c>
      <c r="BR352" t="s">
        <v>103</v>
      </c>
      <c r="BS352" t="s">
        <v>6853</v>
      </c>
      <c r="BT352" t="str">
        <f>HYPERLINK("https%3A%2F%2Fwww.webofscience.com%2Fwos%2Fwoscc%2Ffull-record%2FWOS:000262698700004","View Full Record in Web of Science")</f>
        <v>View Full Record in Web of Science</v>
      </c>
    </row>
    <row r="353" spans="1:72" x14ac:dyDescent="0.15">
      <c r="A353" t="s">
        <v>72</v>
      </c>
      <c r="B353" t="s">
        <v>6854</v>
      </c>
      <c r="C353" t="s">
        <v>74</v>
      </c>
      <c r="D353" t="s">
        <v>74</v>
      </c>
      <c r="E353" t="s">
        <v>74</v>
      </c>
      <c r="F353" t="s">
        <v>6855</v>
      </c>
      <c r="G353" t="s">
        <v>74</v>
      </c>
      <c r="H353" t="s">
        <v>74</v>
      </c>
      <c r="I353" t="s">
        <v>6856</v>
      </c>
      <c r="J353" t="s">
        <v>6857</v>
      </c>
      <c r="K353" t="s">
        <v>74</v>
      </c>
      <c r="L353" t="s">
        <v>74</v>
      </c>
      <c r="M353" t="s">
        <v>78</v>
      </c>
      <c r="N353" t="s">
        <v>79</v>
      </c>
      <c r="O353" t="s">
        <v>74</v>
      </c>
      <c r="P353" t="s">
        <v>74</v>
      </c>
      <c r="Q353" t="s">
        <v>74</v>
      </c>
      <c r="R353" t="s">
        <v>74</v>
      </c>
      <c r="S353" t="s">
        <v>74</v>
      </c>
      <c r="T353" t="s">
        <v>74</v>
      </c>
      <c r="U353" t="s">
        <v>6858</v>
      </c>
      <c r="V353" t="s">
        <v>6859</v>
      </c>
      <c r="W353" t="s">
        <v>6860</v>
      </c>
      <c r="X353" t="s">
        <v>6861</v>
      </c>
      <c r="Y353" t="s">
        <v>6862</v>
      </c>
      <c r="Z353" t="s">
        <v>6863</v>
      </c>
      <c r="AA353" t="s">
        <v>6864</v>
      </c>
      <c r="AB353" t="s">
        <v>6865</v>
      </c>
      <c r="AC353" t="s">
        <v>6866</v>
      </c>
      <c r="AD353" t="s">
        <v>6867</v>
      </c>
      <c r="AE353" t="s">
        <v>6868</v>
      </c>
      <c r="AF353" t="s">
        <v>74</v>
      </c>
      <c r="AG353">
        <v>25</v>
      </c>
      <c r="AH353">
        <v>23</v>
      </c>
      <c r="AI353">
        <v>25</v>
      </c>
      <c r="AJ353">
        <v>1</v>
      </c>
      <c r="AK353">
        <v>12</v>
      </c>
      <c r="AL353" t="s">
        <v>6869</v>
      </c>
      <c r="AM353" t="s">
        <v>6870</v>
      </c>
      <c r="AN353" t="s">
        <v>6871</v>
      </c>
      <c r="AO353" t="s">
        <v>6872</v>
      </c>
      <c r="AP353" t="s">
        <v>74</v>
      </c>
      <c r="AQ353" t="s">
        <v>74</v>
      </c>
      <c r="AR353" t="s">
        <v>6873</v>
      </c>
      <c r="AS353" t="s">
        <v>6874</v>
      </c>
      <c r="AT353" t="s">
        <v>6107</v>
      </c>
      <c r="AU353">
        <v>2009</v>
      </c>
      <c r="AV353">
        <v>67</v>
      </c>
      <c r="AW353">
        <v>2</v>
      </c>
      <c r="AX353" t="s">
        <v>74</v>
      </c>
      <c r="AY353" t="s">
        <v>74</v>
      </c>
      <c r="AZ353" t="s">
        <v>74</v>
      </c>
      <c r="BA353" t="s">
        <v>74</v>
      </c>
      <c r="BB353">
        <v>225</v>
      </c>
      <c r="BC353">
        <v>237</v>
      </c>
      <c r="BD353" t="s">
        <v>74</v>
      </c>
      <c r="BE353" t="s">
        <v>6875</v>
      </c>
      <c r="BF353" t="str">
        <f>HYPERLINK("http://dx.doi.org/10.1357/002224009789051218","http://dx.doi.org/10.1357/002224009789051218")</f>
        <v>http://dx.doi.org/10.1357/002224009789051218</v>
      </c>
      <c r="BG353" t="s">
        <v>74</v>
      </c>
      <c r="BH353" t="s">
        <v>74</v>
      </c>
      <c r="BI353">
        <v>13</v>
      </c>
      <c r="BJ353" t="s">
        <v>689</v>
      </c>
      <c r="BK353" t="s">
        <v>100</v>
      </c>
      <c r="BL353" t="s">
        <v>689</v>
      </c>
      <c r="BM353" t="s">
        <v>6876</v>
      </c>
      <c r="BN353" t="s">
        <v>74</v>
      </c>
      <c r="BO353" t="s">
        <v>74</v>
      </c>
      <c r="BP353" t="s">
        <v>74</v>
      </c>
      <c r="BQ353" t="s">
        <v>74</v>
      </c>
      <c r="BR353" t="s">
        <v>103</v>
      </c>
      <c r="BS353" t="s">
        <v>6877</v>
      </c>
      <c r="BT353" t="str">
        <f>HYPERLINK("https%3A%2F%2Fwww.webofscience.com%2Fwos%2Fwoscc%2Ffull-record%2FWOS:000269375200006","View Full Record in Web of Science")</f>
        <v>View Full Record in Web of Science</v>
      </c>
    </row>
    <row r="354" spans="1:72" x14ac:dyDescent="0.15">
      <c r="A354" t="s">
        <v>72</v>
      </c>
      <c r="B354" t="s">
        <v>6878</v>
      </c>
      <c r="C354" t="s">
        <v>74</v>
      </c>
      <c r="D354" t="s">
        <v>74</v>
      </c>
      <c r="E354" t="s">
        <v>74</v>
      </c>
      <c r="F354" t="s">
        <v>6879</v>
      </c>
      <c r="G354" t="s">
        <v>74</v>
      </c>
      <c r="H354" t="s">
        <v>74</v>
      </c>
      <c r="I354" t="s">
        <v>6880</v>
      </c>
      <c r="J354" t="s">
        <v>6881</v>
      </c>
      <c r="K354" t="s">
        <v>74</v>
      </c>
      <c r="L354" t="s">
        <v>74</v>
      </c>
      <c r="M354" t="s">
        <v>78</v>
      </c>
      <c r="N354" t="s">
        <v>79</v>
      </c>
      <c r="O354" t="s">
        <v>74</v>
      </c>
      <c r="P354" t="s">
        <v>74</v>
      </c>
      <c r="Q354" t="s">
        <v>74</v>
      </c>
      <c r="R354" t="s">
        <v>74</v>
      </c>
      <c r="S354" t="s">
        <v>74</v>
      </c>
      <c r="T354" t="s">
        <v>6882</v>
      </c>
      <c r="U354" t="s">
        <v>6883</v>
      </c>
      <c r="V354" t="s">
        <v>6884</v>
      </c>
      <c r="W354" t="s">
        <v>6885</v>
      </c>
      <c r="X354" t="s">
        <v>6886</v>
      </c>
      <c r="Y354" t="s">
        <v>6887</v>
      </c>
      <c r="Z354" t="s">
        <v>6888</v>
      </c>
      <c r="AA354" t="s">
        <v>6889</v>
      </c>
      <c r="AB354" t="s">
        <v>6890</v>
      </c>
      <c r="AC354" t="s">
        <v>6891</v>
      </c>
      <c r="AD354" t="s">
        <v>6892</v>
      </c>
      <c r="AE354" t="s">
        <v>6893</v>
      </c>
      <c r="AF354" t="s">
        <v>74</v>
      </c>
      <c r="AG354">
        <v>73</v>
      </c>
      <c r="AH354">
        <v>26</v>
      </c>
      <c r="AI354">
        <v>31</v>
      </c>
      <c r="AJ354">
        <v>0</v>
      </c>
      <c r="AK354">
        <v>11</v>
      </c>
      <c r="AL354" t="s">
        <v>91</v>
      </c>
      <c r="AM354" t="s">
        <v>92</v>
      </c>
      <c r="AN354" t="s">
        <v>93</v>
      </c>
      <c r="AO354" t="s">
        <v>6894</v>
      </c>
      <c r="AP354" t="s">
        <v>74</v>
      </c>
      <c r="AQ354" t="s">
        <v>74</v>
      </c>
      <c r="AR354" t="s">
        <v>6895</v>
      </c>
      <c r="AS354" t="s">
        <v>6896</v>
      </c>
      <c r="AT354" t="s">
        <v>6107</v>
      </c>
      <c r="AU354">
        <v>2009</v>
      </c>
      <c r="AV354">
        <v>68</v>
      </c>
      <c r="AW354">
        <v>3</v>
      </c>
      <c r="AX354" t="s">
        <v>74</v>
      </c>
      <c r="AY354" t="s">
        <v>74</v>
      </c>
      <c r="AZ354" t="s">
        <v>74</v>
      </c>
      <c r="BA354" t="s">
        <v>74</v>
      </c>
      <c r="BB354">
        <v>279</v>
      </c>
      <c r="BC354">
        <v>291</v>
      </c>
      <c r="BD354" t="s">
        <v>74</v>
      </c>
      <c r="BE354" t="s">
        <v>6897</v>
      </c>
      <c r="BF354" t="str">
        <f>HYPERLINK("http://dx.doi.org/10.1007/s00239-009-9200-2","http://dx.doi.org/10.1007/s00239-009-9200-2")</f>
        <v>http://dx.doi.org/10.1007/s00239-009-9200-2</v>
      </c>
      <c r="BG354" t="s">
        <v>74</v>
      </c>
      <c r="BH354" t="s">
        <v>74</v>
      </c>
      <c r="BI354">
        <v>13</v>
      </c>
      <c r="BJ354" t="s">
        <v>2431</v>
      </c>
      <c r="BK354" t="s">
        <v>100</v>
      </c>
      <c r="BL354" t="s">
        <v>2431</v>
      </c>
      <c r="BM354" t="s">
        <v>6898</v>
      </c>
      <c r="BN354">
        <v>19209378</v>
      </c>
      <c r="BO354" t="s">
        <v>74</v>
      </c>
      <c r="BP354" t="s">
        <v>74</v>
      </c>
      <c r="BQ354" t="s">
        <v>74</v>
      </c>
      <c r="BR354" t="s">
        <v>103</v>
      </c>
      <c r="BS354" t="s">
        <v>6899</v>
      </c>
      <c r="BT354" t="str">
        <f>HYPERLINK("https%3A%2F%2Fwww.webofscience.com%2Fwos%2Fwoscc%2Ffull-record%2FWOS:000264265300010","View Full Record in Web of Science")</f>
        <v>View Full Record in Web of Science</v>
      </c>
    </row>
    <row r="355" spans="1:72" x14ac:dyDescent="0.15">
      <c r="A355" t="s">
        <v>72</v>
      </c>
      <c r="B355" t="s">
        <v>6900</v>
      </c>
      <c r="C355" t="s">
        <v>74</v>
      </c>
      <c r="D355" t="s">
        <v>74</v>
      </c>
      <c r="E355" t="s">
        <v>74</v>
      </c>
      <c r="F355" t="s">
        <v>6901</v>
      </c>
      <c r="G355" t="s">
        <v>74</v>
      </c>
      <c r="H355" t="s">
        <v>74</v>
      </c>
      <c r="I355" t="s">
        <v>6902</v>
      </c>
      <c r="J355" t="s">
        <v>6903</v>
      </c>
      <c r="K355" t="s">
        <v>74</v>
      </c>
      <c r="L355" t="s">
        <v>74</v>
      </c>
      <c r="M355" t="s">
        <v>78</v>
      </c>
      <c r="N355" t="s">
        <v>79</v>
      </c>
      <c r="O355" t="s">
        <v>74</v>
      </c>
      <c r="P355" t="s">
        <v>74</v>
      </c>
      <c r="Q355" t="s">
        <v>74</v>
      </c>
      <c r="R355" t="s">
        <v>74</v>
      </c>
      <c r="S355" t="s">
        <v>74</v>
      </c>
      <c r="T355" t="s">
        <v>6904</v>
      </c>
      <c r="U355" t="s">
        <v>6905</v>
      </c>
      <c r="V355" t="s">
        <v>6906</v>
      </c>
      <c r="W355" t="s">
        <v>6907</v>
      </c>
      <c r="X355" t="s">
        <v>6908</v>
      </c>
      <c r="Y355" t="s">
        <v>6909</v>
      </c>
      <c r="Z355" t="s">
        <v>6910</v>
      </c>
      <c r="AA355" t="s">
        <v>74</v>
      </c>
      <c r="AB355" t="s">
        <v>74</v>
      </c>
      <c r="AC355" t="s">
        <v>6911</v>
      </c>
      <c r="AD355" t="s">
        <v>6911</v>
      </c>
      <c r="AE355" t="s">
        <v>6912</v>
      </c>
      <c r="AF355" t="s">
        <v>74</v>
      </c>
      <c r="AG355">
        <v>45</v>
      </c>
      <c r="AH355">
        <v>8</v>
      </c>
      <c r="AI355">
        <v>10</v>
      </c>
      <c r="AJ355">
        <v>0</v>
      </c>
      <c r="AK355">
        <v>12</v>
      </c>
      <c r="AL355" t="s">
        <v>6913</v>
      </c>
      <c r="AM355" t="s">
        <v>6914</v>
      </c>
      <c r="AN355" t="s">
        <v>6915</v>
      </c>
      <c r="AO355" t="s">
        <v>6916</v>
      </c>
      <c r="AP355" t="s">
        <v>74</v>
      </c>
      <c r="AQ355" t="s">
        <v>74</v>
      </c>
      <c r="AR355" t="s">
        <v>6917</v>
      </c>
      <c r="AS355" t="s">
        <v>6918</v>
      </c>
      <c r="AT355" t="s">
        <v>6107</v>
      </c>
      <c r="AU355">
        <v>2009</v>
      </c>
      <c r="AV355">
        <v>41</v>
      </c>
      <c r="AW355">
        <v>1</v>
      </c>
      <c r="AX355" t="s">
        <v>74</v>
      </c>
      <c r="AY355" t="s">
        <v>74</v>
      </c>
      <c r="AZ355" t="s">
        <v>74</v>
      </c>
      <c r="BA355" t="s">
        <v>74</v>
      </c>
      <c r="BB355">
        <v>84</v>
      </c>
      <c r="BC355">
        <v>91</v>
      </c>
      <c r="BD355" t="s">
        <v>74</v>
      </c>
      <c r="BE355" t="s">
        <v>74</v>
      </c>
      <c r="BF355" t="s">
        <v>74</v>
      </c>
      <c r="BG355" t="s">
        <v>74</v>
      </c>
      <c r="BH355" t="s">
        <v>74</v>
      </c>
      <c r="BI355">
        <v>8</v>
      </c>
      <c r="BJ355" t="s">
        <v>908</v>
      </c>
      <c r="BK355" t="s">
        <v>100</v>
      </c>
      <c r="BL355" t="s">
        <v>908</v>
      </c>
      <c r="BM355" t="s">
        <v>6919</v>
      </c>
      <c r="BN355">
        <v>22661780</v>
      </c>
      <c r="BO355" t="s">
        <v>74</v>
      </c>
      <c r="BP355" t="s">
        <v>74</v>
      </c>
      <c r="BQ355" t="s">
        <v>74</v>
      </c>
      <c r="BR355" t="s">
        <v>103</v>
      </c>
      <c r="BS355" t="s">
        <v>6920</v>
      </c>
      <c r="BT355" t="str">
        <f>HYPERLINK("https%3A%2F%2Fwww.webofscience.com%2Fwos%2Fwoscc%2Ffull-record%2FWOS:000273508900012","View Full Record in Web of Science")</f>
        <v>View Full Record in Web of Science</v>
      </c>
    </row>
    <row r="356" spans="1:72" x14ac:dyDescent="0.15">
      <c r="A356" t="s">
        <v>72</v>
      </c>
      <c r="B356" t="s">
        <v>6921</v>
      </c>
      <c r="C356" t="s">
        <v>74</v>
      </c>
      <c r="D356" t="s">
        <v>74</v>
      </c>
      <c r="E356" t="s">
        <v>74</v>
      </c>
      <c r="F356" t="s">
        <v>6922</v>
      </c>
      <c r="G356" t="s">
        <v>74</v>
      </c>
      <c r="H356" t="s">
        <v>74</v>
      </c>
      <c r="I356" t="s">
        <v>6923</v>
      </c>
      <c r="J356" t="s">
        <v>4698</v>
      </c>
      <c r="K356" t="s">
        <v>74</v>
      </c>
      <c r="L356" t="s">
        <v>74</v>
      </c>
      <c r="M356" t="s">
        <v>78</v>
      </c>
      <c r="N356" t="s">
        <v>79</v>
      </c>
      <c r="O356" t="s">
        <v>74</v>
      </c>
      <c r="P356" t="s">
        <v>74</v>
      </c>
      <c r="Q356" t="s">
        <v>74</v>
      </c>
      <c r="R356" t="s">
        <v>74</v>
      </c>
      <c r="S356" t="s">
        <v>74</v>
      </c>
      <c r="T356" t="s">
        <v>74</v>
      </c>
      <c r="U356" t="s">
        <v>6924</v>
      </c>
      <c r="V356" t="s">
        <v>6925</v>
      </c>
      <c r="W356" t="s">
        <v>6926</v>
      </c>
      <c r="X356" t="s">
        <v>6927</v>
      </c>
      <c r="Y356" t="s">
        <v>6928</v>
      </c>
      <c r="Z356" t="s">
        <v>6929</v>
      </c>
      <c r="AA356" t="s">
        <v>6930</v>
      </c>
      <c r="AB356" t="s">
        <v>6931</v>
      </c>
      <c r="AC356" t="s">
        <v>6932</v>
      </c>
      <c r="AD356" t="s">
        <v>6933</v>
      </c>
      <c r="AE356" t="s">
        <v>6934</v>
      </c>
      <c r="AF356" t="s">
        <v>74</v>
      </c>
      <c r="AG356">
        <v>51</v>
      </c>
      <c r="AH356">
        <v>47</v>
      </c>
      <c r="AI356">
        <v>48</v>
      </c>
      <c r="AJ356">
        <v>0</v>
      </c>
      <c r="AK356">
        <v>6</v>
      </c>
      <c r="AL356" t="s">
        <v>1398</v>
      </c>
      <c r="AM356" t="s">
        <v>1399</v>
      </c>
      <c r="AN356" t="s">
        <v>1400</v>
      </c>
      <c r="AO356" t="s">
        <v>4708</v>
      </c>
      <c r="AP356" t="s">
        <v>74</v>
      </c>
      <c r="AQ356" t="s">
        <v>74</v>
      </c>
      <c r="AR356" t="s">
        <v>4710</v>
      </c>
      <c r="AS356" t="s">
        <v>4711</v>
      </c>
      <c r="AT356" t="s">
        <v>6107</v>
      </c>
      <c r="AU356">
        <v>2009</v>
      </c>
      <c r="AV356">
        <v>39</v>
      </c>
      <c r="AW356">
        <v>3</v>
      </c>
      <c r="AX356" t="s">
        <v>74</v>
      </c>
      <c r="AY356" t="s">
        <v>74</v>
      </c>
      <c r="AZ356" t="s">
        <v>74</v>
      </c>
      <c r="BA356" t="s">
        <v>74</v>
      </c>
      <c r="BB356">
        <v>512</v>
      </c>
      <c r="BC356">
        <v>535</v>
      </c>
      <c r="BD356" t="s">
        <v>74</v>
      </c>
      <c r="BE356" t="s">
        <v>6935</v>
      </c>
      <c r="BF356" t="str">
        <f>HYPERLINK("http://dx.doi.org/10.1175/2008JPO3825.1","http://dx.doi.org/10.1175/2008JPO3825.1")</f>
        <v>http://dx.doi.org/10.1175/2008JPO3825.1</v>
      </c>
      <c r="BG356" t="s">
        <v>74</v>
      </c>
      <c r="BH356" t="s">
        <v>74</v>
      </c>
      <c r="BI356">
        <v>24</v>
      </c>
      <c r="BJ356" t="s">
        <v>689</v>
      </c>
      <c r="BK356" t="s">
        <v>100</v>
      </c>
      <c r="BL356" t="s">
        <v>689</v>
      </c>
      <c r="BM356" t="s">
        <v>6936</v>
      </c>
      <c r="BN356" t="s">
        <v>74</v>
      </c>
      <c r="BO356" t="s">
        <v>1137</v>
      </c>
      <c r="BP356" t="s">
        <v>74</v>
      </c>
      <c r="BQ356" t="s">
        <v>74</v>
      </c>
      <c r="BR356" t="s">
        <v>103</v>
      </c>
      <c r="BS356" t="s">
        <v>6937</v>
      </c>
      <c r="BT356" t="str">
        <f>HYPERLINK("https%3A%2F%2Fwww.webofscience.com%2Fwos%2Fwoscc%2Ffull-record%2FWOS:000265104200003","View Full Record in Web of Science")</f>
        <v>View Full Record in Web of Science</v>
      </c>
    </row>
    <row r="357" spans="1:72" x14ac:dyDescent="0.15">
      <c r="A357" t="s">
        <v>72</v>
      </c>
      <c r="B357" t="s">
        <v>6938</v>
      </c>
      <c r="C357" t="s">
        <v>74</v>
      </c>
      <c r="D357" t="s">
        <v>74</v>
      </c>
      <c r="E357" t="s">
        <v>74</v>
      </c>
      <c r="F357" t="s">
        <v>6939</v>
      </c>
      <c r="G357" t="s">
        <v>74</v>
      </c>
      <c r="H357" t="s">
        <v>74</v>
      </c>
      <c r="I357" t="s">
        <v>6940</v>
      </c>
      <c r="J357" t="s">
        <v>4698</v>
      </c>
      <c r="K357" t="s">
        <v>74</v>
      </c>
      <c r="L357" t="s">
        <v>74</v>
      </c>
      <c r="M357" t="s">
        <v>78</v>
      </c>
      <c r="N357" t="s">
        <v>79</v>
      </c>
      <c r="O357" t="s">
        <v>74</v>
      </c>
      <c r="P357" t="s">
        <v>74</v>
      </c>
      <c r="Q357" t="s">
        <v>74</v>
      </c>
      <c r="R357" t="s">
        <v>74</v>
      </c>
      <c r="S357" t="s">
        <v>74</v>
      </c>
      <c r="T357" t="s">
        <v>74</v>
      </c>
      <c r="U357" t="s">
        <v>6941</v>
      </c>
      <c r="V357" t="s">
        <v>6942</v>
      </c>
      <c r="W357" t="s">
        <v>6943</v>
      </c>
      <c r="X357" t="s">
        <v>6944</v>
      </c>
      <c r="Y357" t="s">
        <v>6945</v>
      </c>
      <c r="Z357" t="s">
        <v>6946</v>
      </c>
      <c r="AA357" t="s">
        <v>6947</v>
      </c>
      <c r="AB357" t="s">
        <v>6948</v>
      </c>
      <c r="AC357" t="s">
        <v>74</v>
      </c>
      <c r="AD357" t="s">
        <v>74</v>
      </c>
      <c r="AE357" t="s">
        <v>74</v>
      </c>
      <c r="AF357" t="s">
        <v>74</v>
      </c>
      <c r="AG357">
        <v>35</v>
      </c>
      <c r="AH357">
        <v>14</v>
      </c>
      <c r="AI357">
        <v>16</v>
      </c>
      <c r="AJ357">
        <v>0</v>
      </c>
      <c r="AK357">
        <v>8</v>
      </c>
      <c r="AL357" t="s">
        <v>1398</v>
      </c>
      <c r="AM357" t="s">
        <v>1399</v>
      </c>
      <c r="AN357" t="s">
        <v>1400</v>
      </c>
      <c r="AO357" t="s">
        <v>4708</v>
      </c>
      <c r="AP357" t="s">
        <v>74</v>
      </c>
      <c r="AQ357" t="s">
        <v>74</v>
      </c>
      <c r="AR357" t="s">
        <v>4710</v>
      </c>
      <c r="AS357" t="s">
        <v>4711</v>
      </c>
      <c r="AT357" t="s">
        <v>6107</v>
      </c>
      <c r="AU357">
        <v>2009</v>
      </c>
      <c r="AV357">
        <v>39</v>
      </c>
      <c r="AW357">
        <v>3</v>
      </c>
      <c r="AX357" t="s">
        <v>74</v>
      </c>
      <c r="AY357" t="s">
        <v>74</v>
      </c>
      <c r="AZ357" t="s">
        <v>74</v>
      </c>
      <c r="BA357" t="s">
        <v>74</v>
      </c>
      <c r="BB357">
        <v>658</v>
      </c>
      <c r="BC357">
        <v>674</v>
      </c>
      <c r="BD357" t="s">
        <v>74</v>
      </c>
      <c r="BE357" t="s">
        <v>6949</v>
      </c>
      <c r="BF357" t="str">
        <f>HYPERLINK("http://dx.doi.org/10.1175/2008JPO3982.1","http://dx.doi.org/10.1175/2008JPO3982.1")</f>
        <v>http://dx.doi.org/10.1175/2008JPO3982.1</v>
      </c>
      <c r="BG357" t="s">
        <v>74</v>
      </c>
      <c r="BH357" t="s">
        <v>74</v>
      </c>
      <c r="BI357">
        <v>17</v>
      </c>
      <c r="BJ357" t="s">
        <v>689</v>
      </c>
      <c r="BK357" t="s">
        <v>100</v>
      </c>
      <c r="BL357" t="s">
        <v>689</v>
      </c>
      <c r="BM357" t="s">
        <v>6936</v>
      </c>
      <c r="BN357" t="s">
        <v>74</v>
      </c>
      <c r="BO357" t="s">
        <v>3159</v>
      </c>
      <c r="BP357" t="s">
        <v>74</v>
      </c>
      <c r="BQ357" t="s">
        <v>74</v>
      </c>
      <c r="BR357" t="s">
        <v>103</v>
      </c>
      <c r="BS357" t="s">
        <v>6950</v>
      </c>
      <c r="BT357" t="str">
        <f>HYPERLINK("https%3A%2F%2Fwww.webofscience.com%2Fwos%2Fwoscc%2Ffull-record%2FWOS:000265104200010","View Full Record in Web of Science")</f>
        <v>View Full Record in Web of Science</v>
      </c>
    </row>
    <row r="358" spans="1:72" x14ac:dyDescent="0.15">
      <c r="A358" t="s">
        <v>72</v>
      </c>
      <c r="B358" t="s">
        <v>6951</v>
      </c>
      <c r="C358" t="s">
        <v>74</v>
      </c>
      <c r="D358" t="s">
        <v>74</v>
      </c>
      <c r="E358" t="s">
        <v>74</v>
      </c>
      <c r="F358" t="s">
        <v>6952</v>
      </c>
      <c r="G358" t="s">
        <v>74</v>
      </c>
      <c r="H358" t="s">
        <v>74</v>
      </c>
      <c r="I358" t="s">
        <v>6953</v>
      </c>
      <c r="J358" t="s">
        <v>4698</v>
      </c>
      <c r="K358" t="s">
        <v>74</v>
      </c>
      <c r="L358" t="s">
        <v>74</v>
      </c>
      <c r="M358" t="s">
        <v>78</v>
      </c>
      <c r="N358" t="s">
        <v>79</v>
      </c>
      <c r="O358" t="s">
        <v>74</v>
      </c>
      <c r="P358" t="s">
        <v>74</v>
      </c>
      <c r="Q358" t="s">
        <v>74</v>
      </c>
      <c r="R358" t="s">
        <v>74</v>
      </c>
      <c r="S358" t="s">
        <v>74</v>
      </c>
      <c r="T358" t="s">
        <v>74</v>
      </c>
      <c r="U358" t="s">
        <v>6954</v>
      </c>
      <c r="V358" t="s">
        <v>6955</v>
      </c>
      <c r="W358" t="s">
        <v>6956</v>
      </c>
      <c r="X358" t="s">
        <v>6957</v>
      </c>
      <c r="Y358" t="s">
        <v>6958</v>
      </c>
      <c r="Z358" t="s">
        <v>6034</v>
      </c>
      <c r="AA358" t="s">
        <v>74</v>
      </c>
      <c r="AB358" t="s">
        <v>6959</v>
      </c>
      <c r="AC358" t="s">
        <v>6960</v>
      </c>
      <c r="AD358" t="s">
        <v>6961</v>
      </c>
      <c r="AE358" t="s">
        <v>6962</v>
      </c>
      <c r="AF358" t="s">
        <v>74</v>
      </c>
      <c r="AG358">
        <v>39</v>
      </c>
      <c r="AH358">
        <v>61</v>
      </c>
      <c r="AI358">
        <v>71</v>
      </c>
      <c r="AJ358">
        <v>0</v>
      </c>
      <c r="AK358">
        <v>33</v>
      </c>
      <c r="AL358" t="s">
        <v>1398</v>
      </c>
      <c r="AM358" t="s">
        <v>1399</v>
      </c>
      <c r="AN358" t="s">
        <v>1400</v>
      </c>
      <c r="AO358" t="s">
        <v>4708</v>
      </c>
      <c r="AP358" t="s">
        <v>4709</v>
      </c>
      <c r="AQ358" t="s">
        <v>74</v>
      </c>
      <c r="AR358" t="s">
        <v>4710</v>
      </c>
      <c r="AS358" t="s">
        <v>4711</v>
      </c>
      <c r="AT358" t="s">
        <v>6107</v>
      </c>
      <c r="AU358">
        <v>2009</v>
      </c>
      <c r="AV358">
        <v>39</v>
      </c>
      <c r="AW358">
        <v>3</v>
      </c>
      <c r="AX358" t="s">
        <v>74</v>
      </c>
      <c r="AY358" t="s">
        <v>74</v>
      </c>
      <c r="AZ358" t="s">
        <v>74</v>
      </c>
      <c r="BA358" t="s">
        <v>74</v>
      </c>
      <c r="BB358">
        <v>768</v>
      </c>
      <c r="BC358">
        <v>779</v>
      </c>
      <c r="BD358" t="s">
        <v>74</v>
      </c>
      <c r="BE358" t="s">
        <v>6963</v>
      </c>
      <c r="BF358" t="str">
        <f>HYPERLINK("http://dx.doi.org/10.1175/2008JPO3943.1","http://dx.doi.org/10.1175/2008JPO3943.1")</f>
        <v>http://dx.doi.org/10.1175/2008JPO3943.1</v>
      </c>
      <c r="BG358" t="s">
        <v>74</v>
      </c>
      <c r="BH358" t="s">
        <v>74</v>
      </c>
      <c r="BI358">
        <v>12</v>
      </c>
      <c r="BJ358" t="s">
        <v>689</v>
      </c>
      <c r="BK358" t="s">
        <v>100</v>
      </c>
      <c r="BL358" t="s">
        <v>689</v>
      </c>
      <c r="BM358" t="s">
        <v>6936</v>
      </c>
      <c r="BN358" t="s">
        <v>74</v>
      </c>
      <c r="BO358" t="s">
        <v>499</v>
      </c>
      <c r="BP358" t="s">
        <v>74</v>
      </c>
      <c r="BQ358" t="s">
        <v>74</v>
      </c>
      <c r="BR358" t="s">
        <v>103</v>
      </c>
      <c r="BS358" t="s">
        <v>6964</v>
      </c>
      <c r="BT358" t="str">
        <f>HYPERLINK("https%3A%2F%2Fwww.webofscience.com%2Fwos%2Fwoscc%2Ffull-record%2FWOS:000265104200017","View Full Record in Web of Science")</f>
        <v>View Full Record in Web of Science</v>
      </c>
    </row>
    <row r="359" spans="1:72" x14ac:dyDescent="0.15">
      <c r="A359" t="s">
        <v>72</v>
      </c>
      <c r="B359" t="s">
        <v>6965</v>
      </c>
      <c r="C359" t="s">
        <v>74</v>
      </c>
      <c r="D359" t="s">
        <v>74</v>
      </c>
      <c r="E359" t="s">
        <v>74</v>
      </c>
      <c r="F359" t="s">
        <v>6966</v>
      </c>
      <c r="G359" t="s">
        <v>74</v>
      </c>
      <c r="H359" t="s">
        <v>74</v>
      </c>
      <c r="I359" t="s">
        <v>6967</v>
      </c>
      <c r="J359" t="s">
        <v>6968</v>
      </c>
      <c r="K359" t="s">
        <v>74</v>
      </c>
      <c r="L359" t="s">
        <v>74</v>
      </c>
      <c r="M359" t="s">
        <v>78</v>
      </c>
      <c r="N359" t="s">
        <v>79</v>
      </c>
      <c r="O359" t="s">
        <v>74</v>
      </c>
      <c r="P359" t="s">
        <v>74</v>
      </c>
      <c r="Q359" t="s">
        <v>74</v>
      </c>
      <c r="R359" t="s">
        <v>74</v>
      </c>
      <c r="S359" t="s">
        <v>74</v>
      </c>
      <c r="T359" t="s">
        <v>6969</v>
      </c>
      <c r="U359" t="s">
        <v>6970</v>
      </c>
      <c r="V359" t="s">
        <v>6971</v>
      </c>
      <c r="W359" t="s">
        <v>6972</v>
      </c>
      <c r="X359" t="s">
        <v>6973</v>
      </c>
      <c r="Y359" t="s">
        <v>6974</v>
      </c>
      <c r="Z359" t="s">
        <v>6975</v>
      </c>
      <c r="AA359" t="s">
        <v>6976</v>
      </c>
      <c r="AB359" t="s">
        <v>6977</v>
      </c>
      <c r="AC359" t="s">
        <v>6978</v>
      </c>
      <c r="AD359" t="s">
        <v>6978</v>
      </c>
      <c r="AE359" t="s">
        <v>6979</v>
      </c>
      <c r="AF359" t="s">
        <v>74</v>
      </c>
      <c r="AG359">
        <v>42</v>
      </c>
      <c r="AH359">
        <v>72</v>
      </c>
      <c r="AI359">
        <v>75</v>
      </c>
      <c r="AJ359">
        <v>1</v>
      </c>
      <c r="AK359">
        <v>113</v>
      </c>
      <c r="AL359" t="s">
        <v>6980</v>
      </c>
      <c r="AM359" t="s">
        <v>348</v>
      </c>
      <c r="AN359" t="s">
        <v>6981</v>
      </c>
      <c r="AO359" t="s">
        <v>6982</v>
      </c>
      <c r="AP359" t="s">
        <v>6983</v>
      </c>
      <c r="AQ359" t="s">
        <v>74</v>
      </c>
      <c r="AR359" t="s">
        <v>6984</v>
      </c>
      <c r="AS359" t="s">
        <v>6985</v>
      </c>
      <c r="AT359" t="s">
        <v>6107</v>
      </c>
      <c r="AU359">
        <v>2009</v>
      </c>
      <c r="AV359">
        <v>125</v>
      </c>
      <c r="AW359">
        <v>3</v>
      </c>
      <c r="AX359" t="s">
        <v>74</v>
      </c>
      <c r="AY359" t="s">
        <v>74</v>
      </c>
      <c r="AZ359" t="s">
        <v>74</v>
      </c>
      <c r="BA359" t="s">
        <v>74</v>
      </c>
      <c r="BB359">
        <v>1783</v>
      </c>
      <c r="BC359">
        <v>1791</v>
      </c>
      <c r="BD359" t="s">
        <v>74</v>
      </c>
      <c r="BE359" t="s">
        <v>6986</v>
      </c>
      <c r="BF359" t="str">
        <f>HYPERLINK("http://dx.doi.org/10.1121/1.3075600","http://dx.doi.org/10.1121/1.3075600")</f>
        <v>http://dx.doi.org/10.1121/1.3075600</v>
      </c>
      <c r="BG359" t="s">
        <v>74</v>
      </c>
      <c r="BH359" t="s">
        <v>74</v>
      </c>
      <c r="BI359">
        <v>9</v>
      </c>
      <c r="BJ359" t="s">
        <v>6987</v>
      </c>
      <c r="BK359" t="s">
        <v>100</v>
      </c>
      <c r="BL359" t="s">
        <v>6987</v>
      </c>
      <c r="BM359" t="s">
        <v>6988</v>
      </c>
      <c r="BN359">
        <v>19275335</v>
      </c>
      <c r="BO359" t="s">
        <v>74</v>
      </c>
      <c r="BP359" t="s">
        <v>74</v>
      </c>
      <c r="BQ359" t="s">
        <v>74</v>
      </c>
      <c r="BR359" t="s">
        <v>103</v>
      </c>
      <c r="BS359" t="s">
        <v>6989</v>
      </c>
      <c r="BT359" t="str">
        <f>HYPERLINK("https%3A%2F%2Fwww.webofscience.com%2Fwos%2Fwoscc%2Ffull-record%2FWOS:000263911800057","View Full Record in Web of Science")</f>
        <v>View Full Record in Web of Science</v>
      </c>
    </row>
    <row r="360" spans="1:72" x14ac:dyDescent="0.15">
      <c r="A360" t="s">
        <v>72</v>
      </c>
      <c r="B360" t="s">
        <v>6990</v>
      </c>
      <c r="C360" t="s">
        <v>74</v>
      </c>
      <c r="D360" t="s">
        <v>74</v>
      </c>
      <c r="E360" t="s">
        <v>74</v>
      </c>
      <c r="F360" t="s">
        <v>6991</v>
      </c>
      <c r="G360" t="s">
        <v>74</v>
      </c>
      <c r="H360" t="s">
        <v>74</v>
      </c>
      <c r="I360" t="s">
        <v>6992</v>
      </c>
      <c r="J360" t="s">
        <v>4741</v>
      </c>
      <c r="K360" t="s">
        <v>74</v>
      </c>
      <c r="L360" t="s">
        <v>74</v>
      </c>
      <c r="M360" t="s">
        <v>78</v>
      </c>
      <c r="N360" t="s">
        <v>79</v>
      </c>
      <c r="O360" t="s">
        <v>74</v>
      </c>
      <c r="P360" t="s">
        <v>74</v>
      </c>
      <c r="Q360" t="s">
        <v>74</v>
      </c>
      <c r="R360" t="s">
        <v>74</v>
      </c>
      <c r="S360" t="s">
        <v>74</v>
      </c>
      <c r="T360" t="s">
        <v>6993</v>
      </c>
      <c r="U360" t="s">
        <v>6994</v>
      </c>
      <c r="V360" t="s">
        <v>6995</v>
      </c>
      <c r="W360" t="s">
        <v>6996</v>
      </c>
      <c r="X360" t="s">
        <v>6997</v>
      </c>
      <c r="Y360" t="s">
        <v>6998</v>
      </c>
      <c r="Z360" t="s">
        <v>6999</v>
      </c>
      <c r="AA360" t="s">
        <v>74</v>
      </c>
      <c r="AB360" t="s">
        <v>7000</v>
      </c>
      <c r="AC360" t="s">
        <v>74</v>
      </c>
      <c r="AD360" t="s">
        <v>74</v>
      </c>
      <c r="AE360" t="s">
        <v>74</v>
      </c>
      <c r="AF360" t="s">
        <v>74</v>
      </c>
      <c r="AG360">
        <v>44</v>
      </c>
      <c r="AH360">
        <v>0</v>
      </c>
      <c r="AI360">
        <v>0</v>
      </c>
      <c r="AJ360">
        <v>0</v>
      </c>
      <c r="AK360">
        <v>6</v>
      </c>
      <c r="AL360" t="s">
        <v>4749</v>
      </c>
      <c r="AM360" t="s">
        <v>4750</v>
      </c>
      <c r="AN360" t="s">
        <v>4751</v>
      </c>
      <c r="AO360" t="s">
        <v>4752</v>
      </c>
      <c r="AP360" t="s">
        <v>4753</v>
      </c>
      <c r="AQ360" t="s">
        <v>74</v>
      </c>
      <c r="AR360" t="s">
        <v>4754</v>
      </c>
      <c r="AS360" t="s">
        <v>4755</v>
      </c>
      <c r="AT360" t="s">
        <v>6107</v>
      </c>
      <c r="AU360">
        <v>2009</v>
      </c>
      <c r="AV360">
        <v>73</v>
      </c>
      <c r="AW360">
        <v>3</v>
      </c>
      <c r="AX360" t="s">
        <v>74</v>
      </c>
      <c r="AY360" t="s">
        <v>74</v>
      </c>
      <c r="AZ360" t="s">
        <v>74</v>
      </c>
      <c r="BA360" t="s">
        <v>74</v>
      </c>
      <c r="BB360">
        <v>379</v>
      </c>
      <c r="BC360">
        <v>385</v>
      </c>
      <c r="BD360" t="s">
        <v>74</v>
      </c>
      <c r="BE360" t="s">
        <v>7001</v>
      </c>
      <c r="BF360" t="str">
        <f>HYPERLINK("http://dx.doi.org/10.1007/s12594-009-0017-9","http://dx.doi.org/10.1007/s12594-009-0017-9")</f>
        <v>http://dx.doi.org/10.1007/s12594-009-0017-9</v>
      </c>
      <c r="BG360" t="s">
        <v>74</v>
      </c>
      <c r="BH360" t="s">
        <v>74</v>
      </c>
      <c r="BI360">
        <v>7</v>
      </c>
      <c r="BJ360" t="s">
        <v>496</v>
      </c>
      <c r="BK360" t="s">
        <v>100</v>
      </c>
      <c r="BL360" t="s">
        <v>497</v>
      </c>
      <c r="BM360" t="s">
        <v>7002</v>
      </c>
      <c r="BN360" t="s">
        <v>74</v>
      </c>
      <c r="BO360" t="s">
        <v>74</v>
      </c>
      <c r="BP360" t="s">
        <v>74</v>
      </c>
      <c r="BQ360" t="s">
        <v>74</v>
      </c>
      <c r="BR360" t="s">
        <v>103</v>
      </c>
      <c r="BS360" t="s">
        <v>7003</v>
      </c>
      <c r="BT360" t="str">
        <f>HYPERLINK("https%3A%2F%2Fwww.webofscience.com%2Fwos%2Fwoscc%2Ffull-record%2FWOS:000266437300008","View Full Record in Web of Science")</f>
        <v>View Full Record in Web of Science</v>
      </c>
    </row>
    <row r="361" spans="1:72" x14ac:dyDescent="0.15">
      <c r="A361" t="s">
        <v>72</v>
      </c>
      <c r="B361" t="s">
        <v>7004</v>
      </c>
      <c r="C361" t="s">
        <v>74</v>
      </c>
      <c r="D361" t="s">
        <v>74</v>
      </c>
      <c r="E361" t="s">
        <v>74</v>
      </c>
      <c r="F361" t="s">
        <v>7005</v>
      </c>
      <c r="G361" t="s">
        <v>74</v>
      </c>
      <c r="H361" t="s">
        <v>74</v>
      </c>
      <c r="I361" t="s">
        <v>7006</v>
      </c>
      <c r="J361" t="s">
        <v>7007</v>
      </c>
      <c r="K361" t="s">
        <v>74</v>
      </c>
      <c r="L361" t="s">
        <v>74</v>
      </c>
      <c r="M361" t="s">
        <v>78</v>
      </c>
      <c r="N361" t="s">
        <v>79</v>
      </c>
      <c r="O361" t="s">
        <v>74</v>
      </c>
      <c r="P361" t="s">
        <v>74</v>
      </c>
      <c r="Q361" t="s">
        <v>74</v>
      </c>
      <c r="R361" t="s">
        <v>74</v>
      </c>
      <c r="S361" t="s">
        <v>74</v>
      </c>
      <c r="T361" t="s">
        <v>7008</v>
      </c>
      <c r="U361" t="s">
        <v>7009</v>
      </c>
      <c r="V361" t="s">
        <v>7010</v>
      </c>
      <c r="W361" t="s">
        <v>7011</v>
      </c>
      <c r="X361" t="s">
        <v>7012</v>
      </c>
      <c r="Y361" t="s">
        <v>7013</v>
      </c>
      <c r="Z361" t="s">
        <v>7014</v>
      </c>
      <c r="AA361" t="s">
        <v>7015</v>
      </c>
      <c r="AB361" t="s">
        <v>7016</v>
      </c>
      <c r="AC361" t="s">
        <v>74</v>
      </c>
      <c r="AD361" t="s">
        <v>74</v>
      </c>
      <c r="AE361" t="s">
        <v>74</v>
      </c>
      <c r="AF361" t="s">
        <v>74</v>
      </c>
      <c r="AG361">
        <v>33</v>
      </c>
      <c r="AH361">
        <v>14</v>
      </c>
      <c r="AI361">
        <v>15</v>
      </c>
      <c r="AJ361">
        <v>1</v>
      </c>
      <c r="AK361">
        <v>14</v>
      </c>
      <c r="AL361" t="s">
        <v>3728</v>
      </c>
      <c r="AM361" t="s">
        <v>92</v>
      </c>
      <c r="AN361" t="s">
        <v>3729</v>
      </c>
      <c r="AO361" t="s">
        <v>7017</v>
      </c>
      <c r="AP361" t="s">
        <v>74</v>
      </c>
      <c r="AQ361" t="s">
        <v>74</v>
      </c>
      <c r="AR361" t="s">
        <v>7018</v>
      </c>
      <c r="AS361" t="s">
        <v>7019</v>
      </c>
      <c r="AT361" t="s">
        <v>6107</v>
      </c>
      <c r="AU361">
        <v>2009</v>
      </c>
      <c r="AV361">
        <v>89</v>
      </c>
      <c r="AW361">
        <v>2</v>
      </c>
      <c r="AX361" t="s">
        <v>74</v>
      </c>
      <c r="AY361" t="s">
        <v>74</v>
      </c>
      <c r="AZ361" t="s">
        <v>74</v>
      </c>
      <c r="BA361" t="s">
        <v>74</v>
      </c>
      <c r="BB361">
        <v>421</v>
      </c>
      <c r="BC361">
        <v>428</v>
      </c>
      <c r="BD361" t="s">
        <v>74</v>
      </c>
      <c r="BE361" t="s">
        <v>7020</v>
      </c>
      <c r="BF361" t="str">
        <f>HYPERLINK("http://dx.doi.org/10.1017/S0025315408002786","http://dx.doi.org/10.1017/S0025315408002786")</f>
        <v>http://dx.doi.org/10.1017/S0025315408002786</v>
      </c>
      <c r="BG361" t="s">
        <v>74</v>
      </c>
      <c r="BH361" t="s">
        <v>74</v>
      </c>
      <c r="BI361">
        <v>8</v>
      </c>
      <c r="BJ361" t="s">
        <v>448</v>
      </c>
      <c r="BK361" t="s">
        <v>100</v>
      </c>
      <c r="BL361" t="s">
        <v>448</v>
      </c>
      <c r="BM361" t="s">
        <v>7021</v>
      </c>
      <c r="BN361" t="s">
        <v>74</v>
      </c>
      <c r="BO361" t="s">
        <v>74</v>
      </c>
      <c r="BP361" t="s">
        <v>74</v>
      </c>
      <c r="BQ361" t="s">
        <v>74</v>
      </c>
      <c r="BR361" t="s">
        <v>103</v>
      </c>
      <c r="BS361" t="s">
        <v>7022</v>
      </c>
      <c r="BT361" t="str">
        <f>HYPERLINK("https%3A%2F%2Fwww.webofscience.com%2Fwos%2Fwoscc%2Ffull-record%2FWOS:000265420100025","View Full Record in Web of Science")</f>
        <v>View Full Record in Web of Science</v>
      </c>
    </row>
    <row r="362" spans="1:72" x14ac:dyDescent="0.15">
      <c r="A362" t="s">
        <v>72</v>
      </c>
      <c r="B362" t="s">
        <v>7023</v>
      </c>
      <c r="C362" t="s">
        <v>74</v>
      </c>
      <c r="D362" t="s">
        <v>74</v>
      </c>
      <c r="E362" t="s">
        <v>74</v>
      </c>
      <c r="F362" t="s">
        <v>7024</v>
      </c>
      <c r="G362" t="s">
        <v>74</v>
      </c>
      <c r="H362" t="s">
        <v>74</v>
      </c>
      <c r="I362" t="s">
        <v>7025</v>
      </c>
      <c r="J362" t="s">
        <v>2154</v>
      </c>
      <c r="K362" t="s">
        <v>74</v>
      </c>
      <c r="L362" t="s">
        <v>74</v>
      </c>
      <c r="M362" t="s">
        <v>78</v>
      </c>
      <c r="N362" t="s">
        <v>79</v>
      </c>
      <c r="O362" t="s">
        <v>74</v>
      </c>
      <c r="P362" t="s">
        <v>74</v>
      </c>
      <c r="Q362" t="s">
        <v>74</v>
      </c>
      <c r="R362" t="s">
        <v>74</v>
      </c>
      <c r="S362" t="s">
        <v>74</v>
      </c>
      <c r="T362" t="s">
        <v>74</v>
      </c>
      <c r="U362" t="s">
        <v>7026</v>
      </c>
      <c r="V362" t="s">
        <v>7027</v>
      </c>
      <c r="W362" t="s">
        <v>7028</v>
      </c>
      <c r="X362" t="s">
        <v>7029</v>
      </c>
      <c r="Y362" t="s">
        <v>7030</v>
      </c>
      <c r="Z362" t="s">
        <v>7031</v>
      </c>
      <c r="AA362" t="s">
        <v>7032</v>
      </c>
      <c r="AB362" t="s">
        <v>7033</v>
      </c>
      <c r="AC362" t="s">
        <v>7034</v>
      </c>
      <c r="AD362" t="s">
        <v>7034</v>
      </c>
      <c r="AE362" t="s">
        <v>7035</v>
      </c>
      <c r="AF362" t="s">
        <v>74</v>
      </c>
      <c r="AG362">
        <v>44</v>
      </c>
      <c r="AH362">
        <v>69</v>
      </c>
      <c r="AI362">
        <v>86</v>
      </c>
      <c r="AJ362">
        <v>0</v>
      </c>
      <c r="AK362">
        <v>27</v>
      </c>
      <c r="AL362" t="s">
        <v>91</v>
      </c>
      <c r="AM362" t="s">
        <v>92</v>
      </c>
      <c r="AN362" t="s">
        <v>93</v>
      </c>
      <c r="AO362" t="s">
        <v>2165</v>
      </c>
      <c r="AP362" t="s">
        <v>74</v>
      </c>
      <c r="AQ362" t="s">
        <v>74</v>
      </c>
      <c r="AR362" t="s">
        <v>2167</v>
      </c>
      <c r="AS362" t="s">
        <v>2168</v>
      </c>
      <c r="AT362" t="s">
        <v>6107</v>
      </c>
      <c r="AU362">
        <v>2009</v>
      </c>
      <c r="AV362">
        <v>156</v>
      </c>
      <c r="AW362">
        <v>4</v>
      </c>
      <c r="AX362" t="s">
        <v>74</v>
      </c>
      <c r="AY362" t="s">
        <v>74</v>
      </c>
      <c r="AZ362" t="s">
        <v>74</v>
      </c>
      <c r="BA362" t="s">
        <v>74</v>
      </c>
      <c r="BB362">
        <v>699</v>
      </c>
      <c r="BC362">
        <v>708</v>
      </c>
      <c r="BD362" t="s">
        <v>74</v>
      </c>
      <c r="BE362" t="s">
        <v>7036</v>
      </c>
      <c r="BF362" t="str">
        <f>HYPERLINK("http://dx.doi.org/10.1007/s00227-008-1121-x","http://dx.doi.org/10.1007/s00227-008-1121-x")</f>
        <v>http://dx.doi.org/10.1007/s00227-008-1121-x</v>
      </c>
      <c r="BG362" t="s">
        <v>74</v>
      </c>
      <c r="BH362" t="s">
        <v>74</v>
      </c>
      <c r="BI362">
        <v>10</v>
      </c>
      <c r="BJ362" t="s">
        <v>448</v>
      </c>
      <c r="BK362" t="s">
        <v>100</v>
      </c>
      <c r="BL362" t="s">
        <v>448</v>
      </c>
      <c r="BM362" t="s">
        <v>7037</v>
      </c>
      <c r="BN362" t="s">
        <v>74</v>
      </c>
      <c r="BO362" t="s">
        <v>74</v>
      </c>
      <c r="BP362" t="s">
        <v>74</v>
      </c>
      <c r="BQ362" t="s">
        <v>74</v>
      </c>
      <c r="BR362" t="s">
        <v>103</v>
      </c>
      <c r="BS362" t="s">
        <v>7038</v>
      </c>
      <c r="BT362" t="str">
        <f>HYPERLINK("https%3A%2F%2Fwww.webofscience.com%2Fwos%2Fwoscc%2Ffull-record%2FWOS:000263380800016","View Full Record in Web of Science")</f>
        <v>View Full Record in Web of Science</v>
      </c>
    </row>
    <row r="363" spans="1:72" x14ac:dyDescent="0.15">
      <c r="A363" t="s">
        <v>72</v>
      </c>
      <c r="B363" t="s">
        <v>7039</v>
      </c>
      <c r="C363" t="s">
        <v>74</v>
      </c>
      <c r="D363" t="s">
        <v>74</v>
      </c>
      <c r="E363" t="s">
        <v>74</v>
      </c>
      <c r="F363" t="s">
        <v>7040</v>
      </c>
      <c r="G363" t="s">
        <v>74</v>
      </c>
      <c r="H363" t="s">
        <v>74</v>
      </c>
      <c r="I363" t="s">
        <v>7041</v>
      </c>
      <c r="J363" t="s">
        <v>7042</v>
      </c>
      <c r="K363" t="s">
        <v>74</v>
      </c>
      <c r="L363" t="s">
        <v>74</v>
      </c>
      <c r="M363" t="s">
        <v>78</v>
      </c>
      <c r="N363" t="s">
        <v>79</v>
      </c>
      <c r="O363" t="s">
        <v>74</v>
      </c>
      <c r="P363" t="s">
        <v>74</v>
      </c>
      <c r="Q363" t="s">
        <v>74</v>
      </c>
      <c r="R363" t="s">
        <v>74</v>
      </c>
      <c r="S363" t="s">
        <v>74</v>
      </c>
      <c r="T363" t="s">
        <v>7043</v>
      </c>
      <c r="U363" t="s">
        <v>7044</v>
      </c>
      <c r="V363" t="s">
        <v>7045</v>
      </c>
      <c r="W363" t="s">
        <v>7046</v>
      </c>
      <c r="X363" t="s">
        <v>7047</v>
      </c>
      <c r="Y363" t="s">
        <v>7048</v>
      </c>
      <c r="Z363" t="s">
        <v>7049</v>
      </c>
      <c r="AA363" t="s">
        <v>7050</v>
      </c>
      <c r="AB363" t="s">
        <v>7051</v>
      </c>
      <c r="AC363" t="s">
        <v>7052</v>
      </c>
      <c r="AD363" t="s">
        <v>7053</v>
      </c>
      <c r="AE363" t="s">
        <v>7054</v>
      </c>
      <c r="AF363" t="s">
        <v>74</v>
      </c>
      <c r="AG363">
        <v>69</v>
      </c>
      <c r="AH363">
        <v>26</v>
      </c>
      <c r="AI363">
        <v>32</v>
      </c>
      <c r="AJ363">
        <v>0</v>
      </c>
      <c r="AK363">
        <v>8</v>
      </c>
      <c r="AL363" t="s">
        <v>489</v>
      </c>
      <c r="AM363" t="s">
        <v>490</v>
      </c>
      <c r="AN363" t="s">
        <v>491</v>
      </c>
      <c r="AO363" t="s">
        <v>7055</v>
      </c>
      <c r="AP363" t="s">
        <v>7056</v>
      </c>
      <c r="AQ363" t="s">
        <v>74</v>
      </c>
      <c r="AR363" t="s">
        <v>7057</v>
      </c>
      <c r="AS363" t="s">
        <v>7058</v>
      </c>
      <c r="AT363" t="s">
        <v>6107</v>
      </c>
      <c r="AU363">
        <v>2009</v>
      </c>
      <c r="AV363">
        <v>30</v>
      </c>
      <c r="AW363">
        <v>1</v>
      </c>
      <c r="AX363" t="s">
        <v>74</v>
      </c>
      <c r="AY363" t="s">
        <v>74</v>
      </c>
      <c r="AZ363" t="s">
        <v>74</v>
      </c>
      <c r="BA363" t="s">
        <v>74</v>
      </c>
      <c r="BB363">
        <v>33</v>
      </c>
      <c r="BC363">
        <v>46</v>
      </c>
      <c r="BD363" t="s">
        <v>74</v>
      </c>
      <c r="BE363" t="s">
        <v>7059</v>
      </c>
      <c r="BF363" t="str">
        <f>HYPERLINK("http://dx.doi.org/10.1111/j.1439-0485.2008.00247.x","http://dx.doi.org/10.1111/j.1439-0485.2008.00247.x")</f>
        <v>http://dx.doi.org/10.1111/j.1439-0485.2008.00247.x</v>
      </c>
      <c r="BG363" t="s">
        <v>74</v>
      </c>
      <c r="BH363" t="s">
        <v>74</v>
      </c>
      <c r="BI363">
        <v>14</v>
      </c>
      <c r="BJ363" t="s">
        <v>448</v>
      </c>
      <c r="BK363" t="s">
        <v>100</v>
      </c>
      <c r="BL363" t="s">
        <v>448</v>
      </c>
      <c r="BM363" t="s">
        <v>7060</v>
      </c>
      <c r="BN363" t="s">
        <v>74</v>
      </c>
      <c r="BO363" t="s">
        <v>74</v>
      </c>
      <c r="BP363" t="s">
        <v>74</v>
      </c>
      <c r="BQ363" t="s">
        <v>74</v>
      </c>
      <c r="BR363" t="s">
        <v>103</v>
      </c>
      <c r="BS363" t="s">
        <v>7061</v>
      </c>
      <c r="BT363" t="str">
        <f>HYPERLINK("https%3A%2F%2Fwww.webofscience.com%2Fwos%2Fwoscc%2Ffull-record%2FWOS:000262894000003","View Full Record in Web of Science")</f>
        <v>View Full Record in Web of Science</v>
      </c>
    </row>
    <row r="364" spans="1:72" x14ac:dyDescent="0.15">
      <c r="A364" t="s">
        <v>72</v>
      </c>
      <c r="B364" t="s">
        <v>7062</v>
      </c>
      <c r="C364" t="s">
        <v>74</v>
      </c>
      <c r="D364" t="s">
        <v>74</v>
      </c>
      <c r="E364" t="s">
        <v>74</v>
      </c>
      <c r="F364" t="s">
        <v>7063</v>
      </c>
      <c r="G364" t="s">
        <v>74</v>
      </c>
      <c r="H364" t="s">
        <v>74</v>
      </c>
      <c r="I364" t="s">
        <v>7064</v>
      </c>
      <c r="J364" t="s">
        <v>7065</v>
      </c>
      <c r="K364" t="s">
        <v>74</v>
      </c>
      <c r="L364" t="s">
        <v>74</v>
      </c>
      <c r="M364" t="s">
        <v>78</v>
      </c>
      <c r="N364" t="s">
        <v>1437</v>
      </c>
      <c r="O364" t="s">
        <v>7066</v>
      </c>
      <c r="P364" t="s">
        <v>7067</v>
      </c>
      <c r="Q364" t="s">
        <v>7068</v>
      </c>
      <c r="R364" t="s">
        <v>74</v>
      </c>
      <c r="S364" t="s">
        <v>7069</v>
      </c>
      <c r="T364" t="s">
        <v>7070</v>
      </c>
      <c r="U364" t="s">
        <v>7071</v>
      </c>
      <c r="V364" t="s">
        <v>7072</v>
      </c>
      <c r="W364" t="s">
        <v>7073</v>
      </c>
      <c r="X364" t="s">
        <v>7074</v>
      </c>
      <c r="Y364" t="s">
        <v>7075</v>
      </c>
      <c r="Z364" t="s">
        <v>7076</v>
      </c>
      <c r="AA364" t="s">
        <v>7077</v>
      </c>
      <c r="AB364" t="s">
        <v>7078</v>
      </c>
      <c r="AC364" t="s">
        <v>74</v>
      </c>
      <c r="AD364" t="s">
        <v>74</v>
      </c>
      <c r="AE364" t="s">
        <v>74</v>
      </c>
      <c r="AF364" t="s">
        <v>74</v>
      </c>
      <c r="AG364">
        <v>52</v>
      </c>
      <c r="AH364">
        <v>13</v>
      </c>
      <c r="AI364">
        <v>13</v>
      </c>
      <c r="AJ364">
        <v>0</v>
      </c>
      <c r="AK364">
        <v>14</v>
      </c>
      <c r="AL364" t="s">
        <v>553</v>
      </c>
      <c r="AM364" t="s">
        <v>252</v>
      </c>
      <c r="AN364" t="s">
        <v>554</v>
      </c>
      <c r="AO364" t="s">
        <v>7079</v>
      </c>
      <c r="AP364" t="s">
        <v>7080</v>
      </c>
      <c r="AQ364" t="s">
        <v>74</v>
      </c>
      <c r="AR364" t="s">
        <v>7081</v>
      </c>
      <c r="AS364" t="s">
        <v>7082</v>
      </c>
      <c r="AT364" t="s">
        <v>6107</v>
      </c>
      <c r="AU364">
        <v>2009</v>
      </c>
      <c r="AV364">
        <v>2</v>
      </c>
      <c r="AW364">
        <v>1</v>
      </c>
      <c r="AX364" t="s">
        <v>74</v>
      </c>
      <c r="AY364" t="s">
        <v>74</v>
      </c>
      <c r="AZ364" t="s">
        <v>74</v>
      </c>
      <c r="BA364" t="s">
        <v>74</v>
      </c>
      <c r="BB364">
        <v>1</v>
      </c>
      <c r="BC364">
        <v>10</v>
      </c>
      <c r="BD364" t="s">
        <v>74</v>
      </c>
      <c r="BE364" t="s">
        <v>7083</v>
      </c>
      <c r="BF364" t="str">
        <f>HYPERLINK("http://dx.doi.org/10.1016/j.margen.2009.03.001","http://dx.doi.org/10.1016/j.margen.2009.03.001")</f>
        <v>http://dx.doi.org/10.1016/j.margen.2009.03.001</v>
      </c>
      <c r="BG364" t="s">
        <v>74</v>
      </c>
      <c r="BH364" t="s">
        <v>74</v>
      </c>
      <c r="BI364">
        <v>10</v>
      </c>
      <c r="BJ364" t="s">
        <v>7084</v>
      </c>
      <c r="BK364" t="s">
        <v>1453</v>
      </c>
      <c r="BL364" t="s">
        <v>7084</v>
      </c>
      <c r="BM364" t="s">
        <v>7085</v>
      </c>
      <c r="BN364">
        <v>21798166</v>
      </c>
      <c r="BO364" t="s">
        <v>74</v>
      </c>
      <c r="BP364" t="s">
        <v>74</v>
      </c>
      <c r="BQ364" t="s">
        <v>74</v>
      </c>
      <c r="BR364" t="s">
        <v>103</v>
      </c>
      <c r="BS364" t="s">
        <v>7086</v>
      </c>
      <c r="BT364" t="str">
        <f>HYPERLINK("https%3A%2F%2Fwww.webofscience.com%2Fwos%2Fwoscc%2Ffull-record%2FWOS:000273739000002","View Full Record in Web of Science")</f>
        <v>View Full Record in Web of Science</v>
      </c>
    </row>
    <row r="365" spans="1:72" x14ac:dyDescent="0.15">
      <c r="A365" t="s">
        <v>72</v>
      </c>
      <c r="B365" t="s">
        <v>7087</v>
      </c>
      <c r="C365" t="s">
        <v>74</v>
      </c>
      <c r="D365" t="s">
        <v>74</v>
      </c>
      <c r="E365" t="s">
        <v>74</v>
      </c>
      <c r="F365" t="s">
        <v>7088</v>
      </c>
      <c r="G365" t="s">
        <v>74</v>
      </c>
      <c r="H365" t="s">
        <v>74</v>
      </c>
      <c r="I365" t="s">
        <v>7089</v>
      </c>
      <c r="J365" t="s">
        <v>7065</v>
      </c>
      <c r="K365" t="s">
        <v>74</v>
      </c>
      <c r="L365" t="s">
        <v>74</v>
      </c>
      <c r="M365" t="s">
        <v>78</v>
      </c>
      <c r="N365" t="s">
        <v>1437</v>
      </c>
      <c r="O365" t="s">
        <v>7066</v>
      </c>
      <c r="P365" t="s">
        <v>7067</v>
      </c>
      <c r="Q365" t="s">
        <v>7068</v>
      </c>
      <c r="R365" t="s">
        <v>74</v>
      </c>
      <c r="S365" t="s">
        <v>7069</v>
      </c>
      <c r="T365" t="s">
        <v>7090</v>
      </c>
      <c r="U365" t="s">
        <v>7091</v>
      </c>
      <c r="V365" t="s">
        <v>7092</v>
      </c>
      <c r="W365" t="s">
        <v>7093</v>
      </c>
      <c r="X365" t="s">
        <v>824</v>
      </c>
      <c r="Y365" t="s">
        <v>7094</v>
      </c>
      <c r="Z365" t="s">
        <v>7095</v>
      </c>
      <c r="AA365" t="s">
        <v>4182</v>
      </c>
      <c r="AB365" t="s">
        <v>4183</v>
      </c>
      <c r="AC365" t="s">
        <v>74</v>
      </c>
      <c r="AD365" t="s">
        <v>74</v>
      </c>
      <c r="AE365" t="s">
        <v>74</v>
      </c>
      <c r="AF365" t="s">
        <v>74</v>
      </c>
      <c r="AG365">
        <v>96</v>
      </c>
      <c r="AH365">
        <v>107</v>
      </c>
      <c r="AI365">
        <v>116</v>
      </c>
      <c r="AJ365">
        <v>4</v>
      </c>
      <c r="AK365">
        <v>58</v>
      </c>
      <c r="AL365" t="s">
        <v>251</v>
      </c>
      <c r="AM365" t="s">
        <v>252</v>
      </c>
      <c r="AN365" t="s">
        <v>253</v>
      </c>
      <c r="AO365" t="s">
        <v>7079</v>
      </c>
      <c r="AP365" t="s">
        <v>7080</v>
      </c>
      <c r="AQ365" t="s">
        <v>74</v>
      </c>
      <c r="AR365" t="s">
        <v>7081</v>
      </c>
      <c r="AS365" t="s">
        <v>7082</v>
      </c>
      <c r="AT365" t="s">
        <v>6107</v>
      </c>
      <c r="AU365">
        <v>2009</v>
      </c>
      <c r="AV365">
        <v>2</v>
      </c>
      <c r="AW365">
        <v>1</v>
      </c>
      <c r="AX365" t="s">
        <v>74</v>
      </c>
      <c r="AY365" t="s">
        <v>74</v>
      </c>
      <c r="AZ365" t="s">
        <v>74</v>
      </c>
      <c r="BA365" t="s">
        <v>74</v>
      </c>
      <c r="BB365">
        <v>11</v>
      </c>
      <c r="BC365">
        <v>18</v>
      </c>
      <c r="BD365" t="s">
        <v>74</v>
      </c>
      <c r="BE365" t="s">
        <v>7096</v>
      </c>
      <c r="BF365" t="str">
        <f>HYPERLINK("http://dx.doi.org/10.1016/j.margen.2009.03.003","http://dx.doi.org/10.1016/j.margen.2009.03.003")</f>
        <v>http://dx.doi.org/10.1016/j.margen.2009.03.003</v>
      </c>
      <c r="BG365" t="s">
        <v>74</v>
      </c>
      <c r="BH365" t="s">
        <v>74</v>
      </c>
      <c r="BI365">
        <v>8</v>
      </c>
      <c r="BJ365" t="s">
        <v>7084</v>
      </c>
      <c r="BK365" t="s">
        <v>1453</v>
      </c>
      <c r="BL365" t="s">
        <v>7084</v>
      </c>
      <c r="BM365" t="s">
        <v>7085</v>
      </c>
      <c r="BN365">
        <v>21798167</v>
      </c>
      <c r="BO365" t="s">
        <v>74</v>
      </c>
      <c r="BP365" t="s">
        <v>74</v>
      </c>
      <c r="BQ365" t="s">
        <v>74</v>
      </c>
      <c r="BR365" t="s">
        <v>103</v>
      </c>
      <c r="BS365" t="s">
        <v>7097</v>
      </c>
      <c r="BT365" t="str">
        <f>HYPERLINK("https%3A%2F%2Fwww.webofscience.com%2Fwos%2Fwoscc%2Ffull-record%2FWOS:000273739000003","View Full Record in Web of Science")</f>
        <v>View Full Record in Web of Science</v>
      </c>
    </row>
    <row r="366" spans="1:72" x14ac:dyDescent="0.15">
      <c r="A366" t="s">
        <v>72</v>
      </c>
      <c r="B366" t="s">
        <v>7098</v>
      </c>
      <c r="C366" t="s">
        <v>74</v>
      </c>
      <c r="D366" t="s">
        <v>74</v>
      </c>
      <c r="E366" t="s">
        <v>74</v>
      </c>
      <c r="F366" t="s">
        <v>7099</v>
      </c>
      <c r="G366" t="s">
        <v>74</v>
      </c>
      <c r="H366" t="s">
        <v>74</v>
      </c>
      <c r="I366" t="s">
        <v>7100</v>
      </c>
      <c r="J366" t="s">
        <v>7065</v>
      </c>
      <c r="K366" t="s">
        <v>74</v>
      </c>
      <c r="L366" t="s">
        <v>74</v>
      </c>
      <c r="M366" t="s">
        <v>78</v>
      </c>
      <c r="N366" t="s">
        <v>1437</v>
      </c>
      <c r="O366" t="s">
        <v>7066</v>
      </c>
      <c r="P366" t="s">
        <v>7067</v>
      </c>
      <c r="Q366" t="s">
        <v>7068</v>
      </c>
      <c r="R366" t="s">
        <v>74</v>
      </c>
      <c r="S366" t="s">
        <v>7069</v>
      </c>
      <c r="T366" t="s">
        <v>7101</v>
      </c>
      <c r="U366" t="s">
        <v>7102</v>
      </c>
      <c r="V366" t="s">
        <v>7103</v>
      </c>
      <c r="W366" t="s">
        <v>7104</v>
      </c>
      <c r="X366" t="s">
        <v>7105</v>
      </c>
      <c r="Y366" t="s">
        <v>7106</v>
      </c>
      <c r="Z366" t="s">
        <v>7107</v>
      </c>
      <c r="AA366" t="s">
        <v>7108</v>
      </c>
      <c r="AB366" t="s">
        <v>74</v>
      </c>
      <c r="AC366" t="s">
        <v>74</v>
      </c>
      <c r="AD366" t="s">
        <v>74</v>
      </c>
      <c r="AE366" t="s">
        <v>74</v>
      </c>
      <c r="AF366" t="s">
        <v>74</v>
      </c>
      <c r="AG366">
        <v>23</v>
      </c>
      <c r="AH366">
        <v>3</v>
      </c>
      <c r="AI366">
        <v>3</v>
      </c>
      <c r="AJ366">
        <v>0</v>
      </c>
      <c r="AK366">
        <v>7</v>
      </c>
      <c r="AL366" t="s">
        <v>553</v>
      </c>
      <c r="AM366" t="s">
        <v>252</v>
      </c>
      <c r="AN366" t="s">
        <v>554</v>
      </c>
      <c r="AO366" t="s">
        <v>7079</v>
      </c>
      <c r="AP366" t="s">
        <v>74</v>
      </c>
      <c r="AQ366" t="s">
        <v>74</v>
      </c>
      <c r="AR366" t="s">
        <v>7081</v>
      </c>
      <c r="AS366" t="s">
        <v>7082</v>
      </c>
      <c r="AT366" t="s">
        <v>6107</v>
      </c>
      <c r="AU366">
        <v>2009</v>
      </c>
      <c r="AV366">
        <v>2</v>
      </c>
      <c r="AW366">
        <v>1</v>
      </c>
      <c r="AX366" t="s">
        <v>74</v>
      </c>
      <c r="AY366" t="s">
        <v>74</v>
      </c>
      <c r="AZ366" t="s">
        <v>74</v>
      </c>
      <c r="BA366" t="s">
        <v>74</v>
      </c>
      <c r="BB366">
        <v>19</v>
      </c>
      <c r="BC366">
        <v>25</v>
      </c>
      <c r="BD366" t="s">
        <v>74</v>
      </c>
      <c r="BE366" t="s">
        <v>7109</v>
      </c>
      <c r="BF366" t="str">
        <f>HYPERLINK("http://dx.doi.org/10.1016/j.margen.2009.03.002","http://dx.doi.org/10.1016/j.margen.2009.03.002")</f>
        <v>http://dx.doi.org/10.1016/j.margen.2009.03.002</v>
      </c>
      <c r="BG366" t="s">
        <v>74</v>
      </c>
      <c r="BH366" t="s">
        <v>74</v>
      </c>
      <c r="BI366">
        <v>7</v>
      </c>
      <c r="BJ366" t="s">
        <v>7084</v>
      </c>
      <c r="BK366" t="s">
        <v>1453</v>
      </c>
      <c r="BL366" t="s">
        <v>7084</v>
      </c>
      <c r="BM366" t="s">
        <v>7085</v>
      </c>
      <c r="BN366">
        <v>21798168</v>
      </c>
      <c r="BO366" t="s">
        <v>74</v>
      </c>
      <c r="BP366" t="s">
        <v>74</v>
      </c>
      <c r="BQ366" t="s">
        <v>74</v>
      </c>
      <c r="BR366" t="s">
        <v>103</v>
      </c>
      <c r="BS366" t="s">
        <v>7110</v>
      </c>
      <c r="BT366" t="str">
        <f>HYPERLINK("https%3A%2F%2Fwww.webofscience.com%2Fwos%2Fwoscc%2Ffull-record%2FWOS:000273739000004","View Full Record in Web of Science")</f>
        <v>View Full Record in Web of Science</v>
      </c>
    </row>
    <row r="367" spans="1:72" x14ac:dyDescent="0.15">
      <c r="A367" t="s">
        <v>72</v>
      </c>
      <c r="B367" t="s">
        <v>7111</v>
      </c>
      <c r="C367" t="s">
        <v>74</v>
      </c>
      <c r="D367" t="s">
        <v>74</v>
      </c>
      <c r="E367" t="s">
        <v>74</v>
      </c>
      <c r="F367" t="s">
        <v>7112</v>
      </c>
      <c r="G367" t="s">
        <v>74</v>
      </c>
      <c r="H367" t="s">
        <v>74</v>
      </c>
      <c r="I367" t="s">
        <v>7113</v>
      </c>
      <c r="J367" t="s">
        <v>7065</v>
      </c>
      <c r="K367" t="s">
        <v>74</v>
      </c>
      <c r="L367" t="s">
        <v>74</v>
      </c>
      <c r="M367" t="s">
        <v>78</v>
      </c>
      <c r="N367" t="s">
        <v>1437</v>
      </c>
      <c r="O367" t="s">
        <v>7066</v>
      </c>
      <c r="P367" t="s">
        <v>7067</v>
      </c>
      <c r="Q367" t="s">
        <v>7068</v>
      </c>
      <c r="R367" t="s">
        <v>74</v>
      </c>
      <c r="S367" t="s">
        <v>7069</v>
      </c>
      <c r="T367" t="s">
        <v>7114</v>
      </c>
      <c r="U367" t="s">
        <v>7115</v>
      </c>
      <c r="V367" t="s">
        <v>7116</v>
      </c>
      <c r="W367" t="s">
        <v>7117</v>
      </c>
      <c r="X367" t="s">
        <v>7118</v>
      </c>
      <c r="Y367" t="s">
        <v>7119</v>
      </c>
      <c r="Z367" t="s">
        <v>7120</v>
      </c>
      <c r="AA367" t="s">
        <v>7121</v>
      </c>
      <c r="AB367" t="s">
        <v>7122</v>
      </c>
      <c r="AC367" t="s">
        <v>74</v>
      </c>
      <c r="AD367" t="s">
        <v>74</v>
      </c>
      <c r="AE367" t="s">
        <v>74</v>
      </c>
      <c r="AF367" t="s">
        <v>74</v>
      </c>
      <c r="AG367">
        <v>40</v>
      </c>
      <c r="AH367">
        <v>11</v>
      </c>
      <c r="AI367">
        <v>11</v>
      </c>
      <c r="AJ367">
        <v>0</v>
      </c>
      <c r="AK367">
        <v>6</v>
      </c>
      <c r="AL367" t="s">
        <v>251</v>
      </c>
      <c r="AM367" t="s">
        <v>252</v>
      </c>
      <c r="AN367" t="s">
        <v>253</v>
      </c>
      <c r="AO367" t="s">
        <v>7079</v>
      </c>
      <c r="AP367" t="s">
        <v>7080</v>
      </c>
      <c r="AQ367" t="s">
        <v>74</v>
      </c>
      <c r="AR367" t="s">
        <v>7081</v>
      </c>
      <c r="AS367" t="s">
        <v>7082</v>
      </c>
      <c r="AT367" t="s">
        <v>6107</v>
      </c>
      <c r="AU367">
        <v>2009</v>
      </c>
      <c r="AV367">
        <v>2</v>
      </c>
      <c r="AW367">
        <v>1</v>
      </c>
      <c r="AX367" t="s">
        <v>74</v>
      </c>
      <c r="AY367" t="s">
        <v>74</v>
      </c>
      <c r="AZ367" t="s">
        <v>74</v>
      </c>
      <c r="BA367" t="s">
        <v>74</v>
      </c>
      <c r="BB367">
        <v>27</v>
      </c>
      <c r="BC367">
        <v>32</v>
      </c>
      <c r="BD367" t="s">
        <v>74</v>
      </c>
      <c r="BE367" t="s">
        <v>7123</v>
      </c>
      <c r="BF367" t="str">
        <f>HYPERLINK("http://dx.doi.org/10.1016/j.margen.2009.04.001","http://dx.doi.org/10.1016/j.margen.2009.04.001")</f>
        <v>http://dx.doi.org/10.1016/j.margen.2009.04.001</v>
      </c>
      <c r="BG367" t="s">
        <v>74</v>
      </c>
      <c r="BH367" t="s">
        <v>74</v>
      </c>
      <c r="BI367">
        <v>6</v>
      </c>
      <c r="BJ367" t="s">
        <v>7084</v>
      </c>
      <c r="BK367" t="s">
        <v>1453</v>
      </c>
      <c r="BL367" t="s">
        <v>7084</v>
      </c>
      <c r="BM367" t="s">
        <v>7085</v>
      </c>
      <c r="BN367">
        <v>21798169</v>
      </c>
      <c r="BO367" t="s">
        <v>1012</v>
      </c>
      <c r="BP367" t="s">
        <v>74</v>
      </c>
      <c r="BQ367" t="s">
        <v>74</v>
      </c>
      <c r="BR367" t="s">
        <v>103</v>
      </c>
      <c r="BS367" t="s">
        <v>7124</v>
      </c>
      <c r="BT367" t="str">
        <f>HYPERLINK("https%3A%2F%2Fwww.webofscience.com%2Fwos%2Fwoscc%2Ffull-record%2FWOS:000273739000005","View Full Record in Web of Science")</f>
        <v>View Full Record in Web of Science</v>
      </c>
    </row>
    <row r="368" spans="1:72" x14ac:dyDescent="0.15">
      <c r="A368" t="s">
        <v>72</v>
      </c>
      <c r="B368" t="s">
        <v>7125</v>
      </c>
      <c r="C368" t="s">
        <v>74</v>
      </c>
      <c r="D368" t="s">
        <v>74</v>
      </c>
      <c r="E368" t="s">
        <v>74</v>
      </c>
      <c r="F368" t="s">
        <v>7126</v>
      </c>
      <c r="G368" t="s">
        <v>74</v>
      </c>
      <c r="H368" t="s">
        <v>74</v>
      </c>
      <c r="I368" t="s">
        <v>7127</v>
      </c>
      <c r="J368" t="s">
        <v>7065</v>
      </c>
      <c r="K368" t="s">
        <v>74</v>
      </c>
      <c r="L368" t="s">
        <v>74</v>
      </c>
      <c r="M368" t="s">
        <v>78</v>
      </c>
      <c r="N368" t="s">
        <v>1437</v>
      </c>
      <c r="O368" t="s">
        <v>7066</v>
      </c>
      <c r="P368" t="s">
        <v>7067</v>
      </c>
      <c r="Q368" t="s">
        <v>7068</v>
      </c>
      <c r="R368" t="s">
        <v>74</v>
      </c>
      <c r="S368" t="s">
        <v>7069</v>
      </c>
      <c r="T368" t="s">
        <v>7128</v>
      </c>
      <c r="U368" t="s">
        <v>7129</v>
      </c>
      <c r="V368" t="s">
        <v>7130</v>
      </c>
      <c r="W368" t="s">
        <v>7131</v>
      </c>
      <c r="X368" t="s">
        <v>7132</v>
      </c>
      <c r="Y368" t="s">
        <v>7133</v>
      </c>
      <c r="Z368" t="s">
        <v>7134</v>
      </c>
      <c r="AA368" t="s">
        <v>7135</v>
      </c>
      <c r="AB368" t="s">
        <v>7136</v>
      </c>
      <c r="AC368" t="s">
        <v>74</v>
      </c>
      <c r="AD368" t="s">
        <v>74</v>
      </c>
      <c r="AE368" t="s">
        <v>74</v>
      </c>
      <c r="AF368" t="s">
        <v>74</v>
      </c>
      <c r="AG368">
        <v>62</v>
      </c>
      <c r="AH368">
        <v>38</v>
      </c>
      <c r="AI368">
        <v>40</v>
      </c>
      <c r="AJ368">
        <v>1</v>
      </c>
      <c r="AK368">
        <v>34</v>
      </c>
      <c r="AL368" t="s">
        <v>553</v>
      </c>
      <c r="AM368" t="s">
        <v>252</v>
      </c>
      <c r="AN368" t="s">
        <v>554</v>
      </c>
      <c r="AO368" t="s">
        <v>7079</v>
      </c>
      <c r="AP368" t="s">
        <v>7080</v>
      </c>
      <c r="AQ368" t="s">
        <v>74</v>
      </c>
      <c r="AR368" t="s">
        <v>7081</v>
      </c>
      <c r="AS368" t="s">
        <v>7082</v>
      </c>
      <c r="AT368" t="s">
        <v>6107</v>
      </c>
      <c r="AU368">
        <v>2009</v>
      </c>
      <c r="AV368">
        <v>2</v>
      </c>
      <c r="AW368">
        <v>1</v>
      </c>
      <c r="AX368" t="s">
        <v>74</v>
      </c>
      <c r="AY368" t="s">
        <v>74</v>
      </c>
      <c r="AZ368" t="s">
        <v>74</v>
      </c>
      <c r="BA368" t="s">
        <v>74</v>
      </c>
      <c r="BB368">
        <v>33</v>
      </c>
      <c r="BC368">
        <v>41</v>
      </c>
      <c r="BD368" t="s">
        <v>74</v>
      </c>
      <c r="BE368" t="s">
        <v>7137</v>
      </c>
      <c r="BF368" t="str">
        <f>HYPERLINK("http://dx.doi.org/10.1016/j.margen.2009.03.005","http://dx.doi.org/10.1016/j.margen.2009.03.005")</f>
        <v>http://dx.doi.org/10.1016/j.margen.2009.03.005</v>
      </c>
      <c r="BG368" t="s">
        <v>74</v>
      </c>
      <c r="BH368" t="s">
        <v>74</v>
      </c>
      <c r="BI368">
        <v>9</v>
      </c>
      <c r="BJ368" t="s">
        <v>7084</v>
      </c>
      <c r="BK368" t="s">
        <v>1453</v>
      </c>
      <c r="BL368" t="s">
        <v>7084</v>
      </c>
      <c r="BM368" t="s">
        <v>7085</v>
      </c>
      <c r="BN368">
        <v>21798170</v>
      </c>
      <c r="BO368" t="s">
        <v>74</v>
      </c>
      <c r="BP368" t="s">
        <v>74</v>
      </c>
      <c r="BQ368" t="s">
        <v>74</v>
      </c>
      <c r="BR368" t="s">
        <v>103</v>
      </c>
      <c r="BS368" t="s">
        <v>7138</v>
      </c>
      <c r="BT368" t="str">
        <f>HYPERLINK("https%3A%2F%2Fwww.webofscience.com%2Fwos%2Fwoscc%2Ffull-record%2FWOS:000273739000006","View Full Record in Web of Science")</f>
        <v>View Full Record in Web of Science</v>
      </c>
    </row>
    <row r="369" spans="1:72" x14ac:dyDescent="0.15">
      <c r="A369" t="s">
        <v>72</v>
      </c>
      <c r="B369" t="s">
        <v>7139</v>
      </c>
      <c r="C369" t="s">
        <v>74</v>
      </c>
      <c r="D369" t="s">
        <v>74</v>
      </c>
      <c r="E369" t="s">
        <v>74</v>
      </c>
      <c r="F369" t="s">
        <v>7140</v>
      </c>
      <c r="G369" t="s">
        <v>74</v>
      </c>
      <c r="H369" t="s">
        <v>74</v>
      </c>
      <c r="I369" t="s">
        <v>7141</v>
      </c>
      <c r="J369" t="s">
        <v>7065</v>
      </c>
      <c r="K369" t="s">
        <v>74</v>
      </c>
      <c r="L369" t="s">
        <v>74</v>
      </c>
      <c r="M369" t="s">
        <v>78</v>
      </c>
      <c r="N369" t="s">
        <v>1437</v>
      </c>
      <c r="O369" t="s">
        <v>7066</v>
      </c>
      <c r="P369" t="s">
        <v>7067</v>
      </c>
      <c r="Q369" t="s">
        <v>7068</v>
      </c>
      <c r="R369" t="s">
        <v>74</v>
      </c>
      <c r="S369" t="s">
        <v>7069</v>
      </c>
      <c r="T369" t="s">
        <v>7142</v>
      </c>
      <c r="U369" t="s">
        <v>7143</v>
      </c>
      <c r="V369" t="s">
        <v>7144</v>
      </c>
      <c r="W369" t="s">
        <v>7145</v>
      </c>
      <c r="X369" t="s">
        <v>7146</v>
      </c>
      <c r="Y369" t="s">
        <v>7147</v>
      </c>
      <c r="Z369" t="s">
        <v>7148</v>
      </c>
      <c r="AA369" t="s">
        <v>7149</v>
      </c>
      <c r="AB369" t="s">
        <v>7150</v>
      </c>
      <c r="AC369" t="s">
        <v>74</v>
      </c>
      <c r="AD369" t="s">
        <v>74</v>
      </c>
      <c r="AE369" t="s">
        <v>74</v>
      </c>
      <c r="AF369" t="s">
        <v>74</v>
      </c>
      <c r="AG369">
        <v>51</v>
      </c>
      <c r="AH369">
        <v>65</v>
      </c>
      <c r="AI369">
        <v>74</v>
      </c>
      <c r="AJ369">
        <v>0</v>
      </c>
      <c r="AK369">
        <v>34</v>
      </c>
      <c r="AL369" t="s">
        <v>553</v>
      </c>
      <c r="AM369" t="s">
        <v>252</v>
      </c>
      <c r="AN369" t="s">
        <v>554</v>
      </c>
      <c r="AO369" t="s">
        <v>7079</v>
      </c>
      <c r="AP369" t="s">
        <v>7080</v>
      </c>
      <c r="AQ369" t="s">
        <v>74</v>
      </c>
      <c r="AR369" t="s">
        <v>7081</v>
      </c>
      <c r="AS369" t="s">
        <v>7082</v>
      </c>
      <c r="AT369" t="s">
        <v>6107</v>
      </c>
      <c r="AU369">
        <v>2009</v>
      </c>
      <c r="AV369">
        <v>2</v>
      </c>
      <c r="AW369">
        <v>1</v>
      </c>
      <c r="AX369" t="s">
        <v>74</v>
      </c>
      <c r="AY369" t="s">
        <v>74</v>
      </c>
      <c r="AZ369" t="s">
        <v>74</v>
      </c>
      <c r="BA369" t="s">
        <v>74</v>
      </c>
      <c r="BB369">
        <v>43</v>
      </c>
      <c r="BC369">
        <v>50</v>
      </c>
      <c r="BD369" t="s">
        <v>74</v>
      </c>
      <c r="BE369" t="s">
        <v>7151</v>
      </c>
      <c r="BF369" t="str">
        <f>HYPERLINK("http://dx.doi.org/10.1016/j.margen.2009.04.002","http://dx.doi.org/10.1016/j.margen.2009.04.002")</f>
        <v>http://dx.doi.org/10.1016/j.margen.2009.04.002</v>
      </c>
      <c r="BG369" t="s">
        <v>74</v>
      </c>
      <c r="BH369" t="s">
        <v>74</v>
      </c>
      <c r="BI369">
        <v>8</v>
      </c>
      <c r="BJ369" t="s">
        <v>7084</v>
      </c>
      <c r="BK369" t="s">
        <v>1453</v>
      </c>
      <c r="BL369" t="s">
        <v>7084</v>
      </c>
      <c r="BM369" t="s">
        <v>7085</v>
      </c>
      <c r="BN369">
        <v>21798171</v>
      </c>
      <c r="BO369" t="s">
        <v>74</v>
      </c>
      <c r="BP369" t="s">
        <v>74</v>
      </c>
      <c r="BQ369" t="s">
        <v>74</v>
      </c>
      <c r="BR369" t="s">
        <v>103</v>
      </c>
      <c r="BS369" t="s">
        <v>7152</v>
      </c>
      <c r="BT369" t="str">
        <f>HYPERLINK("https%3A%2F%2Fwww.webofscience.com%2Fwos%2Fwoscc%2Ffull-record%2FWOS:000273739000007","View Full Record in Web of Science")</f>
        <v>View Full Record in Web of Science</v>
      </c>
    </row>
    <row r="370" spans="1:72" x14ac:dyDescent="0.15">
      <c r="A370" t="s">
        <v>72</v>
      </c>
      <c r="B370" t="s">
        <v>7153</v>
      </c>
      <c r="C370" t="s">
        <v>74</v>
      </c>
      <c r="D370" t="s">
        <v>74</v>
      </c>
      <c r="E370" t="s">
        <v>74</v>
      </c>
      <c r="F370" t="s">
        <v>7154</v>
      </c>
      <c r="G370" t="s">
        <v>74</v>
      </c>
      <c r="H370" t="s">
        <v>74</v>
      </c>
      <c r="I370" t="s">
        <v>7155</v>
      </c>
      <c r="J370" t="s">
        <v>7065</v>
      </c>
      <c r="K370" t="s">
        <v>74</v>
      </c>
      <c r="L370" t="s">
        <v>74</v>
      </c>
      <c r="M370" t="s">
        <v>78</v>
      </c>
      <c r="N370" t="s">
        <v>1437</v>
      </c>
      <c r="O370" t="s">
        <v>7066</v>
      </c>
      <c r="P370" t="s">
        <v>7067</v>
      </c>
      <c r="Q370" t="s">
        <v>7068</v>
      </c>
      <c r="R370" t="s">
        <v>74</v>
      </c>
      <c r="S370" t="s">
        <v>7069</v>
      </c>
      <c r="T370" t="s">
        <v>7156</v>
      </c>
      <c r="U370" t="s">
        <v>7157</v>
      </c>
      <c r="V370" t="s">
        <v>7158</v>
      </c>
      <c r="W370" t="s">
        <v>7159</v>
      </c>
      <c r="X370" t="s">
        <v>7160</v>
      </c>
      <c r="Y370" t="s">
        <v>7161</v>
      </c>
      <c r="Z370" t="s">
        <v>7162</v>
      </c>
      <c r="AA370" t="s">
        <v>7163</v>
      </c>
      <c r="AB370" t="s">
        <v>7164</v>
      </c>
      <c r="AC370" t="s">
        <v>74</v>
      </c>
      <c r="AD370" t="s">
        <v>74</v>
      </c>
      <c r="AE370" t="s">
        <v>74</v>
      </c>
      <c r="AF370" t="s">
        <v>74</v>
      </c>
      <c r="AG370">
        <v>34</v>
      </c>
      <c r="AH370">
        <v>9</v>
      </c>
      <c r="AI370">
        <v>9</v>
      </c>
      <c r="AJ370">
        <v>0</v>
      </c>
      <c r="AK370">
        <v>4</v>
      </c>
      <c r="AL370" t="s">
        <v>251</v>
      </c>
      <c r="AM370" t="s">
        <v>252</v>
      </c>
      <c r="AN370" t="s">
        <v>253</v>
      </c>
      <c r="AO370" t="s">
        <v>7079</v>
      </c>
      <c r="AP370" t="s">
        <v>7080</v>
      </c>
      <c r="AQ370" t="s">
        <v>74</v>
      </c>
      <c r="AR370" t="s">
        <v>7081</v>
      </c>
      <c r="AS370" t="s">
        <v>7082</v>
      </c>
      <c r="AT370" t="s">
        <v>6107</v>
      </c>
      <c r="AU370">
        <v>2009</v>
      </c>
      <c r="AV370">
        <v>2</v>
      </c>
      <c r="AW370">
        <v>1</v>
      </c>
      <c r="AX370" t="s">
        <v>74</v>
      </c>
      <c r="AY370" t="s">
        <v>74</v>
      </c>
      <c r="AZ370" t="s">
        <v>74</v>
      </c>
      <c r="BA370" t="s">
        <v>74</v>
      </c>
      <c r="BB370">
        <v>51</v>
      </c>
      <c r="BC370">
        <v>56</v>
      </c>
      <c r="BD370" t="s">
        <v>74</v>
      </c>
      <c r="BE370" t="s">
        <v>7165</v>
      </c>
      <c r="BF370" t="str">
        <f>HYPERLINK("http://dx.doi.org/10.1016/j.margen.2009.04.003","http://dx.doi.org/10.1016/j.margen.2009.04.003")</f>
        <v>http://dx.doi.org/10.1016/j.margen.2009.04.003</v>
      </c>
      <c r="BG370" t="s">
        <v>74</v>
      </c>
      <c r="BH370" t="s">
        <v>74</v>
      </c>
      <c r="BI370">
        <v>6</v>
      </c>
      <c r="BJ370" t="s">
        <v>7084</v>
      </c>
      <c r="BK370" t="s">
        <v>1453</v>
      </c>
      <c r="BL370" t="s">
        <v>7084</v>
      </c>
      <c r="BM370" t="s">
        <v>7085</v>
      </c>
      <c r="BN370">
        <v>21798172</v>
      </c>
      <c r="BO370" t="s">
        <v>74</v>
      </c>
      <c r="BP370" t="s">
        <v>74</v>
      </c>
      <c r="BQ370" t="s">
        <v>74</v>
      </c>
      <c r="BR370" t="s">
        <v>103</v>
      </c>
      <c r="BS370" t="s">
        <v>7166</v>
      </c>
      <c r="BT370" t="str">
        <f>HYPERLINK("https%3A%2F%2Fwww.webofscience.com%2Fwos%2Fwoscc%2Ffull-record%2FWOS:000273739000008","View Full Record in Web of Science")</f>
        <v>View Full Record in Web of Science</v>
      </c>
    </row>
    <row r="371" spans="1:72" x14ac:dyDescent="0.15">
      <c r="A371" t="s">
        <v>72</v>
      </c>
      <c r="B371" t="s">
        <v>7167</v>
      </c>
      <c r="C371" t="s">
        <v>74</v>
      </c>
      <c r="D371" t="s">
        <v>74</v>
      </c>
      <c r="E371" t="s">
        <v>74</v>
      </c>
      <c r="F371" t="s">
        <v>7168</v>
      </c>
      <c r="G371" t="s">
        <v>74</v>
      </c>
      <c r="H371" t="s">
        <v>74</v>
      </c>
      <c r="I371" t="s">
        <v>7169</v>
      </c>
      <c r="J371" t="s">
        <v>7065</v>
      </c>
      <c r="K371" t="s">
        <v>74</v>
      </c>
      <c r="L371" t="s">
        <v>74</v>
      </c>
      <c r="M371" t="s">
        <v>78</v>
      </c>
      <c r="N371" t="s">
        <v>1437</v>
      </c>
      <c r="O371" t="s">
        <v>7066</v>
      </c>
      <c r="P371" t="s">
        <v>7067</v>
      </c>
      <c r="Q371" t="s">
        <v>7068</v>
      </c>
      <c r="R371" t="s">
        <v>74</v>
      </c>
      <c r="S371" t="s">
        <v>7069</v>
      </c>
      <c r="T371" t="s">
        <v>7170</v>
      </c>
      <c r="U371" t="s">
        <v>7171</v>
      </c>
      <c r="V371" t="s">
        <v>7172</v>
      </c>
      <c r="W371" t="s">
        <v>7173</v>
      </c>
      <c r="X371" t="s">
        <v>7174</v>
      </c>
      <c r="Y371" t="s">
        <v>7175</v>
      </c>
      <c r="Z371" t="s">
        <v>7176</v>
      </c>
      <c r="AA371" t="s">
        <v>7177</v>
      </c>
      <c r="AB371" t="s">
        <v>7178</v>
      </c>
      <c r="AC371" t="s">
        <v>74</v>
      </c>
      <c r="AD371" t="s">
        <v>74</v>
      </c>
      <c r="AE371" t="s">
        <v>74</v>
      </c>
      <c r="AF371" t="s">
        <v>74</v>
      </c>
      <c r="AG371">
        <v>86</v>
      </c>
      <c r="AH371">
        <v>27</v>
      </c>
      <c r="AI371">
        <v>27</v>
      </c>
      <c r="AJ371">
        <v>0</v>
      </c>
      <c r="AK371">
        <v>12</v>
      </c>
      <c r="AL371" t="s">
        <v>553</v>
      </c>
      <c r="AM371" t="s">
        <v>252</v>
      </c>
      <c r="AN371" t="s">
        <v>554</v>
      </c>
      <c r="AO371" t="s">
        <v>7079</v>
      </c>
      <c r="AP371" t="s">
        <v>7080</v>
      </c>
      <c r="AQ371" t="s">
        <v>74</v>
      </c>
      <c r="AR371" t="s">
        <v>7081</v>
      </c>
      <c r="AS371" t="s">
        <v>7082</v>
      </c>
      <c r="AT371" t="s">
        <v>6107</v>
      </c>
      <c r="AU371">
        <v>2009</v>
      </c>
      <c r="AV371">
        <v>2</v>
      </c>
      <c r="AW371">
        <v>1</v>
      </c>
      <c r="AX371" t="s">
        <v>74</v>
      </c>
      <c r="AY371" t="s">
        <v>74</v>
      </c>
      <c r="AZ371" t="s">
        <v>74</v>
      </c>
      <c r="BA371" t="s">
        <v>74</v>
      </c>
      <c r="BB371">
        <v>57</v>
      </c>
      <c r="BC371">
        <v>66</v>
      </c>
      <c r="BD371" t="s">
        <v>74</v>
      </c>
      <c r="BE371" t="s">
        <v>7179</v>
      </c>
      <c r="BF371" t="str">
        <f>HYPERLINK("http://dx.doi.org/10.1016/j.margen.2009.03.008","http://dx.doi.org/10.1016/j.margen.2009.03.008")</f>
        <v>http://dx.doi.org/10.1016/j.margen.2009.03.008</v>
      </c>
      <c r="BG371" t="s">
        <v>74</v>
      </c>
      <c r="BH371" t="s">
        <v>74</v>
      </c>
      <c r="BI371">
        <v>10</v>
      </c>
      <c r="BJ371" t="s">
        <v>7084</v>
      </c>
      <c r="BK371" t="s">
        <v>1453</v>
      </c>
      <c r="BL371" t="s">
        <v>7084</v>
      </c>
      <c r="BM371" t="s">
        <v>7085</v>
      </c>
      <c r="BN371">
        <v>21798173</v>
      </c>
      <c r="BO371" t="s">
        <v>74</v>
      </c>
      <c r="BP371" t="s">
        <v>74</v>
      </c>
      <c r="BQ371" t="s">
        <v>74</v>
      </c>
      <c r="BR371" t="s">
        <v>103</v>
      </c>
      <c r="BS371" t="s">
        <v>7180</v>
      </c>
      <c r="BT371" t="str">
        <f>HYPERLINK("https%3A%2F%2Fwww.webofscience.com%2Fwos%2Fwoscc%2Ffull-record%2FWOS:000273739000009","View Full Record in Web of Science")</f>
        <v>View Full Record in Web of Science</v>
      </c>
    </row>
    <row r="372" spans="1:72" x14ac:dyDescent="0.15">
      <c r="A372" t="s">
        <v>72</v>
      </c>
      <c r="B372" t="s">
        <v>7181</v>
      </c>
      <c r="C372" t="s">
        <v>74</v>
      </c>
      <c r="D372" t="s">
        <v>74</v>
      </c>
      <c r="E372" t="s">
        <v>74</v>
      </c>
      <c r="F372" t="s">
        <v>7182</v>
      </c>
      <c r="G372" t="s">
        <v>74</v>
      </c>
      <c r="H372" t="s">
        <v>74</v>
      </c>
      <c r="I372" t="s">
        <v>7183</v>
      </c>
      <c r="J372" t="s">
        <v>7065</v>
      </c>
      <c r="K372" t="s">
        <v>74</v>
      </c>
      <c r="L372" t="s">
        <v>74</v>
      </c>
      <c r="M372" t="s">
        <v>78</v>
      </c>
      <c r="N372" t="s">
        <v>1437</v>
      </c>
      <c r="O372" t="s">
        <v>7066</v>
      </c>
      <c r="P372" t="s">
        <v>7067</v>
      </c>
      <c r="Q372" t="s">
        <v>7068</v>
      </c>
      <c r="R372" t="s">
        <v>74</v>
      </c>
      <c r="S372" t="s">
        <v>7069</v>
      </c>
      <c r="T372" t="s">
        <v>7184</v>
      </c>
      <c r="U372" t="s">
        <v>7185</v>
      </c>
      <c r="V372" t="s">
        <v>7186</v>
      </c>
      <c r="W372" t="s">
        <v>7187</v>
      </c>
      <c r="X372" t="s">
        <v>7188</v>
      </c>
      <c r="Y372" t="s">
        <v>7189</v>
      </c>
      <c r="Z372" t="s">
        <v>7190</v>
      </c>
      <c r="AA372" t="s">
        <v>7191</v>
      </c>
      <c r="AB372" t="s">
        <v>7192</v>
      </c>
      <c r="AC372" t="s">
        <v>74</v>
      </c>
      <c r="AD372" t="s">
        <v>74</v>
      </c>
      <c r="AE372" t="s">
        <v>74</v>
      </c>
      <c r="AF372" t="s">
        <v>74</v>
      </c>
      <c r="AG372">
        <v>59</v>
      </c>
      <c r="AH372">
        <v>26</v>
      </c>
      <c r="AI372">
        <v>28</v>
      </c>
      <c r="AJ372">
        <v>0</v>
      </c>
      <c r="AK372">
        <v>4</v>
      </c>
      <c r="AL372" t="s">
        <v>251</v>
      </c>
      <c r="AM372" t="s">
        <v>252</v>
      </c>
      <c r="AN372" t="s">
        <v>253</v>
      </c>
      <c r="AO372" t="s">
        <v>7079</v>
      </c>
      <c r="AP372" t="s">
        <v>7080</v>
      </c>
      <c r="AQ372" t="s">
        <v>74</v>
      </c>
      <c r="AR372" t="s">
        <v>7081</v>
      </c>
      <c r="AS372" t="s">
        <v>7082</v>
      </c>
      <c r="AT372" t="s">
        <v>6107</v>
      </c>
      <c r="AU372">
        <v>2009</v>
      </c>
      <c r="AV372">
        <v>2</v>
      </c>
      <c r="AW372">
        <v>1</v>
      </c>
      <c r="AX372" t="s">
        <v>74</v>
      </c>
      <c r="AY372" t="s">
        <v>74</v>
      </c>
      <c r="AZ372" t="s">
        <v>74</v>
      </c>
      <c r="BA372" t="s">
        <v>74</v>
      </c>
      <c r="BB372">
        <v>75</v>
      </c>
      <c r="BC372">
        <v>80</v>
      </c>
      <c r="BD372" t="s">
        <v>74</v>
      </c>
      <c r="BE372" t="s">
        <v>7193</v>
      </c>
      <c r="BF372" t="str">
        <f>HYPERLINK("http://dx.doi.org/10.1016/j.margen.2009.03.006","http://dx.doi.org/10.1016/j.margen.2009.03.006")</f>
        <v>http://dx.doi.org/10.1016/j.margen.2009.03.006</v>
      </c>
      <c r="BG372" t="s">
        <v>74</v>
      </c>
      <c r="BH372" t="s">
        <v>74</v>
      </c>
      <c r="BI372">
        <v>6</v>
      </c>
      <c r="BJ372" t="s">
        <v>7084</v>
      </c>
      <c r="BK372" t="s">
        <v>1453</v>
      </c>
      <c r="BL372" t="s">
        <v>7084</v>
      </c>
      <c r="BM372" t="s">
        <v>7085</v>
      </c>
      <c r="BN372">
        <v>21798175</v>
      </c>
      <c r="BO372" t="s">
        <v>74</v>
      </c>
      <c r="BP372" t="s">
        <v>74</v>
      </c>
      <c r="BQ372" t="s">
        <v>74</v>
      </c>
      <c r="BR372" t="s">
        <v>103</v>
      </c>
      <c r="BS372" t="s">
        <v>7194</v>
      </c>
      <c r="BT372" t="str">
        <f>HYPERLINK("https%3A%2F%2Fwww.webofscience.com%2Fwos%2Fwoscc%2Ffull-record%2FWOS:000273739000011","View Full Record in Web of Science")</f>
        <v>View Full Record in Web of Science</v>
      </c>
    </row>
    <row r="373" spans="1:72" x14ac:dyDescent="0.15">
      <c r="A373" t="s">
        <v>72</v>
      </c>
      <c r="B373" t="s">
        <v>7195</v>
      </c>
      <c r="C373" t="s">
        <v>74</v>
      </c>
      <c r="D373" t="s">
        <v>74</v>
      </c>
      <c r="E373" t="s">
        <v>74</v>
      </c>
      <c r="F373" t="s">
        <v>7196</v>
      </c>
      <c r="G373" t="s">
        <v>74</v>
      </c>
      <c r="H373" t="s">
        <v>74</v>
      </c>
      <c r="I373" t="s">
        <v>7197</v>
      </c>
      <c r="J373" t="s">
        <v>7198</v>
      </c>
      <c r="K373" t="s">
        <v>74</v>
      </c>
      <c r="L373" t="s">
        <v>74</v>
      </c>
      <c r="M373" t="s">
        <v>78</v>
      </c>
      <c r="N373" t="s">
        <v>79</v>
      </c>
      <c r="O373" t="s">
        <v>74</v>
      </c>
      <c r="P373" t="s">
        <v>74</v>
      </c>
      <c r="Q373" t="s">
        <v>74</v>
      </c>
      <c r="R373" t="s">
        <v>74</v>
      </c>
      <c r="S373" t="s">
        <v>74</v>
      </c>
      <c r="T373" t="s">
        <v>7199</v>
      </c>
      <c r="U373" t="s">
        <v>74</v>
      </c>
      <c r="V373" t="s">
        <v>7200</v>
      </c>
      <c r="W373" t="s">
        <v>5240</v>
      </c>
      <c r="X373" t="s">
        <v>5241</v>
      </c>
      <c r="Y373" t="s">
        <v>7201</v>
      </c>
      <c r="Z373" t="s">
        <v>7202</v>
      </c>
      <c r="AA373" t="s">
        <v>7203</v>
      </c>
      <c r="AB373" t="s">
        <v>74</v>
      </c>
      <c r="AC373" t="s">
        <v>74</v>
      </c>
      <c r="AD373" t="s">
        <v>74</v>
      </c>
      <c r="AE373" t="s">
        <v>74</v>
      </c>
      <c r="AF373" t="s">
        <v>74</v>
      </c>
      <c r="AG373">
        <v>1</v>
      </c>
      <c r="AH373">
        <v>12</v>
      </c>
      <c r="AI373">
        <v>12</v>
      </c>
      <c r="AJ373">
        <v>1</v>
      </c>
      <c r="AK373">
        <v>9</v>
      </c>
      <c r="AL373" t="s">
        <v>1671</v>
      </c>
      <c r="AM373" t="s">
        <v>304</v>
      </c>
      <c r="AN373" t="s">
        <v>1672</v>
      </c>
      <c r="AO373" t="s">
        <v>7204</v>
      </c>
      <c r="AP373" t="s">
        <v>74</v>
      </c>
      <c r="AQ373" t="s">
        <v>74</v>
      </c>
      <c r="AR373" t="s">
        <v>7205</v>
      </c>
      <c r="AS373" t="s">
        <v>7206</v>
      </c>
      <c r="AT373" t="s">
        <v>6107</v>
      </c>
      <c r="AU373">
        <v>2009</v>
      </c>
      <c r="AV373">
        <v>33</v>
      </c>
      <c r="AW373">
        <v>2</v>
      </c>
      <c r="AX373" t="s">
        <v>74</v>
      </c>
      <c r="AY373" t="s">
        <v>74</v>
      </c>
      <c r="AZ373" t="s">
        <v>74</v>
      </c>
      <c r="BA373" t="s">
        <v>74</v>
      </c>
      <c r="BB373">
        <v>429</v>
      </c>
      <c r="BC373">
        <v>431</v>
      </c>
      <c r="BD373" t="s">
        <v>74</v>
      </c>
      <c r="BE373" t="s">
        <v>7207</v>
      </c>
      <c r="BF373" t="str">
        <f>HYPERLINK("http://dx.doi.org/10.1016/j.marpol.2008.07.010","http://dx.doi.org/10.1016/j.marpol.2008.07.010")</f>
        <v>http://dx.doi.org/10.1016/j.marpol.2008.07.010</v>
      </c>
      <c r="BG373" t="s">
        <v>74</v>
      </c>
      <c r="BH373" t="s">
        <v>74</v>
      </c>
      <c r="BI373">
        <v>3</v>
      </c>
      <c r="BJ373" t="s">
        <v>7208</v>
      </c>
      <c r="BK373" t="s">
        <v>6246</v>
      </c>
      <c r="BL373" t="s">
        <v>7209</v>
      </c>
      <c r="BM373" t="s">
        <v>7210</v>
      </c>
      <c r="BN373" t="s">
        <v>74</v>
      </c>
      <c r="BO373" t="s">
        <v>74</v>
      </c>
      <c r="BP373" t="s">
        <v>74</v>
      </c>
      <c r="BQ373" t="s">
        <v>74</v>
      </c>
      <c r="BR373" t="s">
        <v>103</v>
      </c>
      <c r="BS373" t="s">
        <v>7211</v>
      </c>
      <c r="BT373" t="str">
        <f>HYPERLINK("https%3A%2F%2Fwww.webofscience.com%2Fwos%2Fwoscc%2Ffull-record%2FWOS:000262244700030","View Full Record in Web of Science")</f>
        <v>View Full Record in Web of Science</v>
      </c>
    </row>
    <row r="374" spans="1:72" x14ac:dyDescent="0.15">
      <c r="A374" t="s">
        <v>72</v>
      </c>
      <c r="B374" t="s">
        <v>7212</v>
      </c>
      <c r="C374" t="s">
        <v>74</v>
      </c>
      <c r="D374" t="s">
        <v>74</v>
      </c>
      <c r="E374" t="s">
        <v>74</v>
      </c>
      <c r="F374" t="s">
        <v>7213</v>
      </c>
      <c r="G374" t="s">
        <v>74</v>
      </c>
      <c r="H374" t="s">
        <v>74</v>
      </c>
      <c r="I374" t="s">
        <v>7214</v>
      </c>
      <c r="J374" t="s">
        <v>2175</v>
      </c>
      <c r="K374" t="s">
        <v>74</v>
      </c>
      <c r="L374" t="s">
        <v>74</v>
      </c>
      <c r="M374" t="s">
        <v>78</v>
      </c>
      <c r="N374" t="s">
        <v>79</v>
      </c>
      <c r="O374" t="s">
        <v>74</v>
      </c>
      <c r="P374" t="s">
        <v>74</v>
      </c>
      <c r="Q374" t="s">
        <v>74</v>
      </c>
      <c r="R374" t="s">
        <v>74</v>
      </c>
      <c r="S374" t="s">
        <v>74</v>
      </c>
      <c r="T374" t="s">
        <v>74</v>
      </c>
      <c r="U374" t="s">
        <v>7215</v>
      </c>
      <c r="V374" t="s">
        <v>7216</v>
      </c>
      <c r="W374" t="s">
        <v>7217</v>
      </c>
      <c r="X374" t="s">
        <v>7218</v>
      </c>
      <c r="Y374" t="s">
        <v>74</v>
      </c>
      <c r="Z374" t="s">
        <v>7219</v>
      </c>
      <c r="AA374" t="s">
        <v>7220</v>
      </c>
      <c r="AB374" t="s">
        <v>7221</v>
      </c>
      <c r="AC374" t="s">
        <v>7222</v>
      </c>
      <c r="AD374" t="s">
        <v>7223</v>
      </c>
      <c r="AE374" t="s">
        <v>7224</v>
      </c>
      <c r="AF374" t="s">
        <v>74</v>
      </c>
      <c r="AG374">
        <v>52</v>
      </c>
      <c r="AH374">
        <v>36</v>
      </c>
      <c r="AI374">
        <v>38</v>
      </c>
      <c r="AJ374">
        <v>0</v>
      </c>
      <c r="AK374">
        <v>8</v>
      </c>
      <c r="AL374" t="s">
        <v>2200</v>
      </c>
      <c r="AM374" t="s">
        <v>2201</v>
      </c>
      <c r="AN374" t="s">
        <v>2202</v>
      </c>
      <c r="AO374" t="s">
        <v>2182</v>
      </c>
      <c r="AP374" t="s">
        <v>74</v>
      </c>
      <c r="AQ374" t="s">
        <v>74</v>
      </c>
      <c r="AR374" t="s">
        <v>2183</v>
      </c>
      <c r="AS374" t="s">
        <v>2184</v>
      </c>
      <c r="AT374" t="s">
        <v>6107</v>
      </c>
      <c r="AU374">
        <v>2009</v>
      </c>
      <c r="AV374">
        <v>44</v>
      </c>
      <c r="AW374">
        <v>3</v>
      </c>
      <c r="AX374" t="s">
        <v>74</v>
      </c>
      <c r="AY374" t="s">
        <v>74</v>
      </c>
      <c r="AZ374" t="s">
        <v>74</v>
      </c>
      <c r="BA374" t="s">
        <v>74</v>
      </c>
      <c r="BB374">
        <v>359</v>
      </c>
      <c r="BC374">
        <v>374</v>
      </c>
      <c r="BD374" t="s">
        <v>74</v>
      </c>
      <c r="BE374" t="s">
        <v>7225</v>
      </c>
      <c r="BF374" t="str">
        <f>HYPERLINK("http://dx.doi.org/10.1111/j.1945-5100.2009.tb00738.x","http://dx.doi.org/10.1111/j.1945-5100.2009.tb00738.x")</f>
        <v>http://dx.doi.org/10.1111/j.1945-5100.2009.tb00738.x</v>
      </c>
      <c r="BG374" t="s">
        <v>74</v>
      </c>
      <c r="BH374" t="s">
        <v>74</v>
      </c>
      <c r="BI374">
        <v>16</v>
      </c>
      <c r="BJ374" t="s">
        <v>534</v>
      </c>
      <c r="BK374" t="s">
        <v>100</v>
      </c>
      <c r="BL374" t="s">
        <v>534</v>
      </c>
      <c r="BM374" t="s">
        <v>7226</v>
      </c>
      <c r="BN374" t="s">
        <v>74</v>
      </c>
      <c r="BO374" t="s">
        <v>1137</v>
      </c>
      <c r="BP374" t="s">
        <v>74</v>
      </c>
      <c r="BQ374" t="s">
        <v>74</v>
      </c>
      <c r="BR374" t="s">
        <v>103</v>
      </c>
      <c r="BS374" t="s">
        <v>7227</v>
      </c>
      <c r="BT374" t="str">
        <f>HYPERLINK("https%3A%2F%2Fwww.webofscience.com%2Fwos%2Fwoscc%2Ffull-record%2FWOS:000266032600003","View Full Record in Web of Science")</f>
        <v>View Full Record in Web of Science</v>
      </c>
    </row>
    <row r="375" spans="1:72" x14ac:dyDescent="0.15">
      <c r="A375" t="s">
        <v>72</v>
      </c>
      <c r="B375" t="s">
        <v>7228</v>
      </c>
      <c r="C375" t="s">
        <v>74</v>
      </c>
      <c r="D375" t="s">
        <v>74</v>
      </c>
      <c r="E375" t="s">
        <v>74</v>
      </c>
      <c r="F375" t="s">
        <v>7229</v>
      </c>
      <c r="G375" t="s">
        <v>74</v>
      </c>
      <c r="H375" t="s">
        <v>74</v>
      </c>
      <c r="I375" t="s">
        <v>7230</v>
      </c>
      <c r="J375" t="s">
        <v>2175</v>
      </c>
      <c r="K375" t="s">
        <v>74</v>
      </c>
      <c r="L375" t="s">
        <v>74</v>
      </c>
      <c r="M375" t="s">
        <v>78</v>
      </c>
      <c r="N375" t="s">
        <v>79</v>
      </c>
      <c r="O375" t="s">
        <v>74</v>
      </c>
      <c r="P375" t="s">
        <v>74</v>
      </c>
      <c r="Q375" t="s">
        <v>74</v>
      </c>
      <c r="R375" t="s">
        <v>74</v>
      </c>
      <c r="S375" t="s">
        <v>74</v>
      </c>
      <c r="T375" t="s">
        <v>74</v>
      </c>
      <c r="U375" t="s">
        <v>74</v>
      </c>
      <c r="V375" t="s">
        <v>7231</v>
      </c>
      <c r="W375" t="s">
        <v>7232</v>
      </c>
      <c r="X375" t="s">
        <v>7233</v>
      </c>
      <c r="Y375" t="s">
        <v>7234</v>
      </c>
      <c r="Z375" t="s">
        <v>7235</v>
      </c>
      <c r="AA375" t="s">
        <v>7236</v>
      </c>
      <c r="AB375" t="s">
        <v>7237</v>
      </c>
      <c r="AC375" t="s">
        <v>74</v>
      </c>
      <c r="AD375" t="s">
        <v>74</v>
      </c>
      <c r="AE375" t="s">
        <v>74</v>
      </c>
      <c r="AF375" t="s">
        <v>74</v>
      </c>
      <c r="AG375">
        <v>3</v>
      </c>
      <c r="AH375">
        <v>25</v>
      </c>
      <c r="AI375">
        <v>28</v>
      </c>
      <c r="AJ375">
        <v>0</v>
      </c>
      <c r="AK375">
        <v>18</v>
      </c>
      <c r="AL375" t="s">
        <v>489</v>
      </c>
      <c r="AM375" t="s">
        <v>490</v>
      </c>
      <c r="AN375" t="s">
        <v>491</v>
      </c>
      <c r="AO375" t="s">
        <v>2182</v>
      </c>
      <c r="AP375" t="s">
        <v>2219</v>
      </c>
      <c r="AQ375" t="s">
        <v>74</v>
      </c>
      <c r="AR375" t="s">
        <v>2183</v>
      </c>
      <c r="AS375" t="s">
        <v>2184</v>
      </c>
      <c r="AT375" t="s">
        <v>6107</v>
      </c>
      <c r="AU375">
        <v>2009</v>
      </c>
      <c r="AV375">
        <v>44</v>
      </c>
      <c r="AW375">
        <v>3</v>
      </c>
      <c r="AX375" t="s">
        <v>74</v>
      </c>
      <c r="AY375" t="s">
        <v>74</v>
      </c>
      <c r="AZ375" t="s">
        <v>74</v>
      </c>
      <c r="BA375" t="s">
        <v>74</v>
      </c>
      <c r="BB375">
        <v>429</v>
      </c>
      <c r="BC375">
        <v>462</v>
      </c>
      <c r="BD375" t="s">
        <v>74</v>
      </c>
      <c r="BE375" t="s">
        <v>7238</v>
      </c>
      <c r="BF375" t="str">
        <f>HYPERLINK("http://dx.doi.org/10.1111/j.1945-5100.2009.tb00742.x","http://dx.doi.org/10.1111/j.1945-5100.2009.tb00742.x")</f>
        <v>http://dx.doi.org/10.1111/j.1945-5100.2009.tb00742.x</v>
      </c>
      <c r="BG375" t="s">
        <v>74</v>
      </c>
      <c r="BH375" t="s">
        <v>74</v>
      </c>
      <c r="BI375">
        <v>34</v>
      </c>
      <c r="BJ375" t="s">
        <v>534</v>
      </c>
      <c r="BK375" t="s">
        <v>100</v>
      </c>
      <c r="BL375" t="s">
        <v>534</v>
      </c>
      <c r="BM375" t="s">
        <v>7226</v>
      </c>
      <c r="BN375" t="s">
        <v>74</v>
      </c>
      <c r="BO375" t="s">
        <v>499</v>
      </c>
      <c r="BP375" t="s">
        <v>74</v>
      </c>
      <c r="BQ375" t="s">
        <v>74</v>
      </c>
      <c r="BR375" t="s">
        <v>103</v>
      </c>
      <c r="BS375" t="s">
        <v>7239</v>
      </c>
      <c r="BT375" t="str">
        <f>HYPERLINK("https%3A%2F%2Fwww.webofscience.com%2Fwos%2Fwoscc%2Ffull-record%2FWOS:000266032600007","View Full Record in Web of Science")</f>
        <v>View Full Record in Web of Science</v>
      </c>
    </row>
    <row r="376" spans="1:72" x14ac:dyDescent="0.15">
      <c r="A376" t="s">
        <v>72</v>
      </c>
      <c r="B376" t="s">
        <v>7240</v>
      </c>
      <c r="C376" t="s">
        <v>74</v>
      </c>
      <c r="D376" t="s">
        <v>74</v>
      </c>
      <c r="E376" t="s">
        <v>74</v>
      </c>
      <c r="F376" t="s">
        <v>7241</v>
      </c>
      <c r="G376" t="s">
        <v>74</v>
      </c>
      <c r="H376" t="s">
        <v>74</v>
      </c>
      <c r="I376" t="s">
        <v>7242</v>
      </c>
      <c r="J376" t="s">
        <v>2352</v>
      </c>
      <c r="K376" t="s">
        <v>74</v>
      </c>
      <c r="L376" t="s">
        <v>74</v>
      </c>
      <c r="M376" t="s">
        <v>78</v>
      </c>
      <c r="N376" t="s">
        <v>172</v>
      </c>
      <c r="O376" t="s">
        <v>74</v>
      </c>
      <c r="P376" t="s">
        <v>74</v>
      </c>
      <c r="Q376" t="s">
        <v>74</v>
      </c>
      <c r="R376" t="s">
        <v>74</v>
      </c>
      <c r="S376" t="s">
        <v>74</v>
      </c>
      <c r="T376" t="s">
        <v>7243</v>
      </c>
      <c r="U376" t="s">
        <v>7244</v>
      </c>
      <c r="V376" t="s">
        <v>7245</v>
      </c>
      <c r="W376" t="s">
        <v>7246</v>
      </c>
      <c r="X376" t="s">
        <v>7247</v>
      </c>
      <c r="Y376" t="s">
        <v>7248</v>
      </c>
      <c r="Z376" t="s">
        <v>7249</v>
      </c>
      <c r="AA376" t="s">
        <v>7250</v>
      </c>
      <c r="AB376" t="s">
        <v>7251</v>
      </c>
      <c r="AC376" t="s">
        <v>74</v>
      </c>
      <c r="AD376" t="s">
        <v>74</v>
      </c>
      <c r="AE376" t="s">
        <v>74</v>
      </c>
      <c r="AF376" t="s">
        <v>74</v>
      </c>
      <c r="AG376">
        <v>115</v>
      </c>
      <c r="AH376">
        <v>132</v>
      </c>
      <c r="AI376">
        <v>146</v>
      </c>
      <c r="AJ376">
        <v>0</v>
      </c>
      <c r="AK376">
        <v>46</v>
      </c>
      <c r="AL376" t="s">
        <v>489</v>
      </c>
      <c r="AM376" t="s">
        <v>490</v>
      </c>
      <c r="AN376" t="s">
        <v>491</v>
      </c>
      <c r="AO376" t="s">
        <v>2362</v>
      </c>
      <c r="AP376" t="s">
        <v>2363</v>
      </c>
      <c r="AQ376" t="s">
        <v>74</v>
      </c>
      <c r="AR376" t="s">
        <v>2364</v>
      </c>
      <c r="AS376" t="s">
        <v>2365</v>
      </c>
      <c r="AT376" t="s">
        <v>6107</v>
      </c>
      <c r="AU376">
        <v>2009</v>
      </c>
      <c r="AV376">
        <v>18</v>
      </c>
      <c r="AW376">
        <v>5</v>
      </c>
      <c r="AX376" t="s">
        <v>74</v>
      </c>
      <c r="AY376" t="s">
        <v>74</v>
      </c>
      <c r="AZ376" t="s">
        <v>74</v>
      </c>
      <c r="BA376" t="s">
        <v>74</v>
      </c>
      <c r="BB376">
        <v>965</v>
      </c>
      <c r="BC376">
        <v>984</v>
      </c>
      <c r="BD376" t="s">
        <v>74</v>
      </c>
      <c r="BE376" t="s">
        <v>7252</v>
      </c>
      <c r="BF376" t="str">
        <f>HYPERLINK("http://dx.doi.org/10.1111/j.1365-294X.2008.04071.x","http://dx.doi.org/10.1111/j.1365-294X.2008.04071.x")</f>
        <v>http://dx.doi.org/10.1111/j.1365-294X.2008.04071.x</v>
      </c>
      <c r="BG376" t="s">
        <v>74</v>
      </c>
      <c r="BH376" t="s">
        <v>74</v>
      </c>
      <c r="BI376">
        <v>20</v>
      </c>
      <c r="BJ376" t="s">
        <v>2367</v>
      </c>
      <c r="BK376" t="s">
        <v>100</v>
      </c>
      <c r="BL376" t="s">
        <v>2368</v>
      </c>
      <c r="BM376" t="s">
        <v>7253</v>
      </c>
      <c r="BN376">
        <v>19207248</v>
      </c>
      <c r="BO376" t="s">
        <v>1106</v>
      </c>
      <c r="BP376" t="s">
        <v>74</v>
      </c>
      <c r="BQ376" t="s">
        <v>74</v>
      </c>
      <c r="BR376" t="s">
        <v>103</v>
      </c>
      <c r="BS376" t="s">
        <v>7254</v>
      </c>
      <c r="BT376" t="str">
        <f>HYPERLINK("https%3A%2F%2Fwww.webofscience.com%2Fwos%2Fwoscc%2Ffull-record%2FWOS:000263521800017","View Full Record in Web of Science")</f>
        <v>View Full Record in Web of Science</v>
      </c>
    </row>
    <row r="377" spans="1:72" x14ac:dyDescent="0.15">
      <c r="A377" t="s">
        <v>72</v>
      </c>
      <c r="B377" t="s">
        <v>7255</v>
      </c>
      <c r="C377" t="s">
        <v>74</v>
      </c>
      <c r="D377" t="s">
        <v>74</v>
      </c>
      <c r="E377" t="s">
        <v>74</v>
      </c>
      <c r="F377" t="s">
        <v>7256</v>
      </c>
      <c r="G377" t="s">
        <v>74</v>
      </c>
      <c r="H377" t="s">
        <v>74</v>
      </c>
      <c r="I377" t="s">
        <v>7257</v>
      </c>
      <c r="J377" t="s">
        <v>4949</v>
      </c>
      <c r="K377" t="s">
        <v>74</v>
      </c>
      <c r="L377" t="s">
        <v>74</v>
      </c>
      <c r="M377" t="s">
        <v>78</v>
      </c>
      <c r="N377" t="s">
        <v>79</v>
      </c>
      <c r="O377" t="s">
        <v>74</v>
      </c>
      <c r="P377" t="s">
        <v>74</v>
      </c>
      <c r="Q377" t="s">
        <v>74</v>
      </c>
      <c r="R377" t="s">
        <v>74</v>
      </c>
      <c r="S377" t="s">
        <v>74</v>
      </c>
      <c r="T377" t="s">
        <v>74</v>
      </c>
      <c r="U377" t="s">
        <v>7258</v>
      </c>
      <c r="V377" t="s">
        <v>7259</v>
      </c>
      <c r="W377" t="s">
        <v>7260</v>
      </c>
      <c r="X377" t="s">
        <v>7261</v>
      </c>
      <c r="Y377" t="s">
        <v>7262</v>
      </c>
      <c r="Z377" t="s">
        <v>7263</v>
      </c>
      <c r="AA377" t="s">
        <v>7264</v>
      </c>
      <c r="AB377" t="s">
        <v>7265</v>
      </c>
      <c r="AC377" t="s">
        <v>7266</v>
      </c>
      <c r="AD377" t="s">
        <v>7267</v>
      </c>
      <c r="AE377" t="s">
        <v>7268</v>
      </c>
      <c r="AF377" t="s">
        <v>74</v>
      </c>
      <c r="AG377">
        <v>30</v>
      </c>
      <c r="AH377">
        <v>80</v>
      </c>
      <c r="AI377">
        <v>86</v>
      </c>
      <c r="AJ377">
        <v>2</v>
      </c>
      <c r="AK377">
        <v>29</v>
      </c>
      <c r="AL377" t="s">
        <v>3225</v>
      </c>
      <c r="AM377" t="s">
        <v>92</v>
      </c>
      <c r="AN377" t="s">
        <v>4961</v>
      </c>
      <c r="AO377" t="s">
        <v>4962</v>
      </c>
      <c r="AP377" t="s">
        <v>4963</v>
      </c>
      <c r="AQ377" t="s">
        <v>74</v>
      </c>
      <c r="AR377" t="s">
        <v>4964</v>
      </c>
      <c r="AS377" t="s">
        <v>4965</v>
      </c>
      <c r="AT377" t="s">
        <v>6107</v>
      </c>
      <c r="AU377">
        <v>2009</v>
      </c>
      <c r="AV377">
        <v>2</v>
      </c>
      <c r="AW377">
        <v>3</v>
      </c>
      <c r="AX377" t="s">
        <v>74</v>
      </c>
      <c r="AY377" t="s">
        <v>74</v>
      </c>
      <c r="AZ377" t="s">
        <v>74</v>
      </c>
      <c r="BA377" t="s">
        <v>74</v>
      </c>
      <c r="BB377">
        <v>206</v>
      </c>
      <c r="BC377">
        <v>209</v>
      </c>
      <c r="BD377" t="s">
        <v>74</v>
      </c>
      <c r="BE377" t="s">
        <v>7269</v>
      </c>
      <c r="BF377" t="str">
        <f>HYPERLINK("http://dx.doi.org/10.1038/NGEO442","http://dx.doi.org/10.1038/NGEO442")</f>
        <v>http://dx.doi.org/10.1038/NGEO442</v>
      </c>
      <c r="BG377" t="s">
        <v>74</v>
      </c>
      <c r="BH377" t="s">
        <v>74</v>
      </c>
      <c r="BI377">
        <v>4</v>
      </c>
      <c r="BJ377" t="s">
        <v>496</v>
      </c>
      <c r="BK377" t="s">
        <v>100</v>
      </c>
      <c r="BL377" t="s">
        <v>497</v>
      </c>
      <c r="BM377" t="s">
        <v>7270</v>
      </c>
      <c r="BN377" t="s">
        <v>74</v>
      </c>
      <c r="BO377" t="s">
        <v>74</v>
      </c>
      <c r="BP377" t="s">
        <v>74</v>
      </c>
      <c r="BQ377" t="s">
        <v>74</v>
      </c>
      <c r="BR377" t="s">
        <v>103</v>
      </c>
      <c r="BS377" t="s">
        <v>7271</v>
      </c>
      <c r="BT377" t="str">
        <f>HYPERLINK("https%3A%2F%2Fwww.webofscience.com%2Fwos%2Fwoscc%2Ffull-record%2FWOS:000264289900022","View Full Record in Web of Science")</f>
        <v>View Full Record in Web of Science</v>
      </c>
    </row>
    <row r="378" spans="1:72" x14ac:dyDescent="0.15">
      <c r="A378" t="s">
        <v>72</v>
      </c>
      <c r="B378" t="s">
        <v>7272</v>
      </c>
      <c r="C378" t="s">
        <v>74</v>
      </c>
      <c r="D378" t="s">
        <v>74</v>
      </c>
      <c r="E378" t="s">
        <v>74</v>
      </c>
      <c r="F378" t="s">
        <v>7273</v>
      </c>
      <c r="G378" t="s">
        <v>74</v>
      </c>
      <c r="H378" t="s">
        <v>74</v>
      </c>
      <c r="I378" t="s">
        <v>7274</v>
      </c>
      <c r="J378" t="s">
        <v>7275</v>
      </c>
      <c r="K378" t="s">
        <v>74</v>
      </c>
      <c r="L378" t="s">
        <v>74</v>
      </c>
      <c r="M378" t="s">
        <v>78</v>
      </c>
      <c r="N378" t="s">
        <v>79</v>
      </c>
      <c r="O378" t="s">
        <v>74</v>
      </c>
      <c r="P378" t="s">
        <v>74</v>
      </c>
      <c r="Q378" t="s">
        <v>74</v>
      </c>
      <c r="R378" t="s">
        <v>74</v>
      </c>
      <c r="S378" t="s">
        <v>74</v>
      </c>
      <c r="T378" t="s">
        <v>7276</v>
      </c>
      <c r="U378" t="s">
        <v>7277</v>
      </c>
      <c r="V378" t="s">
        <v>7278</v>
      </c>
      <c r="W378" t="s">
        <v>7279</v>
      </c>
      <c r="X378" t="s">
        <v>7280</v>
      </c>
      <c r="Y378" t="s">
        <v>7281</v>
      </c>
      <c r="Z378" t="s">
        <v>7282</v>
      </c>
      <c r="AA378" t="s">
        <v>74</v>
      </c>
      <c r="AB378" t="s">
        <v>7283</v>
      </c>
      <c r="AC378" t="s">
        <v>7284</v>
      </c>
      <c r="AD378" t="s">
        <v>7285</v>
      </c>
      <c r="AE378" t="s">
        <v>7286</v>
      </c>
      <c r="AF378" t="s">
        <v>74</v>
      </c>
      <c r="AG378">
        <v>59</v>
      </c>
      <c r="AH378">
        <v>17</v>
      </c>
      <c r="AI378">
        <v>20</v>
      </c>
      <c r="AJ378">
        <v>0</v>
      </c>
      <c r="AK378">
        <v>12</v>
      </c>
      <c r="AL378" t="s">
        <v>1801</v>
      </c>
      <c r="AM378" t="s">
        <v>1802</v>
      </c>
      <c r="AN378" t="s">
        <v>1803</v>
      </c>
      <c r="AO378" t="s">
        <v>7287</v>
      </c>
      <c r="AP378" t="s">
        <v>7288</v>
      </c>
      <c r="AQ378" t="s">
        <v>74</v>
      </c>
      <c r="AR378" t="s">
        <v>7289</v>
      </c>
      <c r="AS378" t="s">
        <v>7290</v>
      </c>
      <c r="AT378" t="s">
        <v>6144</v>
      </c>
      <c r="AU378">
        <v>2009</v>
      </c>
      <c r="AV378">
        <v>20</v>
      </c>
      <c r="AW378">
        <v>2</v>
      </c>
      <c r="AX378" t="s">
        <v>74</v>
      </c>
      <c r="AY378" t="s">
        <v>74</v>
      </c>
      <c r="AZ378" t="s">
        <v>74</v>
      </c>
      <c r="BA378" t="s">
        <v>74</v>
      </c>
      <c r="BB378">
        <v>69</v>
      </c>
      <c r="BC378">
        <v>78</v>
      </c>
      <c r="BD378" t="s">
        <v>74</v>
      </c>
      <c r="BE378" t="s">
        <v>7291</v>
      </c>
      <c r="BF378" t="str">
        <f>HYPERLINK("http://dx.doi.org/10.1016/j.niox.2008.10.006","http://dx.doi.org/10.1016/j.niox.2008.10.006")</f>
        <v>http://dx.doi.org/10.1016/j.niox.2008.10.006</v>
      </c>
      <c r="BG378" t="s">
        <v>74</v>
      </c>
      <c r="BH378" t="s">
        <v>74</v>
      </c>
      <c r="BI378">
        <v>10</v>
      </c>
      <c r="BJ378" t="s">
        <v>7292</v>
      </c>
      <c r="BK378" t="s">
        <v>100</v>
      </c>
      <c r="BL378" t="s">
        <v>7292</v>
      </c>
      <c r="BM378" t="s">
        <v>7293</v>
      </c>
      <c r="BN378">
        <v>19027084</v>
      </c>
      <c r="BO378" t="s">
        <v>74</v>
      </c>
      <c r="BP378" t="s">
        <v>74</v>
      </c>
      <c r="BQ378" t="s">
        <v>74</v>
      </c>
      <c r="BR378" t="s">
        <v>103</v>
      </c>
      <c r="BS378" t="s">
        <v>7294</v>
      </c>
      <c r="BT378" t="str">
        <f>HYPERLINK("https%3A%2F%2Fwww.webofscience.com%2Fwos%2Fwoscc%2Ffull-record%2FWOS:000263405700001","View Full Record in Web of Science")</f>
        <v>View Full Record in Web of Science</v>
      </c>
    </row>
    <row r="379" spans="1:72" x14ac:dyDescent="0.15">
      <c r="A379" t="s">
        <v>72</v>
      </c>
      <c r="B379" t="s">
        <v>7295</v>
      </c>
      <c r="C379" t="s">
        <v>74</v>
      </c>
      <c r="D379" t="s">
        <v>74</v>
      </c>
      <c r="E379" t="s">
        <v>74</v>
      </c>
      <c r="F379" t="s">
        <v>7296</v>
      </c>
      <c r="G379" t="s">
        <v>74</v>
      </c>
      <c r="H379" t="s">
        <v>74</v>
      </c>
      <c r="I379" t="s">
        <v>7297</v>
      </c>
      <c r="J379" t="s">
        <v>7298</v>
      </c>
      <c r="K379" t="s">
        <v>74</v>
      </c>
      <c r="L379" t="s">
        <v>74</v>
      </c>
      <c r="M379" t="s">
        <v>78</v>
      </c>
      <c r="N379" t="s">
        <v>79</v>
      </c>
      <c r="O379" t="s">
        <v>74</v>
      </c>
      <c r="P379" t="s">
        <v>74</v>
      </c>
      <c r="Q379" t="s">
        <v>74</v>
      </c>
      <c r="R379" t="s">
        <v>74</v>
      </c>
      <c r="S379" t="s">
        <v>74</v>
      </c>
      <c r="T379" t="s">
        <v>74</v>
      </c>
      <c r="U379" t="s">
        <v>7299</v>
      </c>
      <c r="V379" t="s">
        <v>7300</v>
      </c>
      <c r="W379" t="s">
        <v>7301</v>
      </c>
      <c r="X379" t="s">
        <v>7302</v>
      </c>
      <c r="Y379" t="s">
        <v>7303</v>
      </c>
      <c r="Z379" t="s">
        <v>7304</v>
      </c>
      <c r="AA379" t="s">
        <v>7305</v>
      </c>
      <c r="AB379" t="s">
        <v>74</v>
      </c>
      <c r="AC379" t="s">
        <v>7306</v>
      </c>
      <c r="AD379" t="s">
        <v>7307</v>
      </c>
      <c r="AE379" t="s">
        <v>7308</v>
      </c>
      <c r="AF379" t="s">
        <v>74</v>
      </c>
      <c r="AG379">
        <v>72</v>
      </c>
      <c r="AH379">
        <v>24</v>
      </c>
      <c r="AI379">
        <v>26</v>
      </c>
      <c r="AJ379">
        <v>0</v>
      </c>
      <c r="AK379">
        <v>18</v>
      </c>
      <c r="AL379" t="s">
        <v>7309</v>
      </c>
      <c r="AM379" t="s">
        <v>7310</v>
      </c>
      <c r="AN379" t="s">
        <v>7311</v>
      </c>
      <c r="AO379" t="s">
        <v>7312</v>
      </c>
      <c r="AP379" t="s">
        <v>74</v>
      </c>
      <c r="AQ379" t="s">
        <v>74</v>
      </c>
      <c r="AR379" t="s">
        <v>7298</v>
      </c>
      <c r="AS379" t="s">
        <v>689</v>
      </c>
      <c r="AT379" t="s">
        <v>6107</v>
      </c>
      <c r="AU379">
        <v>2009</v>
      </c>
      <c r="AV379">
        <v>22</v>
      </c>
      <c r="AW379">
        <v>1</v>
      </c>
      <c r="AX379" t="s">
        <v>74</v>
      </c>
      <c r="AY379" t="s">
        <v>74</v>
      </c>
      <c r="AZ379" t="s">
        <v>2297</v>
      </c>
      <c r="BA379" t="s">
        <v>74</v>
      </c>
      <c r="BB379">
        <v>210</v>
      </c>
      <c r="BC379">
        <v>223</v>
      </c>
      <c r="BD379" t="s">
        <v>74</v>
      </c>
      <c r="BE379" t="s">
        <v>7313</v>
      </c>
      <c r="BF379" t="str">
        <f>HYPERLINK("http://dx.doi.org/10.5670/oceanog.2009.21","http://dx.doi.org/10.5670/oceanog.2009.21")</f>
        <v>http://dx.doi.org/10.5670/oceanog.2009.21</v>
      </c>
      <c r="BG379" t="s">
        <v>74</v>
      </c>
      <c r="BH379" t="s">
        <v>74</v>
      </c>
      <c r="BI379">
        <v>14</v>
      </c>
      <c r="BJ379" t="s">
        <v>689</v>
      </c>
      <c r="BK379" t="s">
        <v>100</v>
      </c>
      <c r="BL379" t="s">
        <v>689</v>
      </c>
      <c r="BM379" t="s">
        <v>7314</v>
      </c>
      <c r="BN379" t="s">
        <v>74</v>
      </c>
      <c r="BO379" t="s">
        <v>7315</v>
      </c>
      <c r="BP379" t="s">
        <v>74</v>
      </c>
      <c r="BQ379" t="s">
        <v>74</v>
      </c>
      <c r="BR379" t="s">
        <v>103</v>
      </c>
      <c r="BS379" t="s">
        <v>7316</v>
      </c>
      <c r="BT379" t="str">
        <f>HYPERLINK("https%3A%2F%2Fwww.webofscience.com%2Fwos%2Fwoscc%2Ffull-record%2FWOS:000263776000024","View Full Record in Web of Science")</f>
        <v>View Full Record in Web of Science</v>
      </c>
    </row>
    <row r="380" spans="1:72" x14ac:dyDescent="0.15">
      <c r="A380" t="s">
        <v>72</v>
      </c>
      <c r="B380" t="s">
        <v>7317</v>
      </c>
      <c r="C380" t="s">
        <v>74</v>
      </c>
      <c r="D380" t="s">
        <v>74</v>
      </c>
      <c r="E380" t="s">
        <v>74</v>
      </c>
      <c r="F380" t="s">
        <v>7318</v>
      </c>
      <c r="G380" t="s">
        <v>74</v>
      </c>
      <c r="H380" t="s">
        <v>74</v>
      </c>
      <c r="I380" t="s">
        <v>7319</v>
      </c>
      <c r="J380" t="s">
        <v>5008</v>
      </c>
      <c r="K380" t="s">
        <v>74</v>
      </c>
      <c r="L380" t="s">
        <v>74</v>
      </c>
      <c r="M380" t="s">
        <v>78</v>
      </c>
      <c r="N380" t="s">
        <v>79</v>
      </c>
      <c r="O380" t="s">
        <v>74</v>
      </c>
      <c r="P380" t="s">
        <v>74</v>
      </c>
      <c r="Q380" t="s">
        <v>74</v>
      </c>
      <c r="R380" t="s">
        <v>74</v>
      </c>
      <c r="S380" t="s">
        <v>74</v>
      </c>
      <c r="T380" t="s">
        <v>74</v>
      </c>
      <c r="U380" t="s">
        <v>7320</v>
      </c>
      <c r="V380" t="s">
        <v>7321</v>
      </c>
      <c r="W380" t="s">
        <v>7322</v>
      </c>
      <c r="X380" t="s">
        <v>7323</v>
      </c>
      <c r="Y380" t="s">
        <v>7324</v>
      </c>
      <c r="Z380" t="s">
        <v>7325</v>
      </c>
      <c r="AA380" t="s">
        <v>7326</v>
      </c>
      <c r="AB380" t="s">
        <v>7327</v>
      </c>
      <c r="AC380" t="s">
        <v>7328</v>
      </c>
      <c r="AD380" t="s">
        <v>7329</v>
      </c>
      <c r="AE380" t="s">
        <v>7330</v>
      </c>
      <c r="AF380" t="s">
        <v>74</v>
      </c>
      <c r="AG380">
        <v>51</v>
      </c>
      <c r="AH380">
        <v>115</v>
      </c>
      <c r="AI380">
        <v>125</v>
      </c>
      <c r="AJ380">
        <v>1</v>
      </c>
      <c r="AK380">
        <v>69</v>
      </c>
      <c r="AL380" t="s">
        <v>489</v>
      </c>
      <c r="AM380" t="s">
        <v>490</v>
      </c>
      <c r="AN380" t="s">
        <v>491</v>
      </c>
      <c r="AO380" t="s">
        <v>5019</v>
      </c>
      <c r="AP380" t="s">
        <v>7331</v>
      </c>
      <c r="AQ380" t="s">
        <v>74</v>
      </c>
      <c r="AR380" t="s">
        <v>5008</v>
      </c>
      <c r="AS380" t="s">
        <v>5020</v>
      </c>
      <c r="AT380" t="s">
        <v>6107</v>
      </c>
      <c r="AU380">
        <v>2009</v>
      </c>
      <c r="AV380">
        <v>118</v>
      </c>
      <c r="AW380">
        <v>3</v>
      </c>
      <c r="AX380" t="s">
        <v>74</v>
      </c>
      <c r="AY380" t="s">
        <v>74</v>
      </c>
      <c r="AZ380" t="s">
        <v>74</v>
      </c>
      <c r="BA380" t="s">
        <v>74</v>
      </c>
      <c r="BB380">
        <v>363</v>
      </c>
      <c r="BC380">
        <v>370</v>
      </c>
      <c r="BD380" t="s">
        <v>74</v>
      </c>
      <c r="BE380" t="s">
        <v>7332</v>
      </c>
      <c r="BF380" t="str">
        <f>HYPERLINK("http://dx.doi.org/10.1111/j.1600-0706.2008.17036.x","http://dx.doi.org/10.1111/j.1600-0706.2008.17036.x")</f>
        <v>http://dx.doi.org/10.1111/j.1600-0706.2008.17036.x</v>
      </c>
      <c r="BG380" t="s">
        <v>74</v>
      </c>
      <c r="BH380" t="s">
        <v>74</v>
      </c>
      <c r="BI380">
        <v>8</v>
      </c>
      <c r="BJ380" t="s">
        <v>2480</v>
      </c>
      <c r="BK380" t="s">
        <v>100</v>
      </c>
      <c r="BL380" t="s">
        <v>424</v>
      </c>
      <c r="BM380" t="s">
        <v>7333</v>
      </c>
      <c r="BN380" t="s">
        <v>74</v>
      </c>
      <c r="BO380" t="s">
        <v>74</v>
      </c>
      <c r="BP380" t="s">
        <v>74</v>
      </c>
      <c r="BQ380" t="s">
        <v>74</v>
      </c>
      <c r="BR380" t="s">
        <v>103</v>
      </c>
      <c r="BS380" t="s">
        <v>7334</v>
      </c>
      <c r="BT380" t="str">
        <f>HYPERLINK("https%3A%2F%2Fwww.webofscience.com%2Fwos%2Fwoscc%2Ffull-record%2FWOS:000263967000006","View Full Record in Web of Science")</f>
        <v>View Full Record in Web of Science</v>
      </c>
    </row>
    <row r="381" spans="1:72" x14ac:dyDescent="0.15">
      <c r="A381" t="s">
        <v>72</v>
      </c>
      <c r="B381" t="s">
        <v>7335</v>
      </c>
      <c r="C381" t="s">
        <v>74</v>
      </c>
      <c r="D381" t="s">
        <v>74</v>
      </c>
      <c r="E381" t="s">
        <v>74</v>
      </c>
      <c r="F381" t="s">
        <v>7336</v>
      </c>
      <c r="G381" t="s">
        <v>74</v>
      </c>
      <c r="H381" t="s">
        <v>74</v>
      </c>
      <c r="I381" t="s">
        <v>7337</v>
      </c>
      <c r="J381" t="s">
        <v>7338</v>
      </c>
      <c r="K381" t="s">
        <v>74</v>
      </c>
      <c r="L381" t="s">
        <v>74</v>
      </c>
      <c r="M381" t="s">
        <v>78</v>
      </c>
      <c r="N381" t="s">
        <v>79</v>
      </c>
      <c r="O381" t="s">
        <v>74</v>
      </c>
      <c r="P381" t="s">
        <v>74</v>
      </c>
      <c r="Q381" t="s">
        <v>74</v>
      </c>
      <c r="R381" t="s">
        <v>74</v>
      </c>
      <c r="S381" t="s">
        <v>74</v>
      </c>
      <c r="T381" t="s">
        <v>7339</v>
      </c>
      <c r="U381" t="s">
        <v>7340</v>
      </c>
      <c r="V381" t="s">
        <v>7341</v>
      </c>
      <c r="W381" t="s">
        <v>7342</v>
      </c>
      <c r="X381" t="s">
        <v>7343</v>
      </c>
      <c r="Y381" t="s">
        <v>7344</v>
      </c>
      <c r="Z381" t="s">
        <v>7345</v>
      </c>
      <c r="AA381" t="s">
        <v>74</v>
      </c>
      <c r="AB381" t="s">
        <v>7346</v>
      </c>
      <c r="AC381" t="s">
        <v>7347</v>
      </c>
      <c r="AD381" t="s">
        <v>7348</v>
      </c>
      <c r="AE381" t="s">
        <v>7349</v>
      </c>
      <c r="AF381" t="s">
        <v>74</v>
      </c>
      <c r="AG381">
        <v>38</v>
      </c>
      <c r="AH381">
        <v>13</v>
      </c>
      <c r="AI381">
        <v>17</v>
      </c>
      <c r="AJ381">
        <v>1</v>
      </c>
      <c r="AK381">
        <v>10</v>
      </c>
      <c r="AL381" t="s">
        <v>91</v>
      </c>
      <c r="AM381" t="s">
        <v>374</v>
      </c>
      <c r="AN381" t="s">
        <v>375</v>
      </c>
      <c r="AO381" t="s">
        <v>7350</v>
      </c>
      <c r="AP381" t="s">
        <v>7351</v>
      </c>
      <c r="AQ381" t="s">
        <v>74</v>
      </c>
      <c r="AR381" t="s">
        <v>7352</v>
      </c>
      <c r="AS381" t="s">
        <v>7353</v>
      </c>
      <c r="AT381" t="s">
        <v>6107</v>
      </c>
      <c r="AU381">
        <v>2009</v>
      </c>
      <c r="AV381">
        <v>99</v>
      </c>
      <c r="AW381">
        <v>3</v>
      </c>
      <c r="AX381" t="s">
        <v>74</v>
      </c>
      <c r="AY381" t="s">
        <v>74</v>
      </c>
      <c r="AZ381" t="s">
        <v>74</v>
      </c>
      <c r="BA381" t="s">
        <v>74</v>
      </c>
      <c r="BB381">
        <v>195</v>
      </c>
      <c r="BC381">
        <v>203</v>
      </c>
      <c r="BD381" t="s">
        <v>74</v>
      </c>
      <c r="BE381" t="s">
        <v>7354</v>
      </c>
      <c r="BF381" t="str">
        <f>HYPERLINK("http://dx.doi.org/10.1007/s11120-008-9397-8","http://dx.doi.org/10.1007/s11120-008-9397-8")</f>
        <v>http://dx.doi.org/10.1007/s11120-008-9397-8</v>
      </c>
      <c r="BG381" t="s">
        <v>74</v>
      </c>
      <c r="BH381" t="s">
        <v>74</v>
      </c>
      <c r="BI381">
        <v>9</v>
      </c>
      <c r="BJ381" t="s">
        <v>2573</v>
      </c>
      <c r="BK381" t="s">
        <v>100</v>
      </c>
      <c r="BL381" t="s">
        <v>2573</v>
      </c>
      <c r="BM381" t="s">
        <v>7355</v>
      </c>
      <c r="BN381">
        <v>19137412</v>
      </c>
      <c r="BO381" t="s">
        <v>74</v>
      </c>
      <c r="BP381" t="s">
        <v>74</v>
      </c>
      <c r="BQ381" t="s">
        <v>74</v>
      </c>
      <c r="BR381" t="s">
        <v>103</v>
      </c>
      <c r="BS381" t="s">
        <v>7356</v>
      </c>
      <c r="BT381" t="str">
        <f>HYPERLINK("https%3A%2F%2Fwww.webofscience.com%2Fwos%2Fwoscc%2Ffull-record%2FWOS:000263685000005","View Full Record in Web of Science")</f>
        <v>View Full Record in Web of Science</v>
      </c>
    </row>
    <row r="382" spans="1:72" x14ac:dyDescent="0.15">
      <c r="A382" t="s">
        <v>72</v>
      </c>
      <c r="B382" t="s">
        <v>7357</v>
      </c>
      <c r="C382" t="s">
        <v>74</v>
      </c>
      <c r="D382" t="s">
        <v>74</v>
      </c>
      <c r="E382" t="s">
        <v>74</v>
      </c>
      <c r="F382" t="s">
        <v>7358</v>
      </c>
      <c r="G382" t="s">
        <v>74</v>
      </c>
      <c r="H382" t="s">
        <v>74</v>
      </c>
      <c r="I382" t="s">
        <v>7359</v>
      </c>
      <c r="J382" t="s">
        <v>5027</v>
      </c>
      <c r="K382" t="s">
        <v>74</v>
      </c>
      <c r="L382" t="s">
        <v>74</v>
      </c>
      <c r="M382" t="s">
        <v>78</v>
      </c>
      <c r="N382" t="s">
        <v>79</v>
      </c>
      <c r="O382" t="s">
        <v>74</v>
      </c>
      <c r="P382" t="s">
        <v>74</v>
      </c>
      <c r="Q382" t="s">
        <v>74</v>
      </c>
      <c r="R382" t="s">
        <v>74</v>
      </c>
      <c r="S382" t="s">
        <v>74</v>
      </c>
      <c r="T382" t="s">
        <v>7360</v>
      </c>
      <c r="U382" t="s">
        <v>7361</v>
      </c>
      <c r="V382" t="s">
        <v>7362</v>
      </c>
      <c r="W382" t="s">
        <v>7363</v>
      </c>
      <c r="X382" t="s">
        <v>7364</v>
      </c>
      <c r="Y382" t="s">
        <v>7365</v>
      </c>
      <c r="Z382" t="s">
        <v>7366</v>
      </c>
      <c r="AA382" t="s">
        <v>7367</v>
      </c>
      <c r="AB382" t="s">
        <v>7368</v>
      </c>
      <c r="AC382" t="s">
        <v>7369</v>
      </c>
      <c r="AD382" t="s">
        <v>7370</v>
      </c>
      <c r="AE382" t="s">
        <v>7371</v>
      </c>
      <c r="AF382" t="s">
        <v>74</v>
      </c>
      <c r="AG382">
        <v>49</v>
      </c>
      <c r="AH382">
        <v>15</v>
      </c>
      <c r="AI382">
        <v>16</v>
      </c>
      <c r="AJ382">
        <v>0</v>
      </c>
      <c r="AK382">
        <v>0</v>
      </c>
      <c r="AL382" t="s">
        <v>5039</v>
      </c>
      <c r="AM382" t="s">
        <v>5040</v>
      </c>
      <c r="AN382" t="s">
        <v>5041</v>
      </c>
      <c r="AO382" t="s">
        <v>7372</v>
      </c>
      <c r="AP382" t="s">
        <v>7373</v>
      </c>
      <c r="AQ382" t="s">
        <v>74</v>
      </c>
      <c r="AR382" t="s">
        <v>5044</v>
      </c>
      <c r="AS382" t="s">
        <v>5045</v>
      </c>
      <c r="AT382" t="s">
        <v>6107</v>
      </c>
      <c r="AU382">
        <v>2009</v>
      </c>
      <c r="AV382">
        <v>79</v>
      </c>
      <c r="AW382">
        <v>3</v>
      </c>
      <c r="AX382">
        <v>2</v>
      </c>
      <c r="AY382" t="s">
        <v>74</v>
      </c>
      <c r="AZ382" t="s">
        <v>74</v>
      </c>
      <c r="BA382" t="s">
        <v>74</v>
      </c>
      <c r="BB382" t="s">
        <v>74</v>
      </c>
      <c r="BC382" t="s">
        <v>74</v>
      </c>
      <c r="BD382">
        <v>36109</v>
      </c>
      <c r="BE382" t="s">
        <v>7374</v>
      </c>
      <c r="BF382" t="str">
        <f>HYPERLINK("http://dx.doi.org/10.1103/PhysRevE.79.036109","http://dx.doi.org/10.1103/PhysRevE.79.036109")</f>
        <v>http://dx.doi.org/10.1103/PhysRevE.79.036109</v>
      </c>
      <c r="BG382" t="s">
        <v>74</v>
      </c>
      <c r="BH382" t="s">
        <v>74</v>
      </c>
      <c r="BI382">
        <v>11</v>
      </c>
      <c r="BJ382" t="s">
        <v>5047</v>
      </c>
      <c r="BK382" t="s">
        <v>100</v>
      </c>
      <c r="BL382" t="s">
        <v>2458</v>
      </c>
      <c r="BM382" t="s">
        <v>7375</v>
      </c>
      <c r="BN382">
        <v>19392020</v>
      </c>
      <c r="BO382" t="s">
        <v>4804</v>
      </c>
      <c r="BP382" t="s">
        <v>74</v>
      </c>
      <c r="BQ382" t="s">
        <v>74</v>
      </c>
      <c r="BR382" t="s">
        <v>103</v>
      </c>
      <c r="BS382" t="s">
        <v>7376</v>
      </c>
      <c r="BT382" t="str">
        <f>HYPERLINK("https%3A%2F%2Fwww.webofscience.com%2Fwos%2Fwoscc%2Ffull-record%2FWOS:000264767400017","View Full Record in Web of Science")</f>
        <v>View Full Record in Web of Science</v>
      </c>
    </row>
    <row r="383" spans="1:72" x14ac:dyDescent="0.15">
      <c r="A383" t="s">
        <v>72</v>
      </c>
      <c r="B383" t="s">
        <v>7377</v>
      </c>
      <c r="C383" t="s">
        <v>74</v>
      </c>
      <c r="D383" t="s">
        <v>74</v>
      </c>
      <c r="E383" t="s">
        <v>74</v>
      </c>
      <c r="F383" t="s">
        <v>7378</v>
      </c>
      <c r="G383" t="s">
        <v>74</v>
      </c>
      <c r="H383" t="s">
        <v>74</v>
      </c>
      <c r="I383" t="s">
        <v>7379</v>
      </c>
      <c r="J383" t="s">
        <v>7380</v>
      </c>
      <c r="K383" t="s">
        <v>74</v>
      </c>
      <c r="L383" t="s">
        <v>74</v>
      </c>
      <c r="M383" t="s">
        <v>78</v>
      </c>
      <c r="N383" t="s">
        <v>79</v>
      </c>
      <c r="O383" t="s">
        <v>74</v>
      </c>
      <c r="P383" t="s">
        <v>74</v>
      </c>
      <c r="Q383" t="s">
        <v>74</v>
      </c>
      <c r="R383" t="s">
        <v>74</v>
      </c>
      <c r="S383" t="s">
        <v>74</v>
      </c>
      <c r="T383" t="s">
        <v>74</v>
      </c>
      <c r="U383" t="s">
        <v>7381</v>
      </c>
      <c r="V383" t="s">
        <v>7382</v>
      </c>
      <c r="W383" t="s">
        <v>7383</v>
      </c>
      <c r="X383" t="s">
        <v>7384</v>
      </c>
      <c r="Y383" t="s">
        <v>7385</v>
      </c>
      <c r="Z383" t="s">
        <v>7386</v>
      </c>
      <c r="AA383" t="s">
        <v>74</v>
      </c>
      <c r="AB383" t="s">
        <v>7387</v>
      </c>
      <c r="AC383" t="s">
        <v>7388</v>
      </c>
      <c r="AD383" t="s">
        <v>7389</v>
      </c>
      <c r="AE383" t="s">
        <v>7390</v>
      </c>
      <c r="AF383" t="s">
        <v>74</v>
      </c>
      <c r="AG383">
        <v>32</v>
      </c>
      <c r="AH383">
        <v>21</v>
      </c>
      <c r="AI383">
        <v>25</v>
      </c>
      <c r="AJ383">
        <v>1</v>
      </c>
      <c r="AK383">
        <v>33</v>
      </c>
      <c r="AL383" t="s">
        <v>277</v>
      </c>
      <c r="AM383" t="s">
        <v>278</v>
      </c>
      <c r="AN383" t="s">
        <v>279</v>
      </c>
      <c r="AO383" t="s">
        <v>7391</v>
      </c>
      <c r="AP383" t="s">
        <v>7392</v>
      </c>
      <c r="AQ383" t="s">
        <v>74</v>
      </c>
      <c r="AR383" t="s">
        <v>7393</v>
      </c>
      <c r="AS383" t="s">
        <v>7394</v>
      </c>
      <c r="AT383" t="s">
        <v>7395</v>
      </c>
      <c r="AU383">
        <v>2009</v>
      </c>
      <c r="AV383">
        <v>82</v>
      </c>
      <c r="AW383">
        <v>2</v>
      </c>
      <c r="AX383" t="s">
        <v>74</v>
      </c>
      <c r="AY383" t="s">
        <v>74</v>
      </c>
      <c r="AZ383" t="s">
        <v>74</v>
      </c>
      <c r="BA383" t="s">
        <v>74</v>
      </c>
      <c r="BB383">
        <v>113</v>
      </c>
      <c r="BC383">
        <v>120</v>
      </c>
      <c r="BD383" t="s">
        <v>74</v>
      </c>
      <c r="BE383" t="s">
        <v>7396</v>
      </c>
      <c r="BF383" t="str">
        <f>HYPERLINK("http://dx.doi.org/10.1086/591948","http://dx.doi.org/10.1086/591948")</f>
        <v>http://dx.doi.org/10.1086/591948</v>
      </c>
      <c r="BG383" t="s">
        <v>74</v>
      </c>
      <c r="BH383" t="s">
        <v>74</v>
      </c>
      <c r="BI383">
        <v>8</v>
      </c>
      <c r="BJ383" t="s">
        <v>1955</v>
      </c>
      <c r="BK383" t="s">
        <v>100</v>
      </c>
      <c r="BL383" t="s">
        <v>1955</v>
      </c>
      <c r="BM383" t="s">
        <v>7397</v>
      </c>
      <c r="BN383">
        <v>19199560</v>
      </c>
      <c r="BO383" t="s">
        <v>74</v>
      </c>
      <c r="BP383" t="s">
        <v>74</v>
      </c>
      <c r="BQ383" t="s">
        <v>74</v>
      </c>
      <c r="BR383" t="s">
        <v>103</v>
      </c>
      <c r="BS383" t="s">
        <v>7398</v>
      </c>
      <c r="BT383" t="str">
        <f>HYPERLINK("https%3A%2F%2Fwww.webofscience.com%2Fwos%2Fwoscc%2Ffull-record%2FWOS:000263555700002","View Full Record in Web of Science")</f>
        <v>View Full Record in Web of Science</v>
      </c>
    </row>
    <row r="384" spans="1:72" x14ac:dyDescent="0.15">
      <c r="A384" t="s">
        <v>72</v>
      </c>
      <c r="B384" t="s">
        <v>7399</v>
      </c>
      <c r="C384" t="s">
        <v>74</v>
      </c>
      <c r="D384" t="s">
        <v>74</v>
      </c>
      <c r="E384" t="s">
        <v>74</v>
      </c>
      <c r="F384" t="s">
        <v>7400</v>
      </c>
      <c r="G384" t="s">
        <v>74</v>
      </c>
      <c r="H384" t="s">
        <v>74</v>
      </c>
      <c r="I384" t="s">
        <v>7401</v>
      </c>
      <c r="J384" t="s">
        <v>77</v>
      </c>
      <c r="K384" t="s">
        <v>74</v>
      </c>
      <c r="L384" t="s">
        <v>74</v>
      </c>
      <c r="M384" t="s">
        <v>78</v>
      </c>
      <c r="N384" t="s">
        <v>79</v>
      </c>
      <c r="O384" t="s">
        <v>74</v>
      </c>
      <c r="P384" t="s">
        <v>74</v>
      </c>
      <c r="Q384" t="s">
        <v>74</v>
      </c>
      <c r="R384" t="s">
        <v>74</v>
      </c>
      <c r="S384" t="s">
        <v>74</v>
      </c>
      <c r="T384" t="s">
        <v>7402</v>
      </c>
      <c r="U384" t="s">
        <v>7403</v>
      </c>
      <c r="V384" t="s">
        <v>7404</v>
      </c>
      <c r="W384" t="s">
        <v>7405</v>
      </c>
      <c r="X384" t="s">
        <v>7406</v>
      </c>
      <c r="Y384" t="s">
        <v>7407</v>
      </c>
      <c r="Z384" t="s">
        <v>7408</v>
      </c>
      <c r="AA384" t="s">
        <v>7409</v>
      </c>
      <c r="AB384" t="s">
        <v>7410</v>
      </c>
      <c r="AC384" t="s">
        <v>7411</v>
      </c>
      <c r="AD384" t="s">
        <v>7411</v>
      </c>
      <c r="AE384" t="s">
        <v>7412</v>
      </c>
      <c r="AF384" t="s">
        <v>74</v>
      </c>
      <c r="AG384">
        <v>63</v>
      </c>
      <c r="AH384">
        <v>34</v>
      </c>
      <c r="AI384">
        <v>37</v>
      </c>
      <c r="AJ384">
        <v>0</v>
      </c>
      <c r="AK384">
        <v>14</v>
      </c>
      <c r="AL384" t="s">
        <v>91</v>
      </c>
      <c r="AM384" t="s">
        <v>92</v>
      </c>
      <c r="AN384" t="s">
        <v>137</v>
      </c>
      <c r="AO384" t="s">
        <v>94</v>
      </c>
      <c r="AP384" t="s">
        <v>119</v>
      </c>
      <c r="AQ384" t="s">
        <v>74</v>
      </c>
      <c r="AR384" t="s">
        <v>95</v>
      </c>
      <c r="AS384" t="s">
        <v>96</v>
      </c>
      <c r="AT384" t="s">
        <v>6107</v>
      </c>
      <c r="AU384">
        <v>2009</v>
      </c>
      <c r="AV384">
        <v>32</v>
      </c>
      <c r="AW384">
        <v>3</v>
      </c>
      <c r="AX384" t="s">
        <v>74</v>
      </c>
      <c r="AY384" t="s">
        <v>74</v>
      </c>
      <c r="AZ384" t="s">
        <v>74</v>
      </c>
      <c r="BA384" t="s">
        <v>74</v>
      </c>
      <c r="BB384">
        <v>311</v>
      </c>
      <c r="BC384">
        <v>323</v>
      </c>
      <c r="BD384" t="s">
        <v>74</v>
      </c>
      <c r="BE384" t="s">
        <v>7413</v>
      </c>
      <c r="BF384" t="str">
        <f>HYPERLINK("http://dx.doi.org/10.1007/s00300-008-0507-z","http://dx.doi.org/10.1007/s00300-008-0507-z")</f>
        <v>http://dx.doi.org/10.1007/s00300-008-0507-z</v>
      </c>
      <c r="BG384" t="s">
        <v>74</v>
      </c>
      <c r="BH384" t="s">
        <v>74</v>
      </c>
      <c r="BI384">
        <v>13</v>
      </c>
      <c r="BJ384" t="s">
        <v>99</v>
      </c>
      <c r="BK384" t="s">
        <v>100</v>
      </c>
      <c r="BL384" t="s">
        <v>101</v>
      </c>
      <c r="BM384" t="s">
        <v>7414</v>
      </c>
      <c r="BN384" t="s">
        <v>74</v>
      </c>
      <c r="BO384" t="s">
        <v>74</v>
      </c>
      <c r="BP384" t="s">
        <v>74</v>
      </c>
      <c r="BQ384" t="s">
        <v>74</v>
      </c>
      <c r="BR384" t="s">
        <v>103</v>
      </c>
      <c r="BS384" t="s">
        <v>7415</v>
      </c>
      <c r="BT384" t="str">
        <f>HYPERLINK("https%3A%2F%2Fwww.webofscience.com%2Fwos%2Fwoscc%2Ffull-record%2FWOS:000263389000001","View Full Record in Web of Science")</f>
        <v>View Full Record in Web of Science</v>
      </c>
    </row>
    <row r="385" spans="1:72" x14ac:dyDescent="0.15">
      <c r="A385" t="s">
        <v>72</v>
      </c>
      <c r="B385" t="s">
        <v>7416</v>
      </c>
      <c r="C385" t="s">
        <v>74</v>
      </c>
      <c r="D385" t="s">
        <v>74</v>
      </c>
      <c r="E385" t="s">
        <v>74</v>
      </c>
      <c r="F385" t="s">
        <v>7417</v>
      </c>
      <c r="G385" t="s">
        <v>74</v>
      </c>
      <c r="H385" t="s">
        <v>74</v>
      </c>
      <c r="I385" t="s">
        <v>7418</v>
      </c>
      <c r="J385" t="s">
        <v>77</v>
      </c>
      <c r="K385" t="s">
        <v>74</v>
      </c>
      <c r="L385" t="s">
        <v>74</v>
      </c>
      <c r="M385" t="s">
        <v>78</v>
      </c>
      <c r="N385" t="s">
        <v>79</v>
      </c>
      <c r="O385" t="s">
        <v>74</v>
      </c>
      <c r="P385" t="s">
        <v>74</v>
      </c>
      <c r="Q385" t="s">
        <v>74</v>
      </c>
      <c r="R385" t="s">
        <v>74</v>
      </c>
      <c r="S385" t="s">
        <v>74</v>
      </c>
      <c r="T385" t="s">
        <v>7419</v>
      </c>
      <c r="U385" t="s">
        <v>7420</v>
      </c>
      <c r="V385" t="s">
        <v>7421</v>
      </c>
      <c r="W385" t="s">
        <v>7422</v>
      </c>
      <c r="X385" t="s">
        <v>7406</v>
      </c>
      <c r="Y385" t="s">
        <v>7423</v>
      </c>
      <c r="Z385" t="s">
        <v>7424</v>
      </c>
      <c r="AA385" t="s">
        <v>7425</v>
      </c>
      <c r="AB385" t="s">
        <v>7426</v>
      </c>
      <c r="AC385" t="s">
        <v>7427</v>
      </c>
      <c r="AD385" t="s">
        <v>7427</v>
      </c>
      <c r="AE385" t="s">
        <v>7428</v>
      </c>
      <c r="AF385" t="s">
        <v>74</v>
      </c>
      <c r="AG385">
        <v>65</v>
      </c>
      <c r="AH385">
        <v>23</v>
      </c>
      <c r="AI385">
        <v>25</v>
      </c>
      <c r="AJ385">
        <v>0</v>
      </c>
      <c r="AK385">
        <v>20</v>
      </c>
      <c r="AL385" t="s">
        <v>91</v>
      </c>
      <c r="AM385" t="s">
        <v>92</v>
      </c>
      <c r="AN385" t="s">
        <v>137</v>
      </c>
      <c r="AO385" t="s">
        <v>94</v>
      </c>
      <c r="AP385" t="s">
        <v>119</v>
      </c>
      <c r="AQ385" t="s">
        <v>74</v>
      </c>
      <c r="AR385" t="s">
        <v>95</v>
      </c>
      <c r="AS385" t="s">
        <v>96</v>
      </c>
      <c r="AT385" t="s">
        <v>6107</v>
      </c>
      <c r="AU385">
        <v>2009</v>
      </c>
      <c r="AV385">
        <v>32</v>
      </c>
      <c r="AW385">
        <v>3</v>
      </c>
      <c r="AX385" t="s">
        <v>74</v>
      </c>
      <c r="AY385" t="s">
        <v>74</v>
      </c>
      <c r="AZ385" t="s">
        <v>74</v>
      </c>
      <c r="BA385" t="s">
        <v>74</v>
      </c>
      <c r="BB385">
        <v>325</v>
      </c>
      <c r="BC385">
        <v>335</v>
      </c>
      <c r="BD385" t="s">
        <v>74</v>
      </c>
      <c r="BE385" t="s">
        <v>7429</v>
      </c>
      <c r="BF385" t="str">
        <f>HYPERLINK("http://dx.doi.org/10.1007/s00300-008-0517-x","http://dx.doi.org/10.1007/s00300-008-0517-x")</f>
        <v>http://dx.doi.org/10.1007/s00300-008-0517-x</v>
      </c>
      <c r="BG385" t="s">
        <v>74</v>
      </c>
      <c r="BH385" t="s">
        <v>74</v>
      </c>
      <c r="BI385">
        <v>11</v>
      </c>
      <c r="BJ385" t="s">
        <v>99</v>
      </c>
      <c r="BK385" t="s">
        <v>100</v>
      </c>
      <c r="BL385" t="s">
        <v>101</v>
      </c>
      <c r="BM385" t="s">
        <v>7414</v>
      </c>
      <c r="BN385" t="s">
        <v>74</v>
      </c>
      <c r="BO385" t="s">
        <v>74</v>
      </c>
      <c r="BP385" t="s">
        <v>74</v>
      </c>
      <c r="BQ385" t="s">
        <v>74</v>
      </c>
      <c r="BR385" t="s">
        <v>103</v>
      </c>
      <c r="BS385" t="s">
        <v>7430</v>
      </c>
      <c r="BT385" t="str">
        <f>HYPERLINK("https%3A%2F%2Fwww.webofscience.com%2Fwos%2Fwoscc%2Ffull-record%2FWOS:000263389000002","View Full Record in Web of Science")</f>
        <v>View Full Record in Web of Science</v>
      </c>
    </row>
    <row r="386" spans="1:72" x14ac:dyDescent="0.15">
      <c r="A386" t="s">
        <v>72</v>
      </c>
      <c r="B386" t="s">
        <v>7431</v>
      </c>
      <c r="C386" t="s">
        <v>74</v>
      </c>
      <c r="D386" t="s">
        <v>74</v>
      </c>
      <c r="E386" t="s">
        <v>74</v>
      </c>
      <c r="F386" t="s">
        <v>7432</v>
      </c>
      <c r="G386" t="s">
        <v>74</v>
      </c>
      <c r="H386" t="s">
        <v>74</v>
      </c>
      <c r="I386" t="s">
        <v>7433</v>
      </c>
      <c r="J386" t="s">
        <v>77</v>
      </c>
      <c r="K386" t="s">
        <v>74</v>
      </c>
      <c r="L386" t="s">
        <v>74</v>
      </c>
      <c r="M386" t="s">
        <v>78</v>
      </c>
      <c r="N386" t="s">
        <v>79</v>
      </c>
      <c r="O386" t="s">
        <v>74</v>
      </c>
      <c r="P386" t="s">
        <v>74</v>
      </c>
      <c r="Q386" t="s">
        <v>74</v>
      </c>
      <c r="R386" t="s">
        <v>74</v>
      </c>
      <c r="S386" t="s">
        <v>74</v>
      </c>
      <c r="T386" t="s">
        <v>7434</v>
      </c>
      <c r="U386" t="s">
        <v>7435</v>
      </c>
      <c r="V386" t="s">
        <v>7436</v>
      </c>
      <c r="W386" t="s">
        <v>7437</v>
      </c>
      <c r="X386" t="s">
        <v>7438</v>
      </c>
      <c r="Y386" t="s">
        <v>7439</v>
      </c>
      <c r="Z386" t="s">
        <v>7440</v>
      </c>
      <c r="AA386" t="s">
        <v>7441</v>
      </c>
      <c r="AB386" t="s">
        <v>7442</v>
      </c>
      <c r="AC386" t="s">
        <v>7443</v>
      </c>
      <c r="AD386" t="s">
        <v>7443</v>
      </c>
      <c r="AE386" t="s">
        <v>7444</v>
      </c>
      <c r="AF386" t="s">
        <v>74</v>
      </c>
      <c r="AG386">
        <v>48</v>
      </c>
      <c r="AH386">
        <v>23</v>
      </c>
      <c r="AI386">
        <v>24</v>
      </c>
      <c r="AJ386">
        <v>0</v>
      </c>
      <c r="AK386">
        <v>5</v>
      </c>
      <c r="AL386" t="s">
        <v>91</v>
      </c>
      <c r="AM386" t="s">
        <v>92</v>
      </c>
      <c r="AN386" t="s">
        <v>93</v>
      </c>
      <c r="AO386" t="s">
        <v>94</v>
      </c>
      <c r="AP386" t="s">
        <v>119</v>
      </c>
      <c r="AQ386" t="s">
        <v>74</v>
      </c>
      <c r="AR386" t="s">
        <v>95</v>
      </c>
      <c r="AS386" t="s">
        <v>96</v>
      </c>
      <c r="AT386" t="s">
        <v>6107</v>
      </c>
      <c r="AU386">
        <v>2009</v>
      </c>
      <c r="AV386">
        <v>32</v>
      </c>
      <c r="AW386">
        <v>3</v>
      </c>
      <c r="AX386" t="s">
        <v>74</v>
      </c>
      <c r="AY386" t="s">
        <v>74</v>
      </c>
      <c r="AZ386" t="s">
        <v>74</v>
      </c>
      <c r="BA386" t="s">
        <v>74</v>
      </c>
      <c r="BB386">
        <v>337</v>
      </c>
      <c r="BC386">
        <v>346</v>
      </c>
      <c r="BD386" t="s">
        <v>74</v>
      </c>
      <c r="BE386" t="s">
        <v>7445</v>
      </c>
      <c r="BF386" t="str">
        <f>HYPERLINK("http://dx.doi.org/10.1007/s00300-008-0539-4","http://dx.doi.org/10.1007/s00300-008-0539-4")</f>
        <v>http://dx.doi.org/10.1007/s00300-008-0539-4</v>
      </c>
      <c r="BG386" t="s">
        <v>74</v>
      </c>
      <c r="BH386" t="s">
        <v>74</v>
      </c>
      <c r="BI386">
        <v>10</v>
      </c>
      <c r="BJ386" t="s">
        <v>99</v>
      </c>
      <c r="BK386" t="s">
        <v>100</v>
      </c>
      <c r="BL386" t="s">
        <v>101</v>
      </c>
      <c r="BM386" t="s">
        <v>7414</v>
      </c>
      <c r="BN386" t="s">
        <v>74</v>
      </c>
      <c r="BO386" t="s">
        <v>74</v>
      </c>
      <c r="BP386" t="s">
        <v>74</v>
      </c>
      <c r="BQ386" t="s">
        <v>74</v>
      </c>
      <c r="BR386" t="s">
        <v>103</v>
      </c>
      <c r="BS386" t="s">
        <v>7446</v>
      </c>
      <c r="BT386" t="str">
        <f>HYPERLINK("https%3A%2F%2Fwww.webofscience.com%2Fwos%2Fwoscc%2Ffull-record%2FWOS:000263389000003","View Full Record in Web of Science")</f>
        <v>View Full Record in Web of Science</v>
      </c>
    </row>
    <row r="387" spans="1:72" x14ac:dyDescent="0.15">
      <c r="A387" t="s">
        <v>72</v>
      </c>
      <c r="B387" t="s">
        <v>7447</v>
      </c>
      <c r="C387" t="s">
        <v>74</v>
      </c>
      <c r="D387" t="s">
        <v>74</v>
      </c>
      <c r="E387" t="s">
        <v>74</v>
      </c>
      <c r="F387" t="s">
        <v>7448</v>
      </c>
      <c r="G387" t="s">
        <v>74</v>
      </c>
      <c r="H387" t="s">
        <v>74</v>
      </c>
      <c r="I387" t="s">
        <v>7449</v>
      </c>
      <c r="J387" t="s">
        <v>77</v>
      </c>
      <c r="K387" t="s">
        <v>74</v>
      </c>
      <c r="L387" t="s">
        <v>74</v>
      </c>
      <c r="M387" t="s">
        <v>78</v>
      </c>
      <c r="N387" t="s">
        <v>79</v>
      </c>
      <c r="O387" t="s">
        <v>74</v>
      </c>
      <c r="P387" t="s">
        <v>74</v>
      </c>
      <c r="Q387" t="s">
        <v>74</v>
      </c>
      <c r="R387" t="s">
        <v>74</v>
      </c>
      <c r="S387" t="s">
        <v>74</v>
      </c>
      <c r="T387" t="s">
        <v>7450</v>
      </c>
      <c r="U387" t="s">
        <v>7451</v>
      </c>
      <c r="V387" t="s">
        <v>7452</v>
      </c>
      <c r="W387" t="s">
        <v>7453</v>
      </c>
      <c r="X387" t="s">
        <v>7454</v>
      </c>
      <c r="Y387" t="s">
        <v>7455</v>
      </c>
      <c r="Z387" t="s">
        <v>7456</v>
      </c>
      <c r="AA387" t="s">
        <v>74</v>
      </c>
      <c r="AB387" t="s">
        <v>7457</v>
      </c>
      <c r="AC387" t="s">
        <v>7458</v>
      </c>
      <c r="AD387" t="s">
        <v>7458</v>
      </c>
      <c r="AE387" t="s">
        <v>7459</v>
      </c>
      <c r="AF387" t="s">
        <v>74</v>
      </c>
      <c r="AG387">
        <v>80</v>
      </c>
      <c r="AH387">
        <v>21</v>
      </c>
      <c r="AI387">
        <v>22</v>
      </c>
      <c r="AJ387">
        <v>0</v>
      </c>
      <c r="AK387">
        <v>12</v>
      </c>
      <c r="AL387" t="s">
        <v>91</v>
      </c>
      <c r="AM387" t="s">
        <v>92</v>
      </c>
      <c r="AN387" t="s">
        <v>93</v>
      </c>
      <c r="AO387" t="s">
        <v>94</v>
      </c>
      <c r="AP387" t="s">
        <v>74</v>
      </c>
      <c r="AQ387" t="s">
        <v>74</v>
      </c>
      <c r="AR387" t="s">
        <v>95</v>
      </c>
      <c r="AS387" t="s">
        <v>96</v>
      </c>
      <c r="AT387" t="s">
        <v>6107</v>
      </c>
      <c r="AU387">
        <v>2009</v>
      </c>
      <c r="AV387">
        <v>32</v>
      </c>
      <c r="AW387">
        <v>3</v>
      </c>
      <c r="AX387" t="s">
        <v>74</v>
      </c>
      <c r="AY387" t="s">
        <v>74</v>
      </c>
      <c r="AZ387" t="s">
        <v>74</v>
      </c>
      <c r="BA387" t="s">
        <v>74</v>
      </c>
      <c r="BB387">
        <v>347</v>
      </c>
      <c r="BC387">
        <v>367</v>
      </c>
      <c r="BD387" t="s">
        <v>74</v>
      </c>
      <c r="BE387" t="s">
        <v>7460</v>
      </c>
      <c r="BF387" t="str">
        <f>HYPERLINK("http://dx.doi.org/10.1007/s00300-008-0546-5","http://dx.doi.org/10.1007/s00300-008-0546-5")</f>
        <v>http://dx.doi.org/10.1007/s00300-008-0546-5</v>
      </c>
      <c r="BG387" t="s">
        <v>74</v>
      </c>
      <c r="BH387" t="s">
        <v>74</v>
      </c>
      <c r="BI387">
        <v>21</v>
      </c>
      <c r="BJ387" t="s">
        <v>99</v>
      </c>
      <c r="BK387" t="s">
        <v>100</v>
      </c>
      <c r="BL387" t="s">
        <v>101</v>
      </c>
      <c r="BM387" t="s">
        <v>7414</v>
      </c>
      <c r="BN387" t="s">
        <v>74</v>
      </c>
      <c r="BO387" t="s">
        <v>74</v>
      </c>
      <c r="BP387" t="s">
        <v>74</v>
      </c>
      <c r="BQ387" t="s">
        <v>74</v>
      </c>
      <c r="BR387" t="s">
        <v>103</v>
      </c>
      <c r="BS387" t="s">
        <v>7461</v>
      </c>
      <c r="BT387" t="str">
        <f>HYPERLINK("https%3A%2F%2Fwww.webofscience.com%2Fwos%2Fwoscc%2Ffull-record%2FWOS:000263389000004","View Full Record in Web of Science")</f>
        <v>View Full Record in Web of Science</v>
      </c>
    </row>
    <row r="388" spans="1:72" x14ac:dyDescent="0.15">
      <c r="A388" t="s">
        <v>72</v>
      </c>
      <c r="B388" t="s">
        <v>7462</v>
      </c>
      <c r="C388" t="s">
        <v>74</v>
      </c>
      <c r="D388" t="s">
        <v>74</v>
      </c>
      <c r="E388" t="s">
        <v>74</v>
      </c>
      <c r="F388" t="s">
        <v>7463</v>
      </c>
      <c r="G388" t="s">
        <v>74</v>
      </c>
      <c r="H388" t="s">
        <v>74</v>
      </c>
      <c r="I388" t="s">
        <v>7464</v>
      </c>
      <c r="J388" t="s">
        <v>77</v>
      </c>
      <c r="K388" t="s">
        <v>74</v>
      </c>
      <c r="L388" t="s">
        <v>74</v>
      </c>
      <c r="M388" t="s">
        <v>78</v>
      </c>
      <c r="N388" t="s">
        <v>79</v>
      </c>
      <c r="O388" t="s">
        <v>74</v>
      </c>
      <c r="P388" t="s">
        <v>74</v>
      </c>
      <c r="Q388" t="s">
        <v>74</v>
      </c>
      <c r="R388" t="s">
        <v>74</v>
      </c>
      <c r="S388" t="s">
        <v>74</v>
      </c>
      <c r="T388" t="s">
        <v>7465</v>
      </c>
      <c r="U388" t="s">
        <v>7466</v>
      </c>
      <c r="V388" t="s">
        <v>7467</v>
      </c>
      <c r="W388" t="s">
        <v>7468</v>
      </c>
      <c r="X388" t="s">
        <v>7469</v>
      </c>
      <c r="Y388" t="s">
        <v>7470</v>
      </c>
      <c r="Z388" t="s">
        <v>7471</v>
      </c>
      <c r="AA388" t="s">
        <v>74</v>
      </c>
      <c r="AB388" t="s">
        <v>7472</v>
      </c>
      <c r="AC388" t="s">
        <v>7473</v>
      </c>
      <c r="AD388" t="s">
        <v>7473</v>
      </c>
      <c r="AE388" t="s">
        <v>7474</v>
      </c>
      <c r="AF388" t="s">
        <v>74</v>
      </c>
      <c r="AG388">
        <v>51</v>
      </c>
      <c r="AH388">
        <v>29</v>
      </c>
      <c r="AI388">
        <v>32</v>
      </c>
      <c r="AJ388">
        <v>1</v>
      </c>
      <c r="AK388">
        <v>9</v>
      </c>
      <c r="AL388" t="s">
        <v>91</v>
      </c>
      <c r="AM388" t="s">
        <v>92</v>
      </c>
      <c r="AN388" t="s">
        <v>93</v>
      </c>
      <c r="AO388" t="s">
        <v>94</v>
      </c>
      <c r="AP388" t="s">
        <v>74</v>
      </c>
      <c r="AQ388" t="s">
        <v>74</v>
      </c>
      <c r="AR388" t="s">
        <v>95</v>
      </c>
      <c r="AS388" t="s">
        <v>96</v>
      </c>
      <c r="AT388" t="s">
        <v>6107</v>
      </c>
      <c r="AU388">
        <v>2009</v>
      </c>
      <c r="AV388">
        <v>32</v>
      </c>
      <c r="AW388">
        <v>3</v>
      </c>
      <c r="AX388" t="s">
        <v>74</v>
      </c>
      <c r="AY388" t="s">
        <v>74</v>
      </c>
      <c r="AZ388" t="s">
        <v>74</v>
      </c>
      <c r="BA388" t="s">
        <v>74</v>
      </c>
      <c r="BB388">
        <v>369</v>
      </c>
      <c r="BC388">
        <v>382</v>
      </c>
      <c r="BD388" t="s">
        <v>74</v>
      </c>
      <c r="BE388" t="s">
        <v>7475</v>
      </c>
      <c r="BF388" t="str">
        <f>HYPERLINK("http://dx.doi.org/10.1007/s00300-008-0551-8","http://dx.doi.org/10.1007/s00300-008-0551-8")</f>
        <v>http://dx.doi.org/10.1007/s00300-008-0551-8</v>
      </c>
      <c r="BG388" t="s">
        <v>74</v>
      </c>
      <c r="BH388" t="s">
        <v>74</v>
      </c>
      <c r="BI388">
        <v>14</v>
      </c>
      <c r="BJ388" t="s">
        <v>99</v>
      </c>
      <c r="BK388" t="s">
        <v>100</v>
      </c>
      <c r="BL388" t="s">
        <v>101</v>
      </c>
      <c r="BM388" t="s">
        <v>7414</v>
      </c>
      <c r="BN388" t="s">
        <v>74</v>
      </c>
      <c r="BO388" t="s">
        <v>74</v>
      </c>
      <c r="BP388" t="s">
        <v>74</v>
      </c>
      <c r="BQ388" t="s">
        <v>74</v>
      </c>
      <c r="BR388" t="s">
        <v>103</v>
      </c>
      <c r="BS388" t="s">
        <v>7476</v>
      </c>
      <c r="BT388" t="str">
        <f>HYPERLINK("https%3A%2F%2Fwww.webofscience.com%2Fwos%2Fwoscc%2Ffull-record%2FWOS:000263389000005","View Full Record in Web of Science")</f>
        <v>View Full Record in Web of Science</v>
      </c>
    </row>
    <row r="389" spans="1:72" x14ac:dyDescent="0.15">
      <c r="A389" t="s">
        <v>72</v>
      </c>
      <c r="B389" t="s">
        <v>7477</v>
      </c>
      <c r="C389" t="s">
        <v>74</v>
      </c>
      <c r="D389" t="s">
        <v>74</v>
      </c>
      <c r="E389" t="s">
        <v>74</v>
      </c>
      <c r="F389" t="s">
        <v>7478</v>
      </c>
      <c r="G389" t="s">
        <v>74</v>
      </c>
      <c r="H389" t="s">
        <v>74</v>
      </c>
      <c r="I389" t="s">
        <v>7479</v>
      </c>
      <c r="J389" t="s">
        <v>77</v>
      </c>
      <c r="K389" t="s">
        <v>74</v>
      </c>
      <c r="L389" t="s">
        <v>74</v>
      </c>
      <c r="M389" t="s">
        <v>78</v>
      </c>
      <c r="N389" t="s">
        <v>79</v>
      </c>
      <c r="O389" t="s">
        <v>74</v>
      </c>
      <c r="P389" t="s">
        <v>74</v>
      </c>
      <c r="Q389" t="s">
        <v>74</v>
      </c>
      <c r="R389" t="s">
        <v>74</v>
      </c>
      <c r="S389" t="s">
        <v>74</v>
      </c>
      <c r="T389" t="s">
        <v>7480</v>
      </c>
      <c r="U389" t="s">
        <v>7481</v>
      </c>
      <c r="V389" t="s">
        <v>7482</v>
      </c>
      <c r="W389" t="s">
        <v>7483</v>
      </c>
      <c r="X389" t="s">
        <v>1628</v>
      </c>
      <c r="Y389" t="s">
        <v>7484</v>
      </c>
      <c r="Z389" t="s">
        <v>7485</v>
      </c>
      <c r="AA389" t="s">
        <v>74</v>
      </c>
      <c r="AB389" t="s">
        <v>7486</v>
      </c>
      <c r="AC389" t="s">
        <v>74</v>
      </c>
      <c r="AD389" t="s">
        <v>74</v>
      </c>
      <c r="AE389" t="s">
        <v>74</v>
      </c>
      <c r="AF389" t="s">
        <v>74</v>
      </c>
      <c r="AG389">
        <v>38</v>
      </c>
      <c r="AH389">
        <v>14</v>
      </c>
      <c r="AI389">
        <v>14</v>
      </c>
      <c r="AJ389">
        <v>0</v>
      </c>
      <c r="AK389">
        <v>17</v>
      </c>
      <c r="AL389" t="s">
        <v>91</v>
      </c>
      <c r="AM389" t="s">
        <v>92</v>
      </c>
      <c r="AN389" t="s">
        <v>93</v>
      </c>
      <c r="AO389" t="s">
        <v>94</v>
      </c>
      <c r="AP389" t="s">
        <v>74</v>
      </c>
      <c r="AQ389" t="s">
        <v>74</v>
      </c>
      <c r="AR389" t="s">
        <v>95</v>
      </c>
      <c r="AS389" t="s">
        <v>96</v>
      </c>
      <c r="AT389" t="s">
        <v>6107</v>
      </c>
      <c r="AU389">
        <v>2009</v>
      </c>
      <c r="AV389">
        <v>32</v>
      </c>
      <c r="AW389">
        <v>3</v>
      </c>
      <c r="AX389" t="s">
        <v>74</v>
      </c>
      <c r="AY389" t="s">
        <v>74</v>
      </c>
      <c r="AZ389" t="s">
        <v>74</v>
      </c>
      <c r="BA389" t="s">
        <v>74</v>
      </c>
      <c r="BB389">
        <v>393</v>
      </c>
      <c r="BC389">
        <v>398</v>
      </c>
      <c r="BD389" t="s">
        <v>74</v>
      </c>
      <c r="BE389" t="s">
        <v>7487</v>
      </c>
      <c r="BF389" t="str">
        <f>HYPERLINK("http://dx.doi.org/10.1007/s00300-008-0531-z","http://dx.doi.org/10.1007/s00300-008-0531-z")</f>
        <v>http://dx.doi.org/10.1007/s00300-008-0531-z</v>
      </c>
      <c r="BG389" t="s">
        <v>74</v>
      </c>
      <c r="BH389" t="s">
        <v>74</v>
      </c>
      <c r="BI389">
        <v>6</v>
      </c>
      <c r="BJ389" t="s">
        <v>99</v>
      </c>
      <c r="BK389" t="s">
        <v>100</v>
      </c>
      <c r="BL389" t="s">
        <v>101</v>
      </c>
      <c r="BM389" t="s">
        <v>7414</v>
      </c>
      <c r="BN389" t="s">
        <v>74</v>
      </c>
      <c r="BO389" t="s">
        <v>74</v>
      </c>
      <c r="BP389" t="s">
        <v>74</v>
      </c>
      <c r="BQ389" t="s">
        <v>74</v>
      </c>
      <c r="BR389" t="s">
        <v>103</v>
      </c>
      <c r="BS389" t="s">
        <v>7488</v>
      </c>
      <c r="BT389" t="str">
        <f>HYPERLINK("https%3A%2F%2Fwww.webofscience.com%2Fwos%2Fwoscc%2Ffull-record%2FWOS:000263389000007","View Full Record in Web of Science")</f>
        <v>View Full Record in Web of Science</v>
      </c>
    </row>
    <row r="390" spans="1:72" x14ac:dyDescent="0.15">
      <c r="A390" t="s">
        <v>72</v>
      </c>
      <c r="B390" t="s">
        <v>7489</v>
      </c>
      <c r="C390" t="s">
        <v>74</v>
      </c>
      <c r="D390" t="s">
        <v>74</v>
      </c>
      <c r="E390" t="s">
        <v>74</v>
      </c>
      <c r="F390" t="s">
        <v>7490</v>
      </c>
      <c r="G390" t="s">
        <v>74</v>
      </c>
      <c r="H390" t="s">
        <v>74</v>
      </c>
      <c r="I390" t="s">
        <v>7491</v>
      </c>
      <c r="J390" t="s">
        <v>77</v>
      </c>
      <c r="K390" t="s">
        <v>74</v>
      </c>
      <c r="L390" t="s">
        <v>74</v>
      </c>
      <c r="M390" t="s">
        <v>78</v>
      </c>
      <c r="N390" t="s">
        <v>79</v>
      </c>
      <c r="O390" t="s">
        <v>74</v>
      </c>
      <c r="P390" t="s">
        <v>74</v>
      </c>
      <c r="Q390" t="s">
        <v>74</v>
      </c>
      <c r="R390" t="s">
        <v>74</v>
      </c>
      <c r="S390" t="s">
        <v>74</v>
      </c>
      <c r="T390" t="s">
        <v>7492</v>
      </c>
      <c r="U390" t="s">
        <v>7493</v>
      </c>
      <c r="V390" t="s">
        <v>7494</v>
      </c>
      <c r="W390" t="s">
        <v>7495</v>
      </c>
      <c r="X390" t="s">
        <v>824</v>
      </c>
      <c r="Y390" t="s">
        <v>7496</v>
      </c>
      <c r="Z390" t="s">
        <v>7095</v>
      </c>
      <c r="AA390" t="s">
        <v>4182</v>
      </c>
      <c r="AB390" t="s">
        <v>7497</v>
      </c>
      <c r="AC390" t="s">
        <v>7498</v>
      </c>
      <c r="AD390" t="s">
        <v>7499</v>
      </c>
      <c r="AE390" t="s">
        <v>7500</v>
      </c>
      <c r="AF390" t="s">
        <v>74</v>
      </c>
      <c r="AG390">
        <v>28</v>
      </c>
      <c r="AH390">
        <v>53</v>
      </c>
      <c r="AI390">
        <v>60</v>
      </c>
      <c r="AJ390">
        <v>0</v>
      </c>
      <c r="AK390">
        <v>29</v>
      </c>
      <c r="AL390" t="s">
        <v>91</v>
      </c>
      <c r="AM390" t="s">
        <v>92</v>
      </c>
      <c r="AN390" t="s">
        <v>137</v>
      </c>
      <c r="AO390" t="s">
        <v>94</v>
      </c>
      <c r="AP390" t="s">
        <v>119</v>
      </c>
      <c r="AQ390" t="s">
        <v>74</v>
      </c>
      <c r="AR390" t="s">
        <v>95</v>
      </c>
      <c r="AS390" t="s">
        <v>96</v>
      </c>
      <c r="AT390" t="s">
        <v>6107</v>
      </c>
      <c r="AU390">
        <v>2009</v>
      </c>
      <c r="AV390">
        <v>32</v>
      </c>
      <c r="AW390">
        <v>3</v>
      </c>
      <c r="AX390" t="s">
        <v>74</v>
      </c>
      <c r="AY390" t="s">
        <v>74</v>
      </c>
      <c r="AZ390" t="s">
        <v>74</v>
      </c>
      <c r="BA390" t="s">
        <v>74</v>
      </c>
      <c r="BB390">
        <v>399</v>
      </c>
      <c r="BC390">
        <v>402</v>
      </c>
      <c r="BD390" t="s">
        <v>74</v>
      </c>
      <c r="BE390" t="s">
        <v>7501</v>
      </c>
      <c r="BF390" t="str">
        <f>HYPERLINK("http://dx.doi.org/10.1007/s00300-008-0532-y","http://dx.doi.org/10.1007/s00300-008-0532-y")</f>
        <v>http://dx.doi.org/10.1007/s00300-008-0532-y</v>
      </c>
      <c r="BG390" t="s">
        <v>74</v>
      </c>
      <c r="BH390" t="s">
        <v>74</v>
      </c>
      <c r="BI390">
        <v>4</v>
      </c>
      <c r="BJ390" t="s">
        <v>99</v>
      </c>
      <c r="BK390" t="s">
        <v>100</v>
      </c>
      <c r="BL390" t="s">
        <v>101</v>
      </c>
      <c r="BM390" t="s">
        <v>7414</v>
      </c>
      <c r="BN390" t="s">
        <v>74</v>
      </c>
      <c r="BO390" t="s">
        <v>74</v>
      </c>
      <c r="BP390" t="s">
        <v>74</v>
      </c>
      <c r="BQ390" t="s">
        <v>74</v>
      </c>
      <c r="BR390" t="s">
        <v>103</v>
      </c>
      <c r="BS390" t="s">
        <v>7502</v>
      </c>
      <c r="BT390" t="str">
        <f>HYPERLINK("https%3A%2F%2Fwww.webofscience.com%2Fwos%2Fwoscc%2Ffull-record%2FWOS:000263389000008","View Full Record in Web of Science")</f>
        <v>View Full Record in Web of Science</v>
      </c>
    </row>
    <row r="391" spans="1:72" x14ac:dyDescent="0.15">
      <c r="A391" t="s">
        <v>72</v>
      </c>
      <c r="B391" t="s">
        <v>7503</v>
      </c>
      <c r="C391" t="s">
        <v>74</v>
      </c>
      <c r="D391" t="s">
        <v>74</v>
      </c>
      <c r="E391" t="s">
        <v>74</v>
      </c>
      <c r="F391" t="s">
        <v>7504</v>
      </c>
      <c r="G391" t="s">
        <v>74</v>
      </c>
      <c r="H391" t="s">
        <v>74</v>
      </c>
      <c r="I391" t="s">
        <v>7505</v>
      </c>
      <c r="J391" t="s">
        <v>77</v>
      </c>
      <c r="K391" t="s">
        <v>74</v>
      </c>
      <c r="L391" t="s">
        <v>74</v>
      </c>
      <c r="M391" t="s">
        <v>78</v>
      </c>
      <c r="N391" t="s">
        <v>79</v>
      </c>
      <c r="O391" t="s">
        <v>74</v>
      </c>
      <c r="P391" t="s">
        <v>74</v>
      </c>
      <c r="Q391" t="s">
        <v>74</v>
      </c>
      <c r="R391" t="s">
        <v>74</v>
      </c>
      <c r="S391" t="s">
        <v>74</v>
      </c>
      <c r="T391" t="s">
        <v>7506</v>
      </c>
      <c r="U391" t="s">
        <v>7507</v>
      </c>
      <c r="V391" t="s">
        <v>7508</v>
      </c>
      <c r="W391" t="s">
        <v>7509</v>
      </c>
      <c r="X391" t="s">
        <v>7510</v>
      </c>
      <c r="Y391" t="s">
        <v>7511</v>
      </c>
      <c r="Z391" t="s">
        <v>7512</v>
      </c>
      <c r="AA391" t="s">
        <v>7513</v>
      </c>
      <c r="AB391" t="s">
        <v>7514</v>
      </c>
      <c r="AC391" t="s">
        <v>7515</v>
      </c>
      <c r="AD391" t="s">
        <v>7516</v>
      </c>
      <c r="AE391" t="s">
        <v>7517</v>
      </c>
      <c r="AF391" t="s">
        <v>74</v>
      </c>
      <c r="AG391">
        <v>57</v>
      </c>
      <c r="AH391">
        <v>80</v>
      </c>
      <c r="AI391">
        <v>100</v>
      </c>
      <c r="AJ391">
        <v>2</v>
      </c>
      <c r="AK391">
        <v>31</v>
      </c>
      <c r="AL391" t="s">
        <v>91</v>
      </c>
      <c r="AM391" t="s">
        <v>92</v>
      </c>
      <c r="AN391" t="s">
        <v>93</v>
      </c>
      <c r="AO391" t="s">
        <v>94</v>
      </c>
      <c r="AP391" t="s">
        <v>74</v>
      </c>
      <c r="AQ391" t="s">
        <v>74</v>
      </c>
      <c r="AR391" t="s">
        <v>95</v>
      </c>
      <c r="AS391" t="s">
        <v>96</v>
      </c>
      <c r="AT391" t="s">
        <v>6107</v>
      </c>
      <c r="AU391">
        <v>2009</v>
      </c>
      <c r="AV391">
        <v>32</v>
      </c>
      <c r="AW391">
        <v>3</v>
      </c>
      <c r="AX391" t="s">
        <v>74</v>
      </c>
      <c r="AY391" t="s">
        <v>74</v>
      </c>
      <c r="AZ391" t="s">
        <v>74</v>
      </c>
      <c r="BA391" t="s">
        <v>74</v>
      </c>
      <c r="BB391">
        <v>403</v>
      </c>
      <c r="BC391">
        <v>415</v>
      </c>
      <c r="BD391" t="s">
        <v>74</v>
      </c>
      <c r="BE391" t="s">
        <v>7518</v>
      </c>
      <c r="BF391" t="str">
        <f>HYPERLINK("http://dx.doi.org/10.1007/s00300-008-0533-x","http://dx.doi.org/10.1007/s00300-008-0533-x")</f>
        <v>http://dx.doi.org/10.1007/s00300-008-0533-x</v>
      </c>
      <c r="BG391" t="s">
        <v>74</v>
      </c>
      <c r="BH391" t="s">
        <v>74</v>
      </c>
      <c r="BI391">
        <v>13</v>
      </c>
      <c r="BJ391" t="s">
        <v>99</v>
      </c>
      <c r="BK391" t="s">
        <v>100</v>
      </c>
      <c r="BL391" t="s">
        <v>101</v>
      </c>
      <c r="BM391" t="s">
        <v>7414</v>
      </c>
      <c r="BN391" t="s">
        <v>74</v>
      </c>
      <c r="BO391" t="s">
        <v>74</v>
      </c>
      <c r="BP391" t="s">
        <v>74</v>
      </c>
      <c r="BQ391" t="s">
        <v>74</v>
      </c>
      <c r="BR391" t="s">
        <v>103</v>
      </c>
      <c r="BS391" t="s">
        <v>7519</v>
      </c>
      <c r="BT391" t="str">
        <f>HYPERLINK("https%3A%2F%2Fwww.webofscience.com%2Fwos%2Fwoscc%2Ffull-record%2FWOS:000263389000009","View Full Record in Web of Science")</f>
        <v>View Full Record in Web of Science</v>
      </c>
    </row>
    <row r="392" spans="1:72" x14ac:dyDescent="0.15">
      <c r="A392" t="s">
        <v>72</v>
      </c>
      <c r="B392" t="s">
        <v>7520</v>
      </c>
      <c r="C392" t="s">
        <v>74</v>
      </c>
      <c r="D392" t="s">
        <v>74</v>
      </c>
      <c r="E392" t="s">
        <v>74</v>
      </c>
      <c r="F392" t="s">
        <v>7521</v>
      </c>
      <c r="G392" t="s">
        <v>74</v>
      </c>
      <c r="H392" t="s">
        <v>74</v>
      </c>
      <c r="I392" t="s">
        <v>7522</v>
      </c>
      <c r="J392" t="s">
        <v>77</v>
      </c>
      <c r="K392" t="s">
        <v>74</v>
      </c>
      <c r="L392" t="s">
        <v>74</v>
      </c>
      <c r="M392" t="s">
        <v>78</v>
      </c>
      <c r="N392" t="s">
        <v>79</v>
      </c>
      <c r="O392" t="s">
        <v>74</v>
      </c>
      <c r="P392" t="s">
        <v>74</v>
      </c>
      <c r="Q392" t="s">
        <v>74</v>
      </c>
      <c r="R392" t="s">
        <v>74</v>
      </c>
      <c r="S392" t="s">
        <v>74</v>
      </c>
      <c r="T392" t="s">
        <v>7523</v>
      </c>
      <c r="U392" t="s">
        <v>74</v>
      </c>
      <c r="V392" t="s">
        <v>7524</v>
      </c>
      <c r="W392" t="s">
        <v>7525</v>
      </c>
      <c r="X392" t="s">
        <v>7526</v>
      </c>
      <c r="Y392" t="s">
        <v>7527</v>
      </c>
      <c r="Z392" t="s">
        <v>7528</v>
      </c>
      <c r="AA392" t="s">
        <v>7529</v>
      </c>
      <c r="AB392" t="s">
        <v>7530</v>
      </c>
      <c r="AC392" t="s">
        <v>74</v>
      </c>
      <c r="AD392" t="s">
        <v>74</v>
      </c>
      <c r="AE392" t="s">
        <v>74</v>
      </c>
      <c r="AF392" t="s">
        <v>74</v>
      </c>
      <c r="AG392">
        <v>12</v>
      </c>
      <c r="AH392">
        <v>6</v>
      </c>
      <c r="AI392">
        <v>7</v>
      </c>
      <c r="AJ392">
        <v>0</v>
      </c>
      <c r="AK392">
        <v>4</v>
      </c>
      <c r="AL392" t="s">
        <v>91</v>
      </c>
      <c r="AM392" t="s">
        <v>92</v>
      </c>
      <c r="AN392" t="s">
        <v>93</v>
      </c>
      <c r="AO392" t="s">
        <v>94</v>
      </c>
      <c r="AP392" t="s">
        <v>119</v>
      </c>
      <c r="AQ392" t="s">
        <v>74</v>
      </c>
      <c r="AR392" t="s">
        <v>95</v>
      </c>
      <c r="AS392" t="s">
        <v>96</v>
      </c>
      <c r="AT392" t="s">
        <v>6107</v>
      </c>
      <c r="AU392">
        <v>2009</v>
      </c>
      <c r="AV392">
        <v>32</v>
      </c>
      <c r="AW392">
        <v>3</v>
      </c>
      <c r="AX392" t="s">
        <v>74</v>
      </c>
      <c r="AY392" t="s">
        <v>74</v>
      </c>
      <c r="AZ392" t="s">
        <v>74</v>
      </c>
      <c r="BA392" t="s">
        <v>74</v>
      </c>
      <c r="BB392">
        <v>417</v>
      </c>
      <c r="BC392">
        <v>426</v>
      </c>
      <c r="BD392" t="s">
        <v>74</v>
      </c>
      <c r="BE392" t="s">
        <v>7531</v>
      </c>
      <c r="BF392" t="str">
        <f>HYPERLINK("http://dx.doi.org/10.1007/s00300-008-0534-9","http://dx.doi.org/10.1007/s00300-008-0534-9")</f>
        <v>http://dx.doi.org/10.1007/s00300-008-0534-9</v>
      </c>
      <c r="BG392" t="s">
        <v>74</v>
      </c>
      <c r="BH392" t="s">
        <v>74</v>
      </c>
      <c r="BI392">
        <v>10</v>
      </c>
      <c r="BJ392" t="s">
        <v>99</v>
      </c>
      <c r="BK392" t="s">
        <v>100</v>
      </c>
      <c r="BL392" t="s">
        <v>101</v>
      </c>
      <c r="BM392" t="s">
        <v>7414</v>
      </c>
      <c r="BN392" t="s">
        <v>74</v>
      </c>
      <c r="BO392" t="s">
        <v>74</v>
      </c>
      <c r="BP392" t="s">
        <v>74</v>
      </c>
      <c r="BQ392" t="s">
        <v>74</v>
      </c>
      <c r="BR392" t="s">
        <v>103</v>
      </c>
      <c r="BS392" t="s">
        <v>7532</v>
      </c>
      <c r="BT392" t="str">
        <f>HYPERLINK("https%3A%2F%2Fwww.webofscience.com%2Fwos%2Fwoscc%2Ffull-record%2FWOS:000263389000010","View Full Record in Web of Science")</f>
        <v>View Full Record in Web of Science</v>
      </c>
    </row>
    <row r="393" spans="1:72" x14ac:dyDescent="0.15">
      <c r="A393" t="s">
        <v>72</v>
      </c>
      <c r="B393" t="s">
        <v>7533</v>
      </c>
      <c r="C393" t="s">
        <v>74</v>
      </c>
      <c r="D393" t="s">
        <v>74</v>
      </c>
      <c r="E393" t="s">
        <v>74</v>
      </c>
      <c r="F393" t="s">
        <v>7534</v>
      </c>
      <c r="G393" t="s">
        <v>74</v>
      </c>
      <c r="H393" t="s">
        <v>74</v>
      </c>
      <c r="I393" t="s">
        <v>7535</v>
      </c>
      <c r="J393" t="s">
        <v>77</v>
      </c>
      <c r="K393" t="s">
        <v>74</v>
      </c>
      <c r="L393" t="s">
        <v>74</v>
      </c>
      <c r="M393" t="s">
        <v>78</v>
      </c>
      <c r="N393" t="s">
        <v>79</v>
      </c>
      <c r="O393" t="s">
        <v>74</v>
      </c>
      <c r="P393" t="s">
        <v>74</v>
      </c>
      <c r="Q393" t="s">
        <v>74</v>
      </c>
      <c r="R393" t="s">
        <v>74</v>
      </c>
      <c r="S393" t="s">
        <v>74</v>
      </c>
      <c r="T393" t="s">
        <v>7536</v>
      </c>
      <c r="U393" t="s">
        <v>7537</v>
      </c>
      <c r="V393" t="s">
        <v>7538</v>
      </c>
      <c r="W393" t="s">
        <v>7539</v>
      </c>
      <c r="X393" t="s">
        <v>7540</v>
      </c>
      <c r="Y393" t="s">
        <v>7541</v>
      </c>
      <c r="Z393" t="s">
        <v>7542</v>
      </c>
      <c r="AA393" t="s">
        <v>7543</v>
      </c>
      <c r="AB393" t="s">
        <v>74</v>
      </c>
      <c r="AC393" t="s">
        <v>7544</v>
      </c>
      <c r="AD393" t="s">
        <v>7545</v>
      </c>
      <c r="AE393" t="s">
        <v>7546</v>
      </c>
      <c r="AF393" t="s">
        <v>74</v>
      </c>
      <c r="AG393">
        <v>69</v>
      </c>
      <c r="AH393">
        <v>21</v>
      </c>
      <c r="AI393">
        <v>23</v>
      </c>
      <c r="AJ393">
        <v>1</v>
      </c>
      <c r="AK393">
        <v>5</v>
      </c>
      <c r="AL393" t="s">
        <v>91</v>
      </c>
      <c r="AM393" t="s">
        <v>92</v>
      </c>
      <c r="AN393" t="s">
        <v>137</v>
      </c>
      <c r="AO393" t="s">
        <v>94</v>
      </c>
      <c r="AP393" t="s">
        <v>119</v>
      </c>
      <c r="AQ393" t="s">
        <v>74</v>
      </c>
      <c r="AR393" t="s">
        <v>95</v>
      </c>
      <c r="AS393" t="s">
        <v>96</v>
      </c>
      <c r="AT393" t="s">
        <v>6107</v>
      </c>
      <c r="AU393">
        <v>2009</v>
      </c>
      <c r="AV393">
        <v>32</v>
      </c>
      <c r="AW393">
        <v>3</v>
      </c>
      <c r="AX393" t="s">
        <v>74</v>
      </c>
      <c r="AY393" t="s">
        <v>74</v>
      </c>
      <c r="AZ393" t="s">
        <v>74</v>
      </c>
      <c r="BA393" t="s">
        <v>74</v>
      </c>
      <c r="BB393">
        <v>427</v>
      </c>
      <c r="BC393">
        <v>433</v>
      </c>
      <c r="BD393" t="s">
        <v>74</v>
      </c>
      <c r="BE393" t="s">
        <v>7547</v>
      </c>
      <c r="BF393" t="str">
        <f>HYPERLINK("http://dx.doi.org/10.1007/s00300-008-0535-8","http://dx.doi.org/10.1007/s00300-008-0535-8")</f>
        <v>http://dx.doi.org/10.1007/s00300-008-0535-8</v>
      </c>
      <c r="BG393" t="s">
        <v>74</v>
      </c>
      <c r="BH393" t="s">
        <v>74</v>
      </c>
      <c r="BI393">
        <v>7</v>
      </c>
      <c r="BJ393" t="s">
        <v>99</v>
      </c>
      <c r="BK393" t="s">
        <v>100</v>
      </c>
      <c r="BL393" t="s">
        <v>101</v>
      </c>
      <c r="BM393" t="s">
        <v>7414</v>
      </c>
      <c r="BN393" t="s">
        <v>74</v>
      </c>
      <c r="BO393" t="s">
        <v>74</v>
      </c>
      <c r="BP393" t="s">
        <v>74</v>
      </c>
      <c r="BQ393" t="s">
        <v>74</v>
      </c>
      <c r="BR393" t="s">
        <v>103</v>
      </c>
      <c r="BS393" t="s">
        <v>7548</v>
      </c>
      <c r="BT393" t="str">
        <f>HYPERLINK("https%3A%2F%2Fwww.webofscience.com%2Fwos%2Fwoscc%2Ffull-record%2FWOS:000263389000011","View Full Record in Web of Science")</f>
        <v>View Full Record in Web of Science</v>
      </c>
    </row>
    <row r="394" spans="1:72" x14ac:dyDescent="0.15">
      <c r="A394" t="s">
        <v>72</v>
      </c>
      <c r="B394" t="s">
        <v>7549</v>
      </c>
      <c r="C394" t="s">
        <v>74</v>
      </c>
      <c r="D394" t="s">
        <v>74</v>
      </c>
      <c r="E394" t="s">
        <v>74</v>
      </c>
      <c r="F394" t="s">
        <v>7550</v>
      </c>
      <c r="G394" t="s">
        <v>74</v>
      </c>
      <c r="H394" t="s">
        <v>74</v>
      </c>
      <c r="I394" t="s">
        <v>7551</v>
      </c>
      <c r="J394" t="s">
        <v>77</v>
      </c>
      <c r="K394" t="s">
        <v>74</v>
      </c>
      <c r="L394" t="s">
        <v>74</v>
      </c>
      <c r="M394" t="s">
        <v>78</v>
      </c>
      <c r="N394" t="s">
        <v>79</v>
      </c>
      <c r="O394" t="s">
        <v>74</v>
      </c>
      <c r="P394" t="s">
        <v>74</v>
      </c>
      <c r="Q394" t="s">
        <v>74</v>
      </c>
      <c r="R394" t="s">
        <v>74</v>
      </c>
      <c r="S394" t="s">
        <v>74</v>
      </c>
      <c r="T394" t="s">
        <v>7552</v>
      </c>
      <c r="U394" t="s">
        <v>7553</v>
      </c>
      <c r="V394" t="s">
        <v>7554</v>
      </c>
      <c r="W394" t="s">
        <v>7555</v>
      </c>
      <c r="X394" t="s">
        <v>7556</v>
      </c>
      <c r="Y394" t="s">
        <v>7557</v>
      </c>
      <c r="Z394" t="s">
        <v>7558</v>
      </c>
      <c r="AA394" t="s">
        <v>74</v>
      </c>
      <c r="AB394" t="s">
        <v>7559</v>
      </c>
      <c r="AC394" t="s">
        <v>7560</v>
      </c>
      <c r="AD394" t="s">
        <v>7561</v>
      </c>
      <c r="AE394" t="s">
        <v>7562</v>
      </c>
      <c r="AF394" t="s">
        <v>74</v>
      </c>
      <c r="AG394">
        <v>43</v>
      </c>
      <c r="AH394">
        <v>26</v>
      </c>
      <c r="AI394">
        <v>30</v>
      </c>
      <c r="AJ394">
        <v>0</v>
      </c>
      <c r="AK394">
        <v>92</v>
      </c>
      <c r="AL394" t="s">
        <v>91</v>
      </c>
      <c r="AM394" t="s">
        <v>92</v>
      </c>
      <c r="AN394" t="s">
        <v>137</v>
      </c>
      <c r="AO394" t="s">
        <v>94</v>
      </c>
      <c r="AP394" t="s">
        <v>119</v>
      </c>
      <c r="AQ394" t="s">
        <v>74</v>
      </c>
      <c r="AR394" t="s">
        <v>95</v>
      </c>
      <c r="AS394" t="s">
        <v>96</v>
      </c>
      <c r="AT394" t="s">
        <v>6107</v>
      </c>
      <c r="AU394">
        <v>2009</v>
      </c>
      <c r="AV394">
        <v>32</v>
      </c>
      <c r="AW394">
        <v>3</v>
      </c>
      <c r="AX394" t="s">
        <v>74</v>
      </c>
      <c r="AY394" t="s">
        <v>74</v>
      </c>
      <c r="AZ394" t="s">
        <v>74</v>
      </c>
      <c r="BA394" t="s">
        <v>74</v>
      </c>
      <c r="BB394">
        <v>435</v>
      </c>
      <c r="BC394">
        <v>441</v>
      </c>
      <c r="BD394" t="s">
        <v>74</v>
      </c>
      <c r="BE394" t="s">
        <v>7563</v>
      </c>
      <c r="BF394" t="str">
        <f>HYPERLINK("http://dx.doi.org/10.1007/s00300-008-0536-7","http://dx.doi.org/10.1007/s00300-008-0536-7")</f>
        <v>http://dx.doi.org/10.1007/s00300-008-0536-7</v>
      </c>
      <c r="BG394" t="s">
        <v>74</v>
      </c>
      <c r="BH394" t="s">
        <v>74</v>
      </c>
      <c r="BI394">
        <v>7</v>
      </c>
      <c r="BJ394" t="s">
        <v>99</v>
      </c>
      <c r="BK394" t="s">
        <v>100</v>
      </c>
      <c r="BL394" t="s">
        <v>101</v>
      </c>
      <c r="BM394" t="s">
        <v>7414</v>
      </c>
      <c r="BN394" t="s">
        <v>74</v>
      </c>
      <c r="BO394" t="s">
        <v>74</v>
      </c>
      <c r="BP394" t="s">
        <v>74</v>
      </c>
      <c r="BQ394" t="s">
        <v>74</v>
      </c>
      <c r="BR394" t="s">
        <v>103</v>
      </c>
      <c r="BS394" t="s">
        <v>7564</v>
      </c>
      <c r="BT394" t="str">
        <f>HYPERLINK("https%3A%2F%2Fwww.webofscience.com%2Fwos%2Fwoscc%2Ffull-record%2FWOS:000263389000012","View Full Record in Web of Science")</f>
        <v>View Full Record in Web of Science</v>
      </c>
    </row>
    <row r="395" spans="1:72" x14ac:dyDescent="0.15">
      <c r="A395" t="s">
        <v>72</v>
      </c>
      <c r="B395" t="s">
        <v>7565</v>
      </c>
      <c r="C395" t="s">
        <v>74</v>
      </c>
      <c r="D395" t="s">
        <v>74</v>
      </c>
      <c r="E395" t="s">
        <v>74</v>
      </c>
      <c r="F395" t="s">
        <v>7566</v>
      </c>
      <c r="G395" t="s">
        <v>74</v>
      </c>
      <c r="H395" t="s">
        <v>74</v>
      </c>
      <c r="I395" t="s">
        <v>7567</v>
      </c>
      <c r="J395" t="s">
        <v>77</v>
      </c>
      <c r="K395" t="s">
        <v>74</v>
      </c>
      <c r="L395" t="s">
        <v>74</v>
      </c>
      <c r="M395" t="s">
        <v>78</v>
      </c>
      <c r="N395" t="s">
        <v>79</v>
      </c>
      <c r="O395" t="s">
        <v>74</v>
      </c>
      <c r="P395" t="s">
        <v>74</v>
      </c>
      <c r="Q395" t="s">
        <v>74</v>
      </c>
      <c r="R395" t="s">
        <v>74</v>
      </c>
      <c r="S395" t="s">
        <v>74</v>
      </c>
      <c r="T395" t="s">
        <v>7568</v>
      </c>
      <c r="U395" t="s">
        <v>7569</v>
      </c>
      <c r="V395" t="s">
        <v>7570</v>
      </c>
      <c r="W395" t="s">
        <v>7571</v>
      </c>
      <c r="X395" t="s">
        <v>7572</v>
      </c>
      <c r="Y395" t="s">
        <v>5924</v>
      </c>
      <c r="Z395" t="s">
        <v>5925</v>
      </c>
      <c r="AA395" t="s">
        <v>74</v>
      </c>
      <c r="AB395" t="s">
        <v>74</v>
      </c>
      <c r="AC395" t="s">
        <v>7573</v>
      </c>
      <c r="AD395" t="s">
        <v>7574</v>
      </c>
      <c r="AE395" t="s">
        <v>7575</v>
      </c>
      <c r="AF395" t="s">
        <v>74</v>
      </c>
      <c r="AG395">
        <v>61</v>
      </c>
      <c r="AH395">
        <v>14</v>
      </c>
      <c r="AI395">
        <v>17</v>
      </c>
      <c r="AJ395">
        <v>0</v>
      </c>
      <c r="AK395">
        <v>15</v>
      </c>
      <c r="AL395" t="s">
        <v>91</v>
      </c>
      <c r="AM395" t="s">
        <v>92</v>
      </c>
      <c r="AN395" t="s">
        <v>93</v>
      </c>
      <c r="AO395" t="s">
        <v>94</v>
      </c>
      <c r="AP395" t="s">
        <v>119</v>
      </c>
      <c r="AQ395" t="s">
        <v>74</v>
      </c>
      <c r="AR395" t="s">
        <v>95</v>
      </c>
      <c r="AS395" t="s">
        <v>96</v>
      </c>
      <c r="AT395" t="s">
        <v>6107</v>
      </c>
      <c r="AU395">
        <v>2009</v>
      </c>
      <c r="AV395">
        <v>32</v>
      </c>
      <c r="AW395">
        <v>3</v>
      </c>
      <c r="AX395" t="s">
        <v>74</v>
      </c>
      <c r="AY395" t="s">
        <v>74</v>
      </c>
      <c r="AZ395" t="s">
        <v>74</v>
      </c>
      <c r="BA395" t="s">
        <v>74</v>
      </c>
      <c r="BB395">
        <v>443</v>
      </c>
      <c r="BC395">
        <v>452</v>
      </c>
      <c r="BD395" t="s">
        <v>74</v>
      </c>
      <c r="BE395" t="s">
        <v>7576</v>
      </c>
      <c r="BF395" t="str">
        <f>HYPERLINK("http://dx.doi.org/10.1007/s00300-008-0538-5","http://dx.doi.org/10.1007/s00300-008-0538-5")</f>
        <v>http://dx.doi.org/10.1007/s00300-008-0538-5</v>
      </c>
      <c r="BG395" t="s">
        <v>74</v>
      </c>
      <c r="BH395" t="s">
        <v>74</v>
      </c>
      <c r="BI395">
        <v>10</v>
      </c>
      <c r="BJ395" t="s">
        <v>99</v>
      </c>
      <c r="BK395" t="s">
        <v>100</v>
      </c>
      <c r="BL395" t="s">
        <v>101</v>
      </c>
      <c r="BM395" t="s">
        <v>7414</v>
      </c>
      <c r="BN395" t="s">
        <v>74</v>
      </c>
      <c r="BO395" t="s">
        <v>74</v>
      </c>
      <c r="BP395" t="s">
        <v>74</v>
      </c>
      <c r="BQ395" t="s">
        <v>74</v>
      </c>
      <c r="BR395" t="s">
        <v>103</v>
      </c>
      <c r="BS395" t="s">
        <v>7577</v>
      </c>
      <c r="BT395" t="str">
        <f>HYPERLINK("https%3A%2F%2Fwww.webofscience.com%2Fwos%2Fwoscc%2Ffull-record%2FWOS:000263389000013","View Full Record in Web of Science")</f>
        <v>View Full Record in Web of Science</v>
      </c>
    </row>
    <row r="396" spans="1:72" x14ac:dyDescent="0.15">
      <c r="A396" t="s">
        <v>72</v>
      </c>
      <c r="B396" t="s">
        <v>7578</v>
      </c>
      <c r="C396" t="s">
        <v>74</v>
      </c>
      <c r="D396" t="s">
        <v>74</v>
      </c>
      <c r="E396" t="s">
        <v>74</v>
      </c>
      <c r="F396" t="s">
        <v>7579</v>
      </c>
      <c r="G396" t="s">
        <v>74</v>
      </c>
      <c r="H396" t="s">
        <v>74</v>
      </c>
      <c r="I396" t="s">
        <v>7580</v>
      </c>
      <c r="J396" t="s">
        <v>77</v>
      </c>
      <c r="K396" t="s">
        <v>74</v>
      </c>
      <c r="L396" t="s">
        <v>74</v>
      </c>
      <c r="M396" t="s">
        <v>78</v>
      </c>
      <c r="N396" t="s">
        <v>79</v>
      </c>
      <c r="O396" t="s">
        <v>74</v>
      </c>
      <c r="P396" t="s">
        <v>74</v>
      </c>
      <c r="Q396" t="s">
        <v>74</v>
      </c>
      <c r="R396" t="s">
        <v>74</v>
      </c>
      <c r="S396" t="s">
        <v>74</v>
      </c>
      <c r="T396" t="s">
        <v>7581</v>
      </c>
      <c r="U396" t="s">
        <v>7582</v>
      </c>
      <c r="V396" t="s">
        <v>7583</v>
      </c>
      <c r="W396" t="s">
        <v>7584</v>
      </c>
      <c r="X396" t="s">
        <v>7585</v>
      </c>
      <c r="Y396" t="s">
        <v>7586</v>
      </c>
      <c r="Z396" t="s">
        <v>7587</v>
      </c>
      <c r="AA396" t="s">
        <v>74</v>
      </c>
      <c r="AB396" t="s">
        <v>74</v>
      </c>
      <c r="AC396" t="s">
        <v>7588</v>
      </c>
      <c r="AD396" t="s">
        <v>7589</v>
      </c>
      <c r="AE396" t="s">
        <v>7590</v>
      </c>
      <c r="AF396" t="s">
        <v>74</v>
      </c>
      <c r="AG396">
        <v>63</v>
      </c>
      <c r="AH396">
        <v>4</v>
      </c>
      <c r="AI396">
        <v>4</v>
      </c>
      <c r="AJ396">
        <v>1</v>
      </c>
      <c r="AK396">
        <v>13</v>
      </c>
      <c r="AL396" t="s">
        <v>91</v>
      </c>
      <c r="AM396" t="s">
        <v>92</v>
      </c>
      <c r="AN396" t="s">
        <v>137</v>
      </c>
      <c r="AO396" t="s">
        <v>94</v>
      </c>
      <c r="AP396" t="s">
        <v>119</v>
      </c>
      <c r="AQ396" t="s">
        <v>74</v>
      </c>
      <c r="AR396" t="s">
        <v>95</v>
      </c>
      <c r="AS396" t="s">
        <v>96</v>
      </c>
      <c r="AT396" t="s">
        <v>6107</v>
      </c>
      <c r="AU396">
        <v>2009</v>
      </c>
      <c r="AV396">
        <v>32</v>
      </c>
      <c r="AW396">
        <v>3</v>
      </c>
      <c r="AX396" t="s">
        <v>74</v>
      </c>
      <c r="AY396" t="s">
        <v>74</v>
      </c>
      <c r="AZ396" t="s">
        <v>74</v>
      </c>
      <c r="BA396" t="s">
        <v>74</v>
      </c>
      <c r="BB396">
        <v>493</v>
      </c>
      <c r="BC396">
        <v>501</v>
      </c>
      <c r="BD396" t="s">
        <v>74</v>
      </c>
      <c r="BE396" t="s">
        <v>7591</v>
      </c>
      <c r="BF396" t="str">
        <f>HYPERLINK("http://dx.doi.org/10.1007/s00300-008-0545-6","http://dx.doi.org/10.1007/s00300-008-0545-6")</f>
        <v>http://dx.doi.org/10.1007/s00300-008-0545-6</v>
      </c>
      <c r="BG396" t="s">
        <v>74</v>
      </c>
      <c r="BH396" t="s">
        <v>74</v>
      </c>
      <c r="BI396">
        <v>9</v>
      </c>
      <c r="BJ396" t="s">
        <v>99</v>
      </c>
      <c r="BK396" t="s">
        <v>100</v>
      </c>
      <c r="BL396" t="s">
        <v>101</v>
      </c>
      <c r="BM396" t="s">
        <v>7414</v>
      </c>
      <c r="BN396" t="s">
        <v>74</v>
      </c>
      <c r="BO396" t="s">
        <v>74</v>
      </c>
      <c r="BP396" t="s">
        <v>74</v>
      </c>
      <c r="BQ396" t="s">
        <v>74</v>
      </c>
      <c r="BR396" t="s">
        <v>103</v>
      </c>
      <c r="BS396" t="s">
        <v>7592</v>
      </c>
      <c r="BT396" t="str">
        <f>HYPERLINK("https%3A%2F%2Fwww.webofscience.com%2Fwos%2Fwoscc%2Ffull-record%2FWOS:000263389000018","View Full Record in Web of Science")</f>
        <v>View Full Record in Web of Science</v>
      </c>
    </row>
    <row r="397" spans="1:72" x14ac:dyDescent="0.15">
      <c r="A397" t="s">
        <v>72</v>
      </c>
      <c r="B397" t="s">
        <v>7593</v>
      </c>
      <c r="C397" t="s">
        <v>74</v>
      </c>
      <c r="D397" t="s">
        <v>74</v>
      </c>
      <c r="E397" t="s">
        <v>74</v>
      </c>
      <c r="F397" t="s">
        <v>7594</v>
      </c>
      <c r="G397" t="s">
        <v>74</v>
      </c>
      <c r="H397" t="s">
        <v>74</v>
      </c>
      <c r="I397" t="s">
        <v>7595</v>
      </c>
      <c r="J397" t="s">
        <v>77</v>
      </c>
      <c r="K397" t="s">
        <v>74</v>
      </c>
      <c r="L397" t="s">
        <v>74</v>
      </c>
      <c r="M397" t="s">
        <v>78</v>
      </c>
      <c r="N397" t="s">
        <v>79</v>
      </c>
      <c r="O397" t="s">
        <v>74</v>
      </c>
      <c r="P397" t="s">
        <v>74</v>
      </c>
      <c r="Q397" t="s">
        <v>74</v>
      </c>
      <c r="R397" t="s">
        <v>74</v>
      </c>
      <c r="S397" t="s">
        <v>74</v>
      </c>
      <c r="T397" t="s">
        <v>74</v>
      </c>
      <c r="U397" t="s">
        <v>7596</v>
      </c>
      <c r="V397" t="s">
        <v>7597</v>
      </c>
      <c r="W397" t="s">
        <v>7598</v>
      </c>
      <c r="X397" t="s">
        <v>7599</v>
      </c>
      <c r="Y397" t="s">
        <v>7600</v>
      </c>
      <c r="Z397" t="s">
        <v>7601</v>
      </c>
      <c r="AA397" t="s">
        <v>7602</v>
      </c>
      <c r="AB397" t="s">
        <v>7603</v>
      </c>
      <c r="AC397" t="s">
        <v>7604</v>
      </c>
      <c r="AD397" t="s">
        <v>7604</v>
      </c>
      <c r="AE397" t="s">
        <v>7605</v>
      </c>
      <c r="AF397" t="s">
        <v>74</v>
      </c>
      <c r="AG397">
        <v>18</v>
      </c>
      <c r="AH397">
        <v>7</v>
      </c>
      <c r="AI397">
        <v>7</v>
      </c>
      <c r="AJ397">
        <v>0</v>
      </c>
      <c r="AK397">
        <v>18</v>
      </c>
      <c r="AL397" t="s">
        <v>91</v>
      </c>
      <c r="AM397" t="s">
        <v>92</v>
      </c>
      <c r="AN397" t="s">
        <v>93</v>
      </c>
      <c r="AO397" t="s">
        <v>94</v>
      </c>
      <c r="AP397" t="s">
        <v>74</v>
      </c>
      <c r="AQ397" t="s">
        <v>74</v>
      </c>
      <c r="AR397" t="s">
        <v>95</v>
      </c>
      <c r="AS397" t="s">
        <v>96</v>
      </c>
      <c r="AT397" t="s">
        <v>6107</v>
      </c>
      <c r="AU397">
        <v>2009</v>
      </c>
      <c r="AV397">
        <v>32</v>
      </c>
      <c r="AW397">
        <v>3</v>
      </c>
      <c r="AX397" t="s">
        <v>74</v>
      </c>
      <c r="AY397" t="s">
        <v>74</v>
      </c>
      <c r="AZ397" t="s">
        <v>74</v>
      </c>
      <c r="BA397" t="s">
        <v>74</v>
      </c>
      <c r="BB397">
        <v>503</v>
      </c>
      <c r="BC397">
        <v>507</v>
      </c>
      <c r="BD397" t="s">
        <v>74</v>
      </c>
      <c r="BE397" t="s">
        <v>7606</v>
      </c>
      <c r="BF397" t="str">
        <f>HYPERLINK("http://dx.doi.org/10.1007/s00300-008-0569-y","http://dx.doi.org/10.1007/s00300-008-0569-y")</f>
        <v>http://dx.doi.org/10.1007/s00300-008-0569-y</v>
      </c>
      <c r="BG397" t="s">
        <v>74</v>
      </c>
      <c r="BH397" t="s">
        <v>74</v>
      </c>
      <c r="BI397">
        <v>5</v>
      </c>
      <c r="BJ397" t="s">
        <v>99</v>
      </c>
      <c r="BK397" t="s">
        <v>100</v>
      </c>
      <c r="BL397" t="s">
        <v>101</v>
      </c>
      <c r="BM397" t="s">
        <v>7414</v>
      </c>
      <c r="BN397" t="s">
        <v>74</v>
      </c>
      <c r="BO397" t="s">
        <v>1106</v>
      </c>
      <c r="BP397" t="s">
        <v>74</v>
      </c>
      <c r="BQ397" t="s">
        <v>74</v>
      </c>
      <c r="BR397" t="s">
        <v>103</v>
      </c>
      <c r="BS397" t="s">
        <v>7607</v>
      </c>
      <c r="BT397" t="str">
        <f>HYPERLINK("https%3A%2F%2Fwww.webofscience.com%2Fwos%2Fwoscc%2Ffull-record%2FWOS:000263389000019","View Full Record in Web of Science")</f>
        <v>View Full Record in Web of Science</v>
      </c>
    </row>
    <row r="398" spans="1:72" x14ac:dyDescent="0.15">
      <c r="A398" t="s">
        <v>72</v>
      </c>
      <c r="B398" t="s">
        <v>7608</v>
      </c>
      <c r="C398" t="s">
        <v>74</v>
      </c>
      <c r="D398" t="s">
        <v>74</v>
      </c>
      <c r="E398" t="s">
        <v>74</v>
      </c>
      <c r="F398" t="s">
        <v>7609</v>
      </c>
      <c r="G398" t="s">
        <v>74</v>
      </c>
      <c r="H398" t="s">
        <v>74</v>
      </c>
      <c r="I398" t="s">
        <v>7610</v>
      </c>
      <c r="J398" t="s">
        <v>77</v>
      </c>
      <c r="K398" t="s">
        <v>74</v>
      </c>
      <c r="L398" t="s">
        <v>74</v>
      </c>
      <c r="M398" t="s">
        <v>78</v>
      </c>
      <c r="N398" t="s">
        <v>79</v>
      </c>
      <c r="O398" t="s">
        <v>74</v>
      </c>
      <c r="P398" t="s">
        <v>74</v>
      </c>
      <c r="Q398" t="s">
        <v>74</v>
      </c>
      <c r="R398" t="s">
        <v>74</v>
      </c>
      <c r="S398" t="s">
        <v>74</v>
      </c>
      <c r="T398" t="s">
        <v>74</v>
      </c>
      <c r="U398" t="s">
        <v>7611</v>
      </c>
      <c r="V398" t="s">
        <v>7612</v>
      </c>
      <c r="W398" t="s">
        <v>7613</v>
      </c>
      <c r="X398" t="s">
        <v>7614</v>
      </c>
      <c r="Y398" t="s">
        <v>7615</v>
      </c>
      <c r="Z398" t="s">
        <v>7616</v>
      </c>
      <c r="AA398" t="s">
        <v>7617</v>
      </c>
      <c r="AB398" t="s">
        <v>7618</v>
      </c>
      <c r="AC398" t="s">
        <v>7619</v>
      </c>
      <c r="AD398" t="s">
        <v>7620</v>
      </c>
      <c r="AE398" t="s">
        <v>7621</v>
      </c>
      <c r="AF398" t="s">
        <v>74</v>
      </c>
      <c r="AG398">
        <v>9</v>
      </c>
      <c r="AH398">
        <v>9</v>
      </c>
      <c r="AI398">
        <v>9</v>
      </c>
      <c r="AJ398">
        <v>0</v>
      </c>
      <c r="AK398">
        <v>4</v>
      </c>
      <c r="AL398" t="s">
        <v>91</v>
      </c>
      <c r="AM398" t="s">
        <v>92</v>
      </c>
      <c r="AN398" t="s">
        <v>93</v>
      </c>
      <c r="AO398" t="s">
        <v>94</v>
      </c>
      <c r="AP398" t="s">
        <v>74</v>
      </c>
      <c r="AQ398" t="s">
        <v>74</v>
      </c>
      <c r="AR398" t="s">
        <v>95</v>
      </c>
      <c r="AS398" t="s">
        <v>96</v>
      </c>
      <c r="AT398" t="s">
        <v>6107</v>
      </c>
      <c r="AU398">
        <v>2009</v>
      </c>
      <c r="AV398">
        <v>32</v>
      </c>
      <c r="AW398">
        <v>3</v>
      </c>
      <c r="AX398" t="s">
        <v>74</v>
      </c>
      <c r="AY398" t="s">
        <v>74</v>
      </c>
      <c r="AZ398" t="s">
        <v>74</v>
      </c>
      <c r="BA398" t="s">
        <v>74</v>
      </c>
      <c r="BB398">
        <v>509</v>
      </c>
      <c r="BC398">
        <v>511</v>
      </c>
      <c r="BD398" t="s">
        <v>74</v>
      </c>
      <c r="BE398" t="s">
        <v>7622</v>
      </c>
      <c r="BF398" t="str">
        <f>HYPERLINK("http://dx.doi.org/10.1007/s00300-008-0572-3","http://dx.doi.org/10.1007/s00300-008-0572-3")</f>
        <v>http://dx.doi.org/10.1007/s00300-008-0572-3</v>
      </c>
      <c r="BG398" t="s">
        <v>74</v>
      </c>
      <c r="BH398" t="s">
        <v>74</v>
      </c>
      <c r="BI398">
        <v>3</v>
      </c>
      <c r="BJ398" t="s">
        <v>99</v>
      </c>
      <c r="BK398" t="s">
        <v>100</v>
      </c>
      <c r="BL398" t="s">
        <v>101</v>
      </c>
      <c r="BM398" t="s">
        <v>7414</v>
      </c>
      <c r="BN398" t="s">
        <v>74</v>
      </c>
      <c r="BO398" t="s">
        <v>74</v>
      </c>
      <c r="BP398" t="s">
        <v>74</v>
      </c>
      <c r="BQ398" t="s">
        <v>74</v>
      </c>
      <c r="BR398" t="s">
        <v>103</v>
      </c>
      <c r="BS398" t="s">
        <v>7623</v>
      </c>
      <c r="BT398" t="str">
        <f>HYPERLINK("https%3A%2F%2Fwww.webofscience.com%2Fwos%2Fwoscc%2Ffull-record%2FWOS:000263389000020","View Full Record in Web of Science")</f>
        <v>View Full Record in Web of Science</v>
      </c>
    </row>
    <row r="399" spans="1:72" x14ac:dyDescent="0.15">
      <c r="A399" t="s">
        <v>72</v>
      </c>
      <c r="B399" t="s">
        <v>7624</v>
      </c>
      <c r="C399" t="s">
        <v>74</v>
      </c>
      <c r="D399" t="s">
        <v>74</v>
      </c>
      <c r="E399" t="s">
        <v>74</v>
      </c>
      <c r="F399" t="s">
        <v>7625</v>
      </c>
      <c r="G399" t="s">
        <v>74</v>
      </c>
      <c r="H399" t="s">
        <v>74</v>
      </c>
      <c r="I399" t="s">
        <v>7626</v>
      </c>
      <c r="J399" t="s">
        <v>7627</v>
      </c>
      <c r="K399" t="s">
        <v>74</v>
      </c>
      <c r="L399" t="s">
        <v>74</v>
      </c>
      <c r="M399" t="s">
        <v>78</v>
      </c>
      <c r="N399" t="s">
        <v>934</v>
      </c>
      <c r="O399" t="s">
        <v>74</v>
      </c>
      <c r="P399" t="s">
        <v>74</v>
      </c>
      <c r="Q399" t="s">
        <v>74</v>
      </c>
      <c r="R399" t="s">
        <v>74</v>
      </c>
      <c r="S399" t="s">
        <v>74</v>
      </c>
      <c r="T399" t="s">
        <v>74</v>
      </c>
      <c r="U399" t="s">
        <v>74</v>
      </c>
      <c r="V399" t="s">
        <v>74</v>
      </c>
      <c r="W399" t="s">
        <v>7628</v>
      </c>
      <c r="X399" t="s">
        <v>7629</v>
      </c>
      <c r="Y399" t="s">
        <v>7630</v>
      </c>
      <c r="Z399" t="s">
        <v>74</v>
      </c>
      <c r="AA399" t="s">
        <v>7631</v>
      </c>
      <c r="AB399" t="s">
        <v>7632</v>
      </c>
      <c r="AC399" t="s">
        <v>74</v>
      </c>
      <c r="AD399" t="s">
        <v>74</v>
      </c>
      <c r="AE399" t="s">
        <v>74</v>
      </c>
      <c r="AF399" t="s">
        <v>74</v>
      </c>
      <c r="AG399">
        <v>22</v>
      </c>
      <c r="AH399">
        <v>8</v>
      </c>
      <c r="AI399">
        <v>9</v>
      </c>
      <c r="AJ399">
        <v>0</v>
      </c>
      <c r="AK399">
        <v>0</v>
      </c>
      <c r="AL399" t="s">
        <v>7633</v>
      </c>
      <c r="AM399" t="s">
        <v>7634</v>
      </c>
      <c r="AN399" t="s">
        <v>7635</v>
      </c>
      <c r="AO399" t="s">
        <v>7636</v>
      </c>
      <c r="AP399" t="s">
        <v>74</v>
      </c>
      <c r="AQ399" t="s">
        <v>74</v>
      </c>
      <c r="AR399" t="s">
        <v>7637</v>
      </c>
      <c r="AS399" t="s">
        <v>7638</v>
      </c>
      <c r="AT399" t="s">
        <v>6107</v>
      </c>
      <c r="AU399">
        <v>2009</v>
      </c>
      <c r="AV399">
        <v>20</v>
      </c>
      <c r="AW399">
        <v>1</v>
      </c>
      <c r="AX399" t="s">
        <v>74</v>
      </c>
      <c r="AY399" t="s">
        <v>74</v>
      </c>
      <c r="AZ399" t="s">
        <v>74</v>
      </c>
      <c r="BA399" t="s">
        <v>74</v>
      </c>
      <c r="BB399">
        <v>9</v>
      </c>
      <c r="BC399">
        <v>16</v>
      </c>
      <c r="BD399" t="s">
        <v>74</v>
      </c>
      <c r="BE399" t="s">
        <v>74</v>
      </c>
      <c r="BF399" t="s">
        <v>74</v>
      </c>
      <c r="BG399" t="s">
        <v>74</v>
      </c>
      <c r="BH399" t="s">
        <v>74</v>
      </c>
      <c r="BI399">
        <v>8</v>
      </c>
      <c r="BJ399" t="s">
        <v>7639</v>
      </c>
      <c r="BK399" t="s">
        <v>2781</v>
      </c>
      <c r="BL399" t="s">
        <v>7640</v>
      </c>
      <c r="BM399" t="s">
        <v>7641</v>
      </c>
      <c r="BN399" t="s">
        <v>74</v>
      </c>
      <c r="BO399" t="s">
        <v>74</v>
      </c>
      <c r="BP399" t="s">
        <v>74</v>
      </c>
      <c r="BQ399" t="s">
        <v>74</v>
      </c>
      <c r="BR399" t="s">
        <v>103</v>
      </c>
      <c r="BS399" t="s">
        <v>7642</v>
      </c>
      <c r="BT399" t="str">
        <f>HYPERLINK("https%3A%2F%2Fwww.webofscience.com%2Fwos%2Fwoscc%2Ffull-record%2FWOS:000417798000002","View Full Record in Web of Science")</f>
        <v>View Full Record in Web of Science</v>
      </c>
    </row>
    <row r="400" spans="1:72" x14ac:dyDescent="0.15">
      <c r="A400" t="s">
        <v>72</v>
      </c>
      <c r="B400" t="s">
        <v>7643</v>
      </c>
      <c r="C400" t="s">
        <v>74</v>
      </c>
      <c r="D400" t="s">
        <v>74</v>
      </c>
      <c r="E400" t="s">
        <v>74</v>
      </c>
      <c r="F400" t="s">
        <v>7644</v>
      </c>
      <c r="G400" t="s">
        <v>74</v>
      </c>
      <c r="H400" t="s">
        <v>74</v>
      </c>
      <c r="I400" t="s">
        <v>7645</v>
      </c>
      <c r="J400" t="s">
        <v>7646</v>
      </c>
      <c r="K400" t="s">
        <v>74</v>
      </c>
      <c r="L400" t="s">
        <v>74</v>
      </c>
      <c r="M400" t="s">
        <v>78</v>
      </c>
      <c r="N400" t="s">
        <v>79</v>
      </c>
      <c r="O400" t="s">
        <v>74</v>
      </c>
      <c r="P400" t="s">
        <v>74</v>
      </c>
      <c r="Q400" t="s">
        <v>74</v>
      </c>
      <c r="R400" t="s">
        <v>74</v>
      </c>
      <c r="S400" t="s">
        <v>74</v>
      </c>
      <c r="T400" t="s">
        <v>7647</v>
      </c>
      <c r="U400" t="s">
        <v>7648</v>
      </c>
      <c r="V400" t="s">
        <v>7649</v>
      </c>
      <c r="W400" t="s">
        <v>7650</v>
      </c>
      <c r="X400" t="s">
        <v>1713</v>
      </c>
      <c r="Y400" t="s">
        <v>7651</v>
      </c>
      <c r="Z400" t="s">
        <v>7652</v>
      </c>
      <c r="AA400" t="s">
        <v>7653</v>
      </c>
      <c r="AB400" t="s">
        <v>7654</v>
      </c>
      <c r="AC400" t="s">
        <v>7655</v>
      </c>
      <c r="AD400" t="s">
        <v>1490</v>
      </c>
      <c r="AE400" t="s">
        <v>74</v>
      </c>
      <c r="AF400" t="s">
        <v>74</v>
      </c>
      <c r="AG400">
        <v>76</v>
      </c>
      <c r="AH400">
        <v>49</v>
      </c>
      <c r="AI400">
        <v>52</v>
      </c>
      <c r="AJ400">
        <v>0</v>
      </c>
      <c r="AK400">
        <v>5</v>
      </c>
      <c r="AL400" t="s">
        <v>3728</v>
      </c>
      <c r="AM400" t="s">
        <v>92</v>
      </c>
      <c r="AN400" t="s">
        <v>3729</v>
      </c>
      <c r="AO400" t="s">
        <v>7656</v>
      </c>
      <c r="AP400" t="s">
        <v>7657</v>
      </c>
      <c r="AQ400" t="s">
        <v>74</v>
      </c>
      <c r="AR400" t="s">
        <v>7658</v>
      </c>
      <c r="AS400" t="s">
        <v>7659</v>
      </c>
      <c r="AT400" t="s">
        <v>6107</v>
      </c>
      <c r="AU400">
        <v>2009</v>
      </c>
      <c r="AV400">
        <v>71</v>
      </c>
      <c r="AW400">
        <v>2</v>
      </c>
      <c r="AX400" t="s">
        <v>74</v>
      </c>
      <c r="AY400" t="s">
        <v>74</v>
      </c>
      <c r="AZ400" t="s">
        <v>74</v>
      </c>
      <c r="BA400" t="s">
        <v>74</v>
      </c>
      <c r="BB400">
        <v>190</v>
      </c>
      <c r="BC400">
        <v>200</v>
      </c>
      <c r="BD400" t="s">
        <v>74</v>
      </c>
      <c r="BE400" t="s">
        <v>7660</v>
      </c>
      <c r="BF400" t="str">
        <f>HYPERLINK("http://dx.doi.org/10.1016/j.yqres.2008.11.005","http://dx.doi.org/10.1016/j.yqres.2008.11.005")</f>
        <v>http://dx.doi.org/10.1016/j.yqres.2008.11.005</v>
      </c>
      <c r="BG400" t="s">
        <v>74</v>
      </c>
      <c r="BH400" t="s">
        <v>74</v>
      </c>
      <c r="BI400">
        <v>11</v>
      </c>
      <c r="BJ400" t="s">
        <v>312</v>
      </c>
      <c r="BK400" t="s">
        <v>100</v>
      </c>
      <c r="BL400" t="s">
        <v>313</v>
      </c>
      <c r="BM400" t="s">
        <v>7661</v>
      </c>
      <c r="BN400" t="s">
        <v>74</v>
      </c>
      <c r="BO400" t="s">
        <v>74</v>
      </c>
      <c r="BP400" t="s">
        <v>74</v>
      </c>
      <c r="BQ400" t="s">
        <v>74</v>
      </c>
      <c r="BR400" t="s">
        <v>103</v>
      </c>
      <c r="BS400" t="s">
        <v>7662</v>
      </c>
      <c r="BT400" t="str">
        <f>HYPERLINK("https%3A%2F%2Fwww.webofscience.com%2Fwos%2Fwoscc%2Ffull-record%2FWOS:000263883500011","View Full Record in Web of Science")</f>
        <v>View Full Record in Web of Science</v>
      </c>
    </row>
    <row r="401" spans="1:72" x14ac:dyDescent="0.15">
      <c r="A401" t="s">
        <v>72</v>
      </c>
      <c r="B401" t="s">
        <v>7663</v>
      </c>
      <c r="C401" t="s">
        <v>74</v>
      </c>
      <c r="D401" t="s">
        <v>74</v>
      </c>
      <c r="E401" t="s">
        <v>74</v>
      </c>
      <c r="F401" t="s">
        <v>7664</v>
      </c>
      <c r="G401" t="s">
        <v>74</v>
      </c>
      <c r="H401" t="s">
        <v>74</v>
      </c>
      <c r="I401" t="s">
        <v>7665</v>
      </c>
      <c r="J401" t="s">
        <v>292</v>
      </c>
      <c r="K401" t="s">
        <v>74</v>
      </c>
      <c r="L401" t="s">
        <v>74</v>
      </c>
      <c r="M401" t="s">
        <v>78</v>
      </c>
      <c r="N401" t="s">
        <v>79</v>
      </c>
      <c r="O401" t="s">
        <v>74</v>
      </c>
      <c r="P401" t="s">
        <v>74</v>
      </c>
      <c r="Q401" t="s">
        <v>74</v>
      </c>
      <c r="R401" t="s">
        <v>74</v>
      </c>
      <c r="S401" t="s">
        <v>74</v>
      </c>
      <c r="T401" t="s">
        <v>74</v>
      </c>
      <c r="U401" t="s">
        <v>7666</v>
      </c>
      <c r="V401" t="s">
        <v>7667</v>
      </c>
      <c r="W401" t="s">
        <v>7668</v>
      </c>
      <c r="X401" t="s">
        <v>7669</v>
      </c>
      <c r="Y401" t="s">
        <v>7670</v>
      </c>
      <c r="Z401" t="s">
        <v>7671</v>
      </c>
      <c r="AA401" t="s">
        <v>7672</v>
      </c>
      <c r="AB401" t="s">
        <v>7673</v>
      </c>
      <c r="AC401" t="s">
        <v>7674</v>
      </c>
      <c r="AD401" t="s">
        <v>7675</v>
      </c>
      <c r="AE401" t="s">
        <v>7676</v>
      </c>
      <c r="AF401" t="s">
        <v>74</v>
      </c>
      <c r="AG401">
        <v>47</v>
      </c>
      <c r="AH401">
        <v>43</v>
      </c>
      <c r="AI401">
        <v>45</v>
      </c>
      <c r="AJ401">
        <v>0</v>
      </c>
      <c r="AK401">
        <v>40</v>
      </c>
      <c r="AL401" t="s">
        <v>303</v>
      </c>
      <c r="AM401" t="s">
        <v>304</v>
      </c>
      <c r="AN401" t="s">
        <v>305</v>
      </c>
      <c r="AO401" t="s">
        <v>306</v>
      </c>
      <c r="AP401" t="s">
        <v>74</v>
      </c>
      <c r="AQ401" t="s">
        <v>74</v>
      </c>
      <c r="AR401" t="s">
        <v>308</v>
      </c>
      <c r="AS401" t="s">
        <v>309</v>
      </c>
      <c r="AT401" t="s">
        <v>6107</v>
      </c>
      <c r="AU401">
        <v>2009</v>
      </c>
      <c r="AV401">
        <v>28</v>
      </c>
      <c r="AW401" t="s">
        <v>1702</v>
      </c>
      <c r="AX401" t="s">
        <v>74</v>
      </c>
      <c r="AY401" t="s">
        <v>74</v>
      </c>
      <c r="AZ401" t="s">
        <v>74</v>
      </c>
      <c r="BA401" t="s">
        <v>74</v>
      </c>
      <c r="BB401">
        <v>517</v>
      </c>
      <c r="BC401">
        <v>525</v>
      </c>
      <c r="BD401" t="s">
        <v>74</v>
      </c>
      <c r="BE401" t="s">
        <v>7677</v>
      </c>
      <c r="BF401" t="str">
        <f>HYPERLINK("http://dx.doi.org/10.1016/j.quascirev.2008.11.004","http://dx.doi.org/10.1016/j.quascirev.2008.11.004")</f>
        <v>http://dx.doi.org/10.1016/j.quascirev.2008.11.004</v>
      </c>
      <c r="BG401" t="s">
        <v>74</v>
      </c>
      <c r="BH401" t="s">
        <v>74</v>
      </c>
      <c r="BI401">
        <v>9</v>
      </c>
      <c r="BJ401" t="s">
        <v>312</v>
      </c>
      <c r="BK401" t="s">
        <v>100</v>
      </c>
      <c r="BL401" t="s">
        <v>313</v>
      </c>
      <c r="BM401" t="s">
        <v>7678</v>
      </c>
      <c r="BN401" t="s">
        <v>74</v>
      </c>
      <c r="BO401" t="s">
        <v>74</v>
      </c>
      <c r="BP401" t="s">
        <v>74</v>
      </c>
      <c r="BQ401" t="s">
        <v>74</v>
      </c>
      <c r="BR401" t="s">
        <v>103</v>
      </c>
      <c r="BS401" t="s">
        <v>7679</v>
      </c>
      <c r="BT401" t="str">
        <f>HYPERLINK("https%3A%2F%2Fwww.webofscience.com%2Fwos%2Fwoscc%2Ffull-record%2FWOS:000264358800010","View Full Record in Web of Science")</f>
        <v>View Full Record in Web of Science</v>
      </c>
    </row>
    <row r="402" spans="1:72" x14ac:dyDescent="0.15">
      <c r="A402" t="s">
        <v>72</v>
      </c>
      <c r="B402" t="s">
        <v>7680</v>
      </c>
      <c r="C402" t="s">
        <v>74</v>
      </c>
      <c r="D402" t="s">
        <v>74</v>
      </c>
      <c r="E402" t="s">
        <v>74</v>
      </c>
      <c r="F402" t="s">
        <v>7681</v>
      </c>
      <c r="G402" t="s">
        <v>74</v>
      </c>
      <c r="H402" t="s">
        <v>74</v>
      </c>
      <c r="I402" t="s">
        <v>7682</v>
      </c>
      <c r="J402" t="s">
        <v>386</v>
      </c>
      <c r="K402" t="s">
        <v>74</v>
      </c>
      <c r="L402" t="s">
        <v>74</v>
      </c>
      <c r="M402" t="s">
        <v>78</v>
      </c>
      <c r="N402" t="s">
        <v>79</v>
      </c>
      <c r="O402" t="s">
        <v>74</v>
      </c>
      <c r="P402" t="s">
        <v>74</v>
      </c>
      <c r="Q402" t="s">
        <v>74</v>
      </c>
      <c r="R402" t="s">
        <v>74</v>
      </c>
      <c r="S402" t="s">
        <v>74</v>
      </c>
      <c r="T402" t="s">
        <v>74</v>
      </c>
      <c r="U402" t="s">
        <v>74</v>
      </c>
      <c r="V402" t="s">
        <v>7683</v>
      </c>
      <c r="W402" t="s">
        <v>7684</v>
      </c>
      <c r="X402" t="s">
        <v>7685</v>
      </c>
      <c r="Y402" t="s">
        <v>7686</v>
      </c>
      <c r="Z402" t="s">
        <v>74</v>
      </c>
      <c r="AA402" t="s">
        <v>7687</v>
      </c>
      <c r="AB402" t="s">
        <v>74</v>
      </c>
      <c r="AC402" t="s">
        <v>7688</v>
      </c>
      <c r="AD402" t="s">
        <v>7688</v>
      </c>
      <c r="AE402" t="s">
        <v>7689</v>
      </c>
      <c r="AF402" t="s">
        <v>74</v>
      </c>
      <c r="AG402">
        <v>8</v>
      </c>
      <c r="AH402">
        <v>1</v>
      </c>
      <c r="AI402">
        <v>2</v>
      </c>
      <c r="AJ402">
        <v>0</v>
      </c>
      <c r="AK402">
        <v>6</v>
      </c>
      <c r="AL402" t="s">
        <v>392</v>
      </c>
      <c r="AM402" t="s">
        <v>92</v>
      </c>
      <c r="AN402" t="s">
        <v>393</v>
      </c>
      <c r="AO402" t="s">
        <v>394</v>
      </c>
      <c r="AP402" t="s">
        <v>74</v>
      </c>
      <c r="AQ402" t="s">
        <v>74</v>
      </c>
      <c r="AR402" t="s">
        <v>395</v>
      </c>
      <c r="AS402" t="s">
        <v>396</v>
      </c>
      <c r="AT402" t="s">
        <v>6107</v>
      </c>
      <c r="AU402">
        <v>2009</v>
      </c>
      <c r="AV402">
        <v>34</v>
      </c>
      <c r="AW402">
        <v>3</v>
      </c>
      <c r="AX402" t="s">
        <v>74</v>
      </c>
      <c r="AY402" t="s">
        <v>74</v>
      </c>
      <c r="AZ402" t="s">
        <v>74</v>
      </c>
      <c r="BA402" t="s">
        <v>74</v>
      </c>
      <c r="BB402">
        <v>148</v>
      </c>
      <c r="BC402">
        <v>158</v>
      </c>
      <c r="BD402" t="s">
        <v>74</v>
      </c>
      <c r="BE402" t="s">
        <v>7690</v>
      </c>
      <c r="BF402" t="str">
        <f>HYPERLINK("http://dx.doi.org/10.3103/S1068373909030029","http://dx.doi.org/10.3103/S1068373909030029")</f>
        <v>http://dx.doi.org/10.3103/S1068373909030029</v>
      </c>
      <c r="BG402" t="s">
        <v>74</v>
      </c>
      <c r="BH402" t="s">
        <v>74</v>
      </c>
      <c r="BI402">
        <v>11</v>
      </c>
      <c r="BJ402" t="s">
        <v>398</v>
      </c>
      <c r="BK402" t="s">
        <v>100</v>
      </c>
      <c r="BL402" t="s">
        <v>398</v>
      </c>
      <c r="BM402" t="s">
        <v>7691</v>
      </c>
      <c r="BN402" t="s">
        <v>74</v>
      </c>
      <c r="BO402" t="s">
        <v>74</v>
      </c>
      <c r="BP402" t="s">
        <v>74</v>
      </c>
      <c r="BQ402" t="s">
        <v>74</v>
      </c>
      <c r="BR402" t="s">
        <v>103</v>
      </c>
      <c r="BS402" t="s">
        <v>7692</v>
      </c>
      <c r="BT402" t="str">
        <f>HYPERLINK("https%3A%2F%2Fwww.webofscience.com%2Fwos%2Fwoscc%2Ffull-record%2FWOS:000266395000002","View Full Record in Web of Science")</f>
        <v>View Full Record in Web of Science</v>
      </c>
    </row>
    <row r="403" spans="1:72" x14ac:dyDescent="0.15">
      <c r="A403" t="s">
        <v>72</v>
      </c>
      <c r="B403" t="s">
        <v>7693</v>
      </c>
      <c r="C403" t="s">
        <v>74</v>
      </c>
      <c r="D403" t="s">
        <v>74</v>
      </c>
      <c r="E403" t="s">
        <v>74</v>
      </c>
      <c r="F403" t="s">
        <v>7694</v>
      </c>
      <c r="G403" t="s">
        <v>74</v>
      </c>
      <c r="H403" t="s">
        <v>74</v>
      </c>
      <c r="I403" t="s">
        <v>7695</v>
      </c>
      <c r="J403" t="s">
        <v>386</v>
      </c>
      <c r="K403" t="s">
        <v>74</v>
      </c>
      <c r="L403" t="s">
        <v>74</v>
      </c>
      <c r="M403" t="s">
        <v>78</v>
      </c>
      <c r="N403" t="s">
        <v>79</v>
      </c>
      <c r="O403" t="s">
        <v>74</v>
      </c>
      <c r="P403" t="s">
        <v>74</v>
      </c>
      <c r="Q403" t="s">
        <v>74</v>
      </c>
      <c r="R403" t="s">
        <v>74</v>
      </c>
      <c r="S403" t="s">
        <v>74</v>
      </c>
      <c r="T403" t="s">
        <v>74</v>
      </c>
      <c r="U403" t="s">
        <v>74</v>
      </c>
      <c r="V403" t="s">
        <v>7696</v>
      </c>
      <c r="W403" t="s">
        <v>7697</v>
      </c>
      <c r="X403" t="s">
        <v>389</v>
      </c>
      <c r="Y403" t="s">
        <v>7698</v>
      </c>
      <c r="Z403" t="s">
        <v>74</v>
      </c>
      <c r="AA403" t="s">
        <v>7699</v>
      </c>
      <c r="AB403" t="s">
        <v>74</v>
      </c>
      <c r="AC403" t="s">
        <v>7700</v>
      </c>
      <c r="AD403" t="s">
        <v>1782</v>
      </c>
      <c r="AE403" t="s">
        <v>7701</v>
      </c>
      <c r="AF403" t="s">
        <v>74</v>
      </c>
      <c r="AG403">
        <v>19</v>
      </c>
      <c r="AH403">
        <v>4</v>
      </c>
      <c r="AI403">
        <v>4</v>
      </c>
      <c r="AJ403">
        <v>0</v>
      </c>
      <c r="AK403">
        <v>2</v>
      </c>
      <c r="AL403" t="s">
        <v>392</v>
      </c>
      <c r="AM403" t="s">
        <v>92</v>
      </c>
      <c r="AN403" t="s">
        <v>393</v>
      </c>
      <c r="AO403" t="s">
        <v>394</v>
      </c>
      <c r="AP403" t="s">
        <v>74</v>
      </c>
      <c r="AQ403" t="s">
        <v>74</v>
      </c>
      <c r="AR403" t="s">
        <v>395</v>
      </c>
      <c r="AS403" t="s">
        <v>396</v>
      </c>
      <c r="AT403" t="s">
        <v>6107</v>
      </c>
      <c r="AU403">
        <v>2009</v>
      </c>
      <c r="AV403">
        <v>34</v>
      </c>
      <c r="AW403">
        <v>3</v>
      </c>
      <c r="AX403" t="s">
        <v>74</v>
      </c>
      <c r="AY403" t="s">
        <v>74</v>
      </c>
      <c r="AZ403" t="s">
        <v>74</v>
      </c>
      <c r="BA403" t="s">
        <v>74</v>
      </c>
      <c r="BB403">
        <v>171</v>
      </c>
      <c r="BC403">
        <v>179</v>
      </c>
      <c r="BD403" t="s">
        <v>74</v>
      </c>
      <c r="BE403" t="s">
        <v>7702</v>
      </c>
      <c r="BF403" t="str">
        <f>HYPERLINK("http://dx.doi.org/10.3103/S1068373909030054","http://dx.doi.org/10.3103/S1068373909030054")</f>
        <v>http://dx.doi.org/10.3103/S1068373909030054</v>
      </c>
      <c r="BG403" t="s">
        <v>74</v>
      </c>
      <c r="BH403" t="s">
        <v>74</v>
      </c>
      <c r="BI403">
        <v>9</v>
      </c>
      <c r="BJ403" t="s">
        <v>398</v>
      </c>
      <c r="BK403" t="s">
        <v>100</v>
      </c>
      <c r="BL403" t="s">
        <v>398</v>
      </c>
      <c r="BM403" t="s">
        <v>7691</v>
      </c>
      <c r="BN403" t="s">
        <v>74</v>
      </c>
      <c r="BO403" t="s">
        <v>74</v>
      </c>
      <c r="BP403" t="s">
        <v>74</v>
      </c>
      <c r="BQ403" t="s">
        <v>74</v>
      </c>
      <c r="BR403" t="s">
        <v>103</v>
      </c>
      <c r="BS403" t="s">
        <v>7703</v>
      </c>
      <c r="BT403" t="str">
        <f>HYPERLINK("https%3A%2F%2Fwww.webofscience.com%2Fwos%2Fwoscc%2Ffull-record%2FWOS:000266395000005","View Full Record in Web of Science")</f>
        <v>View Full Record in Web of Science</v>
      </c>
    </row>
    <row r="404" spans="1:72" x14ac:dyDescent="0.15">
      <c r="A404" t="s">
        <v>72</v>
      </c>
      <c r="B404" t="s">
        <v>7704</v>
      </c>
      <c r="C404" t="s">
        <v>74</v>
      </c>
      <c r="D404" t="s">
        <v>74</v>
      </c>
      <c r="E404" t="s">
        <v>74</v>
      </c>
      <c r="F404" t="s">
        <v>7705</v>
      </c>
      <c r="G404" t="s">
        <v>74</v>
      </c>
      <c r="H404" t="s">
        <v>74</v>
      </c>
      <c r="I404" t="s">
        <v>7706</v>
      </c>
      <c r="J404" t="s">
        <v>386</v>
      </c>
      <c r="K404" t="s">
        <v>74</v>
      </c>
      <c r="L404" t="s">
        <v>74</v>
      </c>
      <c r="M404" t="s">
        <v>78</v>
      </c>
      <c r="N404" t="s">
        <v>172</v>
      </c>
      <c r="O404" t="s">
        <v>74</v>
      </c>
      <c r="P404" t="s">
        <v>74</v>
      </c>
      <c r="Q404" t="s">
        <v>74</v>
      </c>
      <c r="R404" t="s">
        <v>74</v>
      </c>
      <c r="S404" t="s">
        <v>74</v>
      </c>
      <c r="T404" t="s">
        <v>74</v>
      </c>
      <c r="U404" t="s">
        <v>74</v>
      </c>
      <c r="V404" t="s">
        <v>7707</v>
      </c>
      <c r="W404" t="s">
        <v>7708</v>
      </c>
      <c r="X404" t="s">
        <v>7709</v>
      </c>
      <c r="Y404" t="s">
        <v>7710</v>
      </c>
      <c r="Z404" t="s">
        <v>74</v>
      </c>
      <c r="AA404" t="s">
        <v>7711</v>
      </c>
      <c r="AB404" t="s">
        <v>74</v>
      </c>
      <c r="AC404" t="s">
        <v>7712</v>
      </c>
      <c r="AD404" t="s">
        <v>1782</v>
      </c>
      <c r="AE404" t="s">
        <v>7713</v>
      </c>
      <c r="AF404" t="s">
        <v>74</v>
      </c>
      <c r="AG404">
        <v>5</v>
      </c>
      <c r="AH404">
        <v>2</v>
      </c>
      <c r="AI404">
        <v>2</v>
      </c>
      <c r="AJ404">
        <v>0</v>
      </c>
      <c r="AK404">
        <v>0</v>
      </c>
      <c r="AL404" t="s">
        <v>392</v>
      </c>
      <c r="AM404" t="s">
        <v>92</v>
      </c>
      <c r="AN404" t="s">
        <v>393</v>
      </c>
      <c r="AO404" t="s">
        <v>394</v>
      </c>
      <c r="AP404" t="s">
        <v>74</v>
      </c>
      <c r="AQ404" t="s">
        <v>74</v>
      </c>
      <c r="AR404" t="s">
        <v>395</v>
      </c>
      <c r="AS404" t="s">
        <v>396</v>
      </c>
      <c r="AT404" t="s">
        <v>6107</v>
      </c>
      <c r="AU404">
        <v>2009</v>
      </c>
      <c r="AV404">
        <v>34</v>
      </c>
      <c r="AW404">
        <v>3</v>
      </c>
      <c r="AX404" t="s">
        <v>74</v>
      </c>
      <c r="AY404" t="s">
        <v>74</v>
      </c>
      <c r="AZ404" t="s">
        <v>74</v>
      </c>
      <c r="BA404" t="s">
        <v>74</v>
      </c>
      <c r="BB404">
        <v>187</v>
      </c>
      <c r="BC404">
        <v>193</v>
      </c>
      <c r="BD404" t="s">
        <v>74</v>
      </c>
      <c r="BE404" t="s">
        <v>7714</v>
      </c>
      <c r="BF404" t="str">
        <f>HYPERLINK("http://dx.doi.org/10.3103/S1068373909030078","http://dx.doi.org/10.3103/S1068373909030078")</f>
        <v>http://dx.doi.org/10.3103/S1068373909030078</v>
      </c>
      <c r="BG404" t="s">
        <v>74</v>
      </c>
      <c r="BH404" t="s">
        <v>74</v>
      </c>
      <c r="BI404">
        <v>7</v>
      </c>
      <c r="BJ404" t="s">
        <v>398</v>
      </c>
      <c r="BK404" t="s">
        <v>100</v>
      </c>
      <c r="BL404" t="s">
        <v>398</v>
      </c>
      <c r="BM404" t="s">
        <v>7691</v>
      </c>
      <c r="BN404" t="s">
        <v>74</v>
      </c>
      <c r="BO404" t="s">
        <v>74</v>
      </c>
      <c r="BP404" t="s">
        <v>74</v>
      </c>
      <c r="BQ404" t="s">
        <v>74</v>
      </c>
      <c r="BR404" t="s">
        <v>103</v>
      </c>
      <c r="BS404" t="s">
        <v>7715</v>
      </c>
      <c r="BT404" t="str">
        <f>HYPERLINK("https%3A%2F%2Fwww.webofscience.com%2Fwos%2Fwoscc%2Ffull-record%2FWOS:000266395000007","View Full Record in Web of Science")</f>
        <v>View Full Record in Web of Science</v>
      </c>
    </row>
    <row r="405" spans="1:72" x14ac:dyDescent="0.15">
      <c r="A405" t="s">
        <v>72</v>
      </c>
      <c r="B405" t="s">
        <v>7716</v>
      </c>
      <c r="C405" t="s">
        <v>74</v>
      </c>
      <c r="D405" t="s">
        <v>74</v>
      </c>
      <c r="E405" t="s">
        <v>74</v>
      </c>
      <c r="F405" t="s">
        <v>7717</v>
      </c>
      <c r="G405" t="s">
        <v>74</v>
      </c>
      <c r="H405" t="s">
        <v>74</v>
      </c>
      <c r="I405" t="s">
        <v>7718</v>
      </c>
      <c r="J405" t="s">
        <v>7719</v>
      </c>
      <c r="K405" t="s">
        <v>74</v>
      </c>
      <c r="L405" t="s">
        <v>74</v>
      </c>
      <c r="M405" t="s">
        <v>78</v>
      </c>
      <c r="N405" t="s">
        <v>79</v>
      </c>
      <c r="O405" t="s">
        <v>74</v>
      </c>
      <c r="P405" t="s">
        <v>74</v>
      </c>
      <c r="Q405" t="s">
        <v>74</v>
      </c>
      <c r="R405" t="s">
        <v>74</v>
      </c>
      <c r="S405" t="s">
        <v>74</v>
      </c>
      <c r="T405" t="s">
        <v>74</v>
      </c>
      <c r="U405" t="s">
        <v>7720</v>
      </c>
      <c r="V405" t="s">
        <v>74</v>
      </c>
      <c r="W405" t="s">
        <v>7721</v>
      </c>
      <c r="X405" t="s">
        <v>7722</v>
      </c>
      <c r="Y405" t="s">
        <v>7723</v>
      </c>
      <c r="Z405" t="s">
        <v>7724</v>
      </c>
      <c r="AA405" t="s">
        <v>7725</v>
      </c>
      <c r="AB405" t="s">
        <v>7726</v>
      </c>
      <c r="AC405" t="s">
        <v>7727</v>
      </c>
      <c r="AD405" t="s">
        <v>7728</v>
      </c>
      <c r="AE405" t="s">
        <v>7729</v>
      </c>
      <c r="AF405" t="s">
        <v>74</v>
      </c>
      <c r="AG405">
        <v>8</v>
      </c>
      <c r="AH405">
        <v>2</v>
      </c>
      <c r="AI405">
        <v>3</v>
      </c>
      <c r="AJ405">
        <v>0</v>
      </c>
      <c r="AK405">
        <v>0</v>
      </c>
      <c r="AL405" t="s">
        <v>7730</v>
      </c>
      <c r="AM405" t="s">
        <v>7731</v>
      </c>
      <c r="AN405" t="s">
        <v>7732</v>
      </c>
      <c r="AO405" t="s">
        <v>7733</v>
      </c>
      <c r="AP405" t="s">
        <v>7734</v>
      </c>
      <c r="AQ405" t="s">
        <v>74</v>
      </c>
      <c r="AR405" t="s">
        <v>7735</v>
      </c>
      <c r="AS405" t="s">
        <v>7736</v>
      </c>
      <c r="AT405" t="s">
        <v>6107</v>
      </c>
      <c r="AU405">
        <v>2009</v>
      </c>
      <c r="AV405">
        <v>7</v>
      </c>
      <c r="AW405" t="s">
        <v>74</v>
      </c>
      <c r="AX405" t="s">
        <v>74</v>
      </c>
      <c r="AY405" t="s">
        <v>74</v>
      </c>
      <c r="AZ405" t="s">
        <v>74</v>
      </c>
      <c r="BA405" t="s">
        <v>74</v>
      </c>
      <c r="BB405">
        <v>38</v>
      </c>
      <c r="BC405">
        <v>39</v>
      </c>
      <c r="BD405" t="s">
        <v>74</v>
      </c>
      <c r="BE405" t="s">
        <v>7737</v>
      </c>
      <c r="BF405" t="str">
        <f>HYPERLINK("http://dx.doi.org/10.5194/sd-7-38-2009","http://dx.doi.org/10.5194/sd-7-38-2009")</f>
        <v>http://dx.doi.org/10.5194/sd-7-38-2009</v>
      </c>
      <c r="BG405" t="s">
        <v>74</v>
      </c>
      <c r="BH405" t="s">
        <v>74</v>
      </c>
      <c r="BI405">
        <v>2</v>
      </c>
      <c r="BJ405" t="s">
        <v>496</v>
      </c>
      <c r="BK405" t="s">
        <v>2781</v>
      </c>
      <c r="BL405" t="s">
        <v>497</v>
      </c>
      <c r="BM405" t="s">
        <v>7738</v>
      </c>
      <c r="BN405" t="s">
        <v>74</v>
      </c>
      <c r="BO405" t="s">
        <v>450</v>
      </c>
      <c r="BP405" t="s">
        <v>74</v>
      </c>
      <c r="BQ405" t="s">
        <v>74</v>
      </c>
      <c r="BR405" t="s">
        <v>103</v>
      </c>
      <c r="BS405" t="s">
        <v>7739</v>
      </c>
      <c r="BT405" t="str">
        <f>HYPERLINK("https%3A%2F%2Fwww.webofscience.com%2Fwos%2Fwoscc%2Ffull-record%2FWOS:000210341400006","View Full Record in Web of Science")</f>
        <v>View Full Record in Web of Science</v>
      </c>
    </row>
    <row r="406" spans="1:72" x14ac:dyDescent="0.15">
      <c r="A406" t="s">
        <v>72</v>
      </c>
      <c r="B406" t="s">
        <v>7740</v>
      </c>
      <c r="C406" t="s">
        <v>74</v>
      </c>
      <c r="D406" t="s">
        <v>74</v>
      </c>
      <c r="E406" t="s">
        <v>74</v>
      </c>
      <c r="F406" t="s">
        <v>7741</v>
      </c>
      <c r="G406" t="s">
        <v>74</v>
      </c>
      <c r="H406" t="s">
        <v>74</v>
      </c>
      <c r="I406" t="s">
        <v>7742</v>
      </c>
      <c r="J406" t="s">
        <v>7719</v>
      </c>
      <c r="K406" t="s">
        <v>74</v>
      </c>
      <c r="L406" t="s">
        <v>74</v>
      </c>
      <c r="M406" t="s">
        <v>78</v>
      </c>
      <c r="N406" t="s">
        <v>79</v>
      </c>
      <c r="O406" t="s">
        <v>74</v>
      </c>
      <c r="P406" t="s">
        <v>74</v>
      </c>
      <c r="Q406" t="s">
        <v>74</v>
      </c>
      <c r="R406" t="s">
        <v>74</v>
      </c>
      <c r="S406" t="s">
        <v>74</v>
      </c>
      <c r="T406" t="s">
        <v>74</v>
      </c>
      <c r="U406" t="s">
        <v>74</v>
      </c>
      <c r="V406" t="s">
        <v>74</v>
      </c>
      <c r="W406" t="s">
        <v>7743</v>
      </c>
      <c r="X406" t="s">
        <v>7744</v>
      </c>
      <c r="Y406" t="s">
        <v>7745</v>
      </c>
      <c r="Z406" t="s">
        <v>7746</v>
      </c>
      <c r="AA406" t="s">
        <v>7747</v>
      </c>
      <c r="AB406" t="s">
        <v>7748</v>
      </c>
      <c r="AC406" t="s">
        <v>7749</v>
      </c>
      <c r="AD406" t="s">
        <v>7750</v>
      </c>
      <c r="AE406" t="s">
        <v>7751</v>
      </c>
      <c r="AF406" t="s">
        <v>74</v>
      </c>
      <c r="AG406">
        <v>16</v>
      </c>
      <c r="AH406">
        <v>4</v>
      </c>
      <c r="AI406">
        <v>6</v>
      </c>
      <c r="AJ406">
        <v>0</v>
      </c>
      <c r="AK406">
        <v>1</v>
      </c>
      <c r="AL406" t="s">
        <v>7730</v>
      </c>
      <c r="AM406" t="s">
        <v>7731</v>
      </c>
      <c r="AN406" t="s">
        <v>7732</v>
      </c>
      <c r="AO406" t="s">
        <v>7733</v>
      </c>
      <c r="AP406" t="s">
        <v>7734</v>
      </c>
      <c r="AQ406" t="s">
        <v>74</v>
      </c>
      <c r="AR406" t="s">
        <v>7735</v>
      </c>
      <c r="AS406" t="s">
        <v>7736</v>
      </c>
      <c r="AT406" t="s">
        <v>6107</v>
      </c>
      <c r="AU406">
        <v>2009</v>
      </c>
      <c r="AV406">
        <v>7</v>
      </c>
      <c r="AW406" t="s">
        <v>74</v>
      </c>
      <c r="AX406" t="s">
        <v>74</v>
      </c>
      <c r="AY406" t="s">
        <v>74</v>
      </c>
      <c r="AZ406" t="s">
        <v>74</v>
      </c>
      <c r="BA406" t="s">
        <v>74</v>
      </c>
      <c r="BB406">
        <v>40</v>
      </c>
      <c r="BC406">
        <v>43</v>
      </c>
      <c r="BD406" t="s">
        <v>74</v>
      </c>
      <c r="BE406" t="s">
        <v>7752</v>
      </c>
      <c r="BF406" t="str">
        <f>HYPERLINK("http://dx.doi.org/10.2204/iodp.sd.7.06.2009","http://dx.doi.org/10.2204/iodp.sd.7.06.2009")</f>
        <v>http://dx.doi.org/10.2204/iodp.sd.7.06.2009</v>
      </c>
      <c r="BG406" t="s">
        <v>74</v>
      </c>
      <c r="BH406" t="s">
        <v>74</v>
      </c>
      <c r="BI406">
        <v>4</v>
      </c>
      <c r="BJ406" t="s">
        <v>496</v>
      </c>
      <c r="BK406" t="s">
        <v>2781</v>
      </c>
      <c r="BL406" t="s">
        <v>497</v>
      </c>
      <c r="BM406" t="s">
        <v>7738</v>
      </c>
      <c r="BN406" t="s">
        <v>74</v>
      </c>
      <c r="BO406" t="s">
        <v>450</v>
      </c>
      <c r="BP406" t="s">
        <v>74</v>
      </c>
      <c r="BQ406" t="s">
        <v>74</v>
      </c>
      <c r="BR406" t="s">
        <v>103</v>
      </c>
      <c r="BS406" t="s">
        <v>7753</v>
      </c>
      <c r="BT406" t="str">
        <f>HYPERLINK("https%3A%2F%2Fwww.webofscience.com%2Fwos%2Fwoscc%2Ffull-record%2FWOS:000210341400007","View Full Record in Web of Science")</f>
        <v>View Full Record in Web of Science</v>
      </c>
    </row>
    <row r="407" spans="1:72" x14ac:dyDescent="0.15">
      <c r="A407" t="s">
        <v>72</v>
      </c>
      <c r="B407" t="s">
        <v>7754</v>
      </c>
      <c r="C407" t="s">
        <v>74</v>
      </c>
      <c r="D407" t="s">
        <v>74</v>
      </c>
      <c r="E407" t="s">
        <v>74</v>
      </c>
      <c r="F407" t="s">
        <v>7755</v>
      </c>
      <c r="G407" t="s">
        <v>74</v>
      </c>
      <c r="H407" t="s">
        <v>74</v>
      </c>
      <c r="I407" t="s">
        <v>7756</v>
      </c>
      <c r="J407" t="s">
        <v>7757</v>
      </c>
      <c r="K407" t="s">
        <v>74</v>
      </c>
      <c r="L407" t="s">
        <v>74</v>
      </c>
      <c r="M407" t="s">
        <v>78</v>
      </c>
      <c r="N407" t="s">
        <v>79</v>
      </c>
      <c r="O407" t="s">
        <v>74</v>
      </c>
      <c r="P407" t="s">
        <v>74</v>
      </c>
      <c r="Q407" t="s">
        <v>74</v>
      </c>
      <c r="R407" t="s">
        <v>74</v>
      </c>
      <c r="S407" t="s">
        <v>74</v>
      </c>
      <c r="T407" t="s">
        <v>74</v>
      </c>
      <c r="U407" t="s">
        <v>74</v>
      </c>
      <c r="V407" t="s">
        <v>74</v>
      </c>
      <c r="W407" t="s">
        <v>7758</v>
      </c>
      <c r="X407" t="s">
        <v>5241</v>
      </c>
      <c r="Y407" t="s">
        <v>7759</v>
      </c>
      <c r="Z407" t="s">
        <v>74</v>
      </c>
      <c r="AA407" t="s">
        <v>7760</v>
      </c>
      <c r="AB407" t="s">
        <v>7761</v>
      </c>
      <c r="AC407" t="s">
        <v>74</v>
      </c>
      <c r="AD407" t="s">
        <v>74</v>
      </c>
      <c r="AE407" t="s">
        <v>74</v>
      </c>
      <c r="AF407" t="s">
        <v>74</v>
      </c>
      <c r="AG407">
        <v>25</v>
      </c>
      <c r="AH407">
        <v>4</v>
      </c>
      <c r="AI407">
        <v>5</v>
      </c>
      <c r="AJ407">
        <v>0</v>
      </c>
      <c r="AK407">
        <v>0</v>
      </c>
      <c r="AL407" t="s">
        <v>277</v>
      </c>
      <c r="AM407" t="s">
        <v>278</v>
      </c>
      <c r="AN407" t="s">
        <v>279</v>
      </c>
      <c r="AO407" t="s">
        <v>7762</v>
      </c>
      <c r="AP407" t="s">
        <v>74</v>
      </c>
      <c r="AQ407" t="s">
        <v>74</v>
      </c>
      <c r="AR407" t="s">
        <v>7757</v>
      </c>
      <c r="AS407" t="s">
        <v>7763</v>
      </c>
      <c r="AT407" t="s">
        <v>6244</v>
      </c>
      <c r="AU407">
        <v>2009</v>
      </c>
      <c r="AV407">
        <v>34</v>
      </c>
      <c r="AW407">
        <v>3</v>
      </c>
      <c r="AX407" t="s">
        <v>74</v>
      </c>
      <c r="AY407" t="s">
        <v>74</v>
      </c>
      <c r="AZ407" t="s">
        <v>74</v>
      </c>
      <c r="BA407" t="s">
        <v>74</v>
      </c>
      <c r="BB407">
        <v>509</v>
      </c>
      <c r="BC407">
        <v>514</v>
      </c>
      <c r="BD407" t="s">
        <v>74</v>
      </c>
      <c r="BE407" t="s">
        <v>7764</v>
      </c>
      <c r="BF407" t="str">
        <f>HYPERLINK("http://dx.doi.org/10.1086/593347","http://dx.doi.org/10.1086/593347")</f>
        <v>http://dx.doi.org/10.1086/593347</v>
      </c>
      <c r="BG407" t="s">
        <v>74</v>
      </c>
      <c r="BH407" t="s">
        <v>74</v>
      </c>
      <c r="BI407">
        <v>7</v>
      </c>
      <c r="BJ407" t="s">
        <v>7765</v>
      </c>
      <c r="BK407" t="s">
        <v>7766</v>
      </c>
      <c r="BL407" t="s">
        <v>7765</v>
      </c>
      <c r="BM407" t="s">
        <v>7767</v>
      </c>
      <c r="BN407" t="s">
        <v>74</v>
      </c>
      <c r="BO407" t="s">
        <v>74</v>
      </c>
      <c r="BP407" t="s">
        <v>74</v>
      </c>
      <c r="BQ407" t="s">
        <v>74</v>
      </c>
      <c r="BR407" t="s">
        <v>103</v>
      </c>
      <c r="BS407" t="s">
        <v>7768</v>
      </c>
      <c r="BT407" t="str">
        <f>HYPERLINK("https%3A%2F%2Fwww.webofscience.com%2Fwos%2Fwoscc%2Ffull-record%2FWOS:000264078900005","View Full Record in Web of Science")</f>
        <v>View Full Record in Web of Science</v>
      </c>
    </row>
    <row r="408" spans="1:72" x14ac:dyDescent="0.15">
      <c r="A408" t="s">
        <v>72</v>
      </c>
      <c r="B408" t="s">
        <v>7769</v>
      </c>
      <c r="C408" t="s">
        <v>74</v>
      </c>
      <c r="D408" t="s">
        <v>74</v>
      </c>
      <c r="E408" t="s">
        <v>74</v>
      </c>
      <c r="F408" t="s">
        <v>7770</v>
      </c>
      <c r="G408" t="s">
        <v>74</v>
      </c>
      <c r="H408" t="s">
        <v>74</v>
      </c>
      <c r="I408" t="s">
        <v>7771</v>
      </c>
      <c r="J408" t="s">
        <v>7757</v>
      </c>
      <c r="K408" t="s">
        <v>74</v>
      </c>
      <c r="L408" t="s">
        <v>74</v>
      </c>
      <c r="M408" t="s">
        <v>78</v>
      </c>
      <c r="N408" t="s">
        <v>79</v>
      </c>
      <c r="O408" t="s">
        <v>74</v>
      </c>
      <c r="P408" t="s">
        <v>74</v>
      </c>
      <c r="Q408" t="s">
        <v>74</v>
      </c>
      <c r="R408" t="s">
        <v>74</v>
      </c>
      <c r="S408" t="s">
        <v>74</v>
      </c>
      <c r="T408" t="s">
        <v>74</v>
      </c>
      <c r="U408" t="s">
        <v>74</v>
      </c>
      <c r="V408" t="s">
        <v>74</v>
      </c>
      <c r="W408" t="s">
        <v>7772</v>
      </c>
      <c r="X408" t="s">
        <v>7773</v>
      </c>
      <c r="Y408" t="s">
        <v>7774</v>
      </c>
      <c r="Z408" t="s">
        <v>74</v>
      </c>
      <c r="AA408" t="s">
        <v>74</v>
      </c>
      <c r="AB408" t="s">
        <v>7775</v>
      </c>
      <c r="AC408" t="s">
        <v>74</v>
      </c>
      <c r="AD408" t="s">
        <v>74</v>
      </c>
      <c r="AE408" t="s">
        <v>74</v>
      </c>
      <c r="AF408" t="s">
        <v>74</v>
      </c>
      <c r="AG408">
        <v>14</v>
      </c>
      <c r="AH408">
        <v>24</v>
      </c>
      <c r="AI408">
        <v>26</v>
      </c>
      <c r="AJ408">
        <v>0</v>
      </c>
      <c r="AK408">
        <v>2</v>
      </c>
      <c r="AL408" t="s">
        <v>277</v>
      </c>
      <c r="AM408" t="s">
        <v>278</v>
      </c>
      <c r="AN408" t="s">
        <v>279</v>
      </c>
      <c r="AO408" t="s">
        <v>7762</v>
      </c>
      <c r="AP408" t="s">
        <v>74</v>
      </c>
      <c r="AQ408" t="s">
        <v>74</v>
      </c>
      <c r="AR408" t="s">
        <v>7757</v>
      </c>
      <c r="AS408" t="s">
        <v>7763</v>
      </c>
      <c r="AT408" t="s">
        <v>6244</v>
      </c>
      <c r="AU408">
        <v>2009</v>
      </c>
      <c r="AV408">
        <v>34</v>
      </c>
      <c r="AW408">
        <v>3</v>
      </c>
      <c r="AX408" t="s">
        <v>74</v>
      </c>
      <c r="AY408" t="s">
        <v>74</v>
      </c>
      <c r="AZ408" t="s">
        <v>74</v>
      </c>
      <c r="BA408" t="s">
        <v>74</v>
      </c>
      <c r="BB408">
        <v>514</v>
      </c>
      <c r="BC408">
        <v>519</v>
      </c>
      <c r="BD408" t="s">
        <v>74</v>
      </c>
      <c r="BE408" t="s">
        <v>7776</v>
      </c>
      <c r="BF408" t="str">
        <f>HYPERLINK("http://dx.doi.org/10.1086/593379","http://dx.doi.org/10.1086/593379")</f>
        <v>http://dx.doi.org/10.1086/593379</v>
      </c>
      <c r="BG408" t="s">
        <v>74</v>
      </c>
      <c r="BH408" t="s">
        <v>74</v>
      </c>
      <c r="BI408">
        <v>7</v>
      </c>
      <c r="BJ408" t="s">
        <v>7765</v>
      </c>
      <c r="BK408" t="s">
        <v>6246</v>
      </c>
      <c r="BL408" t="s">
        <v>7765</v>
      </c>
      <c r="BM408" t="s">
        <v>7767</v>
      </c>
      <c r="BN408" t="s">
        <v>74</v>
      </c>
      <c r="BO408" t="s">
        <v>217</v>
      </c>
      <c r="BP408" t="s">
        <v>74</v>
      </c>
      <c r="BQ408" t="s">
        <v>74</v>
      </c>
      <c r="BR408" t="s">
        <v>103</v>
      </c>
      <c r="BS408" t="s">
        <v>7777</v>
      </c>
      <c r="BT408" t="str">
        <f>HYPERLINK("https%3A%2F%2Fwww.webofscience.com%2Fwos%2Fwoscc%2Ffull-record%2FWOS:000264078900006","View Full Record in Web of Science")</f>
        <v>View Full Record in Web of Science</v>
      </c>
    </row>
    <row r="409" spans="1:72" x14ac:dyDescent="0.15">
      <c r="A409" t="s">
        <v>72</v>
      </c>
      <c r="B409" t="s">
        <v>7778</v>
      </c>
      <c r="C409" t="s">
        <v>74</v>
      </c>
      <c r="D409" t="s">
        <v>74</v>
      </c>
      <c r="E409" t="s">
        <v>74</v>
      </c>
      <c r="F409" t="s">
        <v>7779</v>
      </c>
      <c r="G409" t="s">
        <v>74</v>
      </c>
      <c r="H409" t="s">
        <v>74</v>
      </c>
      <c r="I409" t="s">
        <v>7780</v>
      </c>
      <c r="J409" t="s">
        <v>7781</v>
      </c>
      <c r="K409" t="s">
        <v>74</v>
      </c>
      <c r="L409" t="s">
        <v>74</v>
      </c>
      <c r="M409" t="s">
        <v>78</v>
      </c>
      <c r="N409" t="s">
        <v>79</v>
      </c>
      <c r="O409" t="s">
        <v>74</v>
      </c>
      <c r="P409" t="s">
        <v>74</v>
      </c>
      <c r="Q409" t="s">
        <v>74</v>
      </c>
      <c r="R409" t="s">
        <v>74</v>
      </c>
      <c r="S409" t="s">
        <v>74</v>
      </c>
      <c r="T409" t="s">
        <v>74</v>
      </c>
      <c r="U409" t="s">
        <v>7782</v>
      </c>
      <c r="V409" t="s">
        <v>7783</v>
      </c>
      <c r="W409" t="s">
        <v>7784</v>
      </c>
      <c r="X409" t="s">
        <v>7785</v>
      </c>
      <c r="Y409" t="s">
        <v>7786</v>
      </c>
      <c r="Z409" t="s">
        <v>7787</v>
      </c>
      <c r="AA409" t="s">
        <v>7788</v>
      </c>
      <c r="AB409" t="s">
        <v>7789</v>
      </c>
      <c r="AC409" t="s">
        <v>7790</v>
      </c>
      <c r="AD409" t="s">
        <v>7791</v>
      </c>
      <c r="AE409" t="s">
        <v>7792</v>
      </c>
      <c r="AF409" t="s">
        <v>74</v>
      </c>
      <c r="AG409">
        <v>41</v>
      </c>
      <c r="AH409">
        <v>17</v>
      </c>
      <c r="AI409">
        <v>31</v>
      </c>
      <c r="AJ409">
        <v>2</v>
      </c>
      <c r="AK409">
        <v>55</v>
      </c>
      <c r="AL409" t="s">
        <v>489</v>
      </c>
      <c r="AM409" t="s">
        <v>490</v>
      </c>
      <c r="AN409" t="s">
        <v>491</v>
      </c>
      <c r="AO409" t="s">
        <v>7793</v>
      </c>
      <c r="AP409" t="s">
        <v>7794</v>
      </c>
      <c r="AQ409" t="s">
        <v>74</v>
      </c>
      <c r="AR409" t="s">
        <v>7795</v>
      </c>
      <c r="AS409" t="s">
        <v>7796</v>
      </c>
      <c r="AT409" t="s">
        <v>6107</v>
      </c>
      <c r="AU409">
        <v>2009</v>
      </c>
      <c r="AV409">
        <v>138</v>
      </c>
      <c r="AW409">
        <v>2</v>
      </c>
      <c r="AX409" t="s">
        <v>74</v>
      </c>
      <c r="AY409" t="s">
        <v>74</v>
      </c>
      <c r="AZ409" t="s">
        <v>74</v>
      </c>
      <c r="BA409" t="s">
        <v>74</v>
      </c>
      <c r="BB409">
        <v>306</v>
      </c>
      <c r="BC409">
        <v>313</v>
      </c>
      <c r="BD409" t="s">
        <v>74</v>
      </c>
      <c r="BE409" t="s">
        <v>7797</v>
      </c>
      <c r="BF409" t="str">
        <f>HYPERLINK("http://dx.doi.org/10.1577/T08-081.1","http://dx.doi.org/10.1577/T08-081.1")</f>
        <v>http://dx.doi.org/10.1577/T08-081.1</v>
      </c>
      <c r="BG409" t="s">
        <v>74</v>
      </c>
      <c r="BH409" t="s">
        <v>74</v>
      </c>
      <c r="BI409">
        <v>8</v>
      </c>
      <c r="BJ409" t="s">
        <v>6525</v>
      </c>
      <c r="BK409" t="s">
        <v>100</v>
      </c>
      <c r="BL409" t="s">
        <v>6525</v>
      </c>
      <c r="BM409" t="s">
        <v>7798</v>
      </c>
      <c r="BN409" t="s">
        <v>74</v>
      </c>
      <c r="BO409" t="s">
        <v>74</v>
      </c>
      <c r="BP409" t="s">
        <v>74</v>
      </c>
      <c r="BQ409" t="s">
        <v>74</v>
      </c>
      <c r="BR409" t="s">
        <v>103</v>
      </c>
      <c r="BS409" t="s">
        <v>7799</v>
      </c>
      <c r="BT409" t="str">
        <f>HYPERLINK("https%3A%2F%2Fwww.webofscience.com%2Fwos%2Fwoscc%2Ffull-record%2FWOS:000268501000007","View Full Record in Web of Science")</f>
        <v>View Full Record in Web of Science</v>
      </c>
    </row>
    <row r="410" spans="1:72" x14ac:dyDescent="0.15">
      <c r="A410" t="s">
        <v>72</v>
      </c>
      <c r="B410" t="s">
        <v>7800</v>
      </c>
      <c r="C410" t="s">
        <v>74</v>
      </c>
      <c r="D410" t="s">
        <v>74</v>
      </c>
      <c r="E410" t="s">
        <v>74</v>
      </c>
      <c r="F410" t="s">
        <v>7801</v>
      </c>
      <c r="G410" t="s">
        <v>74</v>
      </c>
      <c r="H410" t="s">
        <v>74</v>
      </c>
      <c r="I410" t="s">
        <v>7802</v>
      </c>
      <c r="J410" t="s">
        <v>7803</v>
      </c>
      <c r="K410" t="s">
        <v>74</v>
      </c>
      <c r="L410" t="s">
        <v>74</v>
      </c>
      <c r="M410" t="s">
        <v>78</v>
      </c>
      <c r="N410" t="s">
        <v>79</v>
      </c>
      <c r="O410" t="s">
        <v>74</v>
      </c>
      <c r="P410" t="s">
        <v>74</v>
      </c>
      <c r="Q410" t="s">
        <v>74</v>
      </c>
      <c r="R410" t="s">
        <v>74</v>
      </c>
      <c r="S410" t="s">
        <v>74</v>
      </c>
      <c r="T410" t="s">
        <v>7804</v>
      </c>
      <c r="U410" t="s">
        <v>7805</v>
      </c>
      <c r="V410" t="s">
        <v>7806</v>
      </c>
      <c r="W410" t="s">
        <v>7807</v>
      </c>
      <c r="X410" t="s">
        <v>7808</v>
      </c>
      <c r="Y410" t="s">
        <v>7809</v>
      </c>
      <c r="Z410" t="s">
        <v>7810</v>
      </c>
      <c r="AA410" t="s">
        <v>74</v>
      </c>
      <c r="AB410" t="s">
        <v>74</v>
      </c>
      <c r="AC410" t="s">
        <v>7811</v>
      </c>
      <c r="AD410" t="s">
        <v>7812</v>
      </c>
      <c r="AE410" t="s">
        <v>7813</v>
      </c>
      <c r="AF410" t="s">
        <v>74</v>
      </c>
      <c r="AG410">
        <v>22</v>
      </c>
      <c r="AH410">
        <v>13</v>
      </c>
      <c r="AI410">
        <v>16</v>
      </c>
      <c r="AJ410">
        <v>0</v>
      </c>
      <c r="AK410">
        <v>2</v>
      </c>
      <c r="AL410" t="s">
        <v>7814</v>
      </c>
      <c r="AM410" t="s">
        <v>7815</v>
      </c>
      <c r="AN410" t="s">
        <v>7816</v>
      </c>
      <c r="AO410" t="s">
        <v>7817</v>
      </c>
      <c r="AP410" t="s">
        <v>7818</v>
      </c>
      <c r="AQ410" t="s">
        <v>74</v>
      </c>
      <c r="AR410" t="s">
        <v>7819</v>
      </c>
      <c r="AS410" t="s">
        <v>7820</v>
      </c>
      <c r="AT410" t="s">
        <v>7395</v>
      </c>
      <c r="AU410">
        <v>2009</v>
      </c>
      <c r="AV410">
        <v>64</v>
      </c>
      <c r="AW410" t="s">
        <v>3346</v>
      </c>
      <c r="AX410" t="s">
        <v>74</v>
      </c>
      <c r="AY410" t="s">
        <v>74</v>
      </c>
      <c r="AZ410" t="s">
        <v>74</v>
      </c>
      <c r="BA410" t="s">
        <v>74</v>
      </c>
      <c r="BB410">
        <v>197</v>
      </c>
      <c r="BC410">
        <v>200</v>
      </c>
      <c r="BD410" t="s">
        <v>74</v>
      </c>
      <c r="BE410" t="s">
        <v>74</v>
      </c>
      <c r="BF410" t="s">
        <v>74</v>
      </c>
      <c r="BG410" t="s">
        <v>74</v>
      </c>
      <c r="BH410" t="s">
        <v>74</v>
      </c>
      <c r="BI410">
        <v>4</v>
      </c>
      <c r="BJ410" t="s">
        <v>7821</v>
      </c>
      <c r="BK410" t="s">
        <v>100</v>
      </c>
      <c r="BL410" t="s">
        <v>7821</v>
      </c>
      <c r="BM410" t="s">
        <v>7822</v>
      </c>
      <c r="BN410">
        <v>19526712</v>
      </c>
      <c r="BO410" t="s">
        <v>74</v>
      </c>
      <c r="BP410" t="s">
        <v>74</v>
      </c>
      <c r="BQ410" t="s">
        <v>74</v>
      </c>
      <c r="BR410" t="s">
        <v>103</v>
      </c>
      <c r="BS410" t="s">
        <v>7823</v>
      </c>
      <c r="BT410" t="str">
        <f>HYPERLINK("https%3A%2F%2Fwww.webofscience.com%2Fwos%2Fwoscc%2Ffull-record%2FWOS:000266724300008","View Full Record in Web of Science")</f>
        <v>View Full Record in Web of Science</v>
      </c>
    </row>
    <row r="411" spans="1:72" x14ac:dyDescent="0.15">
      <c r="A411" t="s">
        <v>72</v>
      </c>
      <c r="B411" t="s">
        <v>7824</v>
      </c>
      <c r="C411" t="s">
        <v>74</v>
      </c>
      <c r="D411" t="s">
        <v>74</v>
      </c>
      <c r="E411" t="s">
        <v>74</v>
      </c>
      <c r="F411" t="s">
        <v>7825</v>
      </c>
      <c r="G411" t="s">
        <v>74</v>
      </c>
      <c r="H411" t="s">
        <v>74</v>
      </c>
      <c r="I411" t="s">
        <v>7826</v>
      </c>
      <c r="J411" t="s">
        <v>670</v>
      </c>
      <c r="K411" t="s">
        <v>74</v>
      </c>
      <c r="L411" t="s">
        <v>74</v>
      </c>
      <c r="M411" t="s">
        <v>78</v>
      </c>
      <c r="N411" t="s">
        <v>79</v>
      </c>
      <c r="O411" t="s">
        <v>74</v>
      </c>
      <c r="P411" t="s">
        <v>74</v>
      </c>
      <c r="Q411" t="s">
        <v>74</v>
      </c>
      <c r="R411" t="s">
        <v>74</v>
      </c>
      <c r="S411" t="s">
        <v>74</v>
      </c>
      <c r="T411" t="s">
        <v>74</v>
      </c>
      <c r="U411" t="s">
        <v>7827</v>
      </c>
      <c r="V411" t="s">
        <v>7828</v>
      </c>
      <c r="W411" t="s">
        <v>7829</v>
      </c>
      <c r="X411" t="s">
        <v>7830</v>
      </c>
      <c r="Y411" t="s">
        <v>7831</v>
      </c>
      <c r="Z411" t="s">
        <v>7832</v>
      </c>
      <c r="AA411" t="s">
        <v>74</v>
      </c>
      <c r="AB411" t="s">
        <v>74</v>
      </c>
      <c r="AC411" t="s">
        <v>7833</v>
      </c>
      <c r="AD411" t="s">
        <v>7834</v>
      </c>
      <c r="AE411" t="s">
        <v>7835</v>
      </c>
      <c r="AF411" t="s">
        <v>74</v>
      </c>
      <c r="AG411">
        <v>49</v>
      </c>
      <c r="AH411">
        <v>16</v>
      </c>
      <c r="AI411">
        <v>17</v>
      </c>
      <c r="AJ411">
        <v>0</v>
      </c>
      <c r="AK411">
        <v>5</v>
      </c>
      <c r="AL411" t="s">
        <v>605</v>
      </c>
      <c r="AM411" t="s">
        <v>606</v>
      </c>
      <c r="AN411" t="s">
        <v>607</v>
      </c>
      <c r="AO411" t="s">
        <v>682</v>
      </c>
      <c r="AP411" t="s">
        <v>683</v>
      </c>
      <c r="AQ411" t="s">
        <v>74</v>
      </c>
      <c r="AR411" t="s">
        <v>684</v>
      </c>
      <c r="AS411" t="s">
        <v>685</v>
      </c>
      <c r="AT411" t="s">
        <v>7836</v>
      </c>
      <c r="AU411">
        <v>2009</v>
      </c>
      <c r="AV411">
        <v>114</v>
      </c>
      <c r="AW411" t="s">
        <v>74</v>
      </c>
      <c r="AX411" t="s">
        <v>74</v>
      </c>
      <c r="AY411" t="s">
        <v>74</v>
      </c>
      <c r="AZ411" t="s">
        <v>74</v>
      </c>
      <c r="BA411" t="s">
        <v>74</v>
      </c>
      <c r="BB411" t="s">
        <v>74</v>
      </c>
      <c r="BC411" t="s">
        <v>74</v>
      </c>
      <c r="BD411" t="s">
        <v>7837</v>
      </c>
      <c r="BE411" t="s">
        <v>7838</v>
      </c>
      <c r="BF411" t="str">
        <f>HYPERLINK("http://dx.doi.org/10.1029/2008JC004797","http://dx.doi.org/10.1029/2008JC004797")</f>
        <v>http://dx.doi.org/10.1029/2008JC004797</v>
      </c>
      <c r="BG411" t="s">
        <v>74</v>
      </c>
      <c r="BH411" t="s">
        <v>74</v>
      </c>
      <c r="BI411">
        <v>15</v>
      </c>
      <c r="BJ411" t="s">
        <v>689</v>
      </c>
      <c r="BK411" t="s">
        <v>100</v>
      </c>
      <c r="BL411" t="s">
        <v>689</v>
      </c>
      <c r="BM411" t="s">
        <v>7839</v>
      </c>
      <c r="BN411" t="s">
        <v>74</v>
      </c>
      <c r="BO411" t="s">
        <v>616</v>
      </c>
      <c r="BP411" t="s">
        <v>74</v>
      </c>
      <c r="BQ411" t="s">
        <v>74</v>
      </c>
      <c r="BR411" t="s">
        <v>103</v>
      </c>
      <c r="BS411" t="s">
        <v>7840</v>
      </c>
      <c r="BT411" t="str">
        <f>HYPERLINK("https%3A%2F%2Fwww.webofscience.com%2Fwos%2Fwoscc%2Ffull-record%2FWOS:000263736200001","View Full Record in Web of Science")</f>
        <v>View Full Record in Web of Science</v>
      </c>
    </row>
    <row r="412" spans="1:72" x14ac:dyDescent="0.15">
      <c r="A412" t="s">
        <v>72</v>
      </c>
      <c r="B412" t="s">
        <v>7841</v>
      </c>
      <c r="C412" t="s">
        <v>74</v>
      </c>
      <c r="D412" t="s">
        <v>74</v>
      </c>
      <c r="E412" t="s">
        <v>74</v>
      </c>
      <c r="F412" t="s">
        <v>7842</v>
      </c>
      <c r="G412" t="s">
        <v>74</v>
      </c>
      <c r="H412" t="s">
        <v>74</v>
      </c>
      <c r="I412" t="s">
        <v>7843</v>
      </c>
      <c r="J412" t="s">
        <v>772</v>
      </c>
      <c r="K412" t="s">
        <v>74</v>
      </c>
      <c r="L412" t="s">
        <v>74</v>
      </c>
      <c r="M412" t="s">
        <v>78</v>
      </c>
      <c r="N412" t="s">
        <v>934</v>
      </c>
      <c r="O412" t="s">
        <v>74</v>
      </c>
      <c r="P412" t="s">
        <v>74</v>
      </c>
      <c r="Q412" t="s">
        <v>74</v>
      </c>
      <c r="R412" t="s">
        <v>74</v>
      </c>
      <c r="S412" t="s">
        <v>74</v>
      </c>
      <c r="T412" t="s">
        <v>74</v>
      </c>
      <c r="U412" t="s">
        <v>7844</v>
      </c>
      <c r="V412" t="s">
        <v>74</v>
      </c>
      <c r="W412" t="s">
        <v>7845</v>
      </c>
      <c r="X412" t="s">
        <v>7846</v>
      </c>
      <c r="Y412" t="s">
        <v>7847</v>
      </c>
      <c r="Z412" t="s">
        <v>7848</v>
      </c>
      <c r="AA412" t="s">
        <v>7849</v>
      </c>
      <c r="AB412" t="s">
        <v>74</v>
      </c>
      <c r="AC412" t="s">
        <v>74</v>
      </c>
      <c r="AD412" t="s">
        <v>74</v>
      </c>
      <c r="AE412" t="s">
        <v>74</v>
      </c>
      <c r="AF412" t="s">
        <v>74</v>
      </c>
      <c r="AG412">
        <v>13</v>
      </c>
      <c r="AH412">
        <v>2</v>
      </c>
      <c r="AI412">
        <v>2</v>
      </c>
      <c r="AJ412">
        <v>0</v>
      </c>
      <c r="AK412">
        <v>4</v>
      </c>
      <c r="AL412" t="s">
        <v>784</v>
      </c>
      <c r="AM412" t="s">
        <v>606</v>
      </c>
      <c r="AN412" t="s">
        <v>785</v>
      </c>
      <c r="AO412" t="s">
        <v>786</v>
      </c>
      <c r="AP412" t="s">
        <v>74</v>
      </c>
      <c r="AQ412" t="s">
        <v>74</v>
      </c>
      <c r="AR412" t="s">
        <v>772</v>
      </c>
      <c r="AS412" t="s">
        <v>788</v>
      </c>
      <c r="AT412" t="s">
        <v>7836</v>
      </c>
      <c r="AU412">
        <v>2009</v>
      </c>
      <c r="AV412">
        <v>323</v>
      </c>
      <c r="AW412">
        <v>5918</v>
      </c>
      <c r="AX412" t="s">
        <v>74</v>
      </c>
      <c r="AY412" t="s">
        <v>74</v>
      </c>
      <c r="AZ412" t="s">
        <v>74</v>
      </c>
      <c r="BA412" t="s">
        <v>74</v>
      </c>
      <c r="BB412">
        <v>1175</v>
      </c>
      <c r="BC412">
        <v>1176</v>
      </c>
      <c r="BD412" t="s">
        <v>74</v>
      </c>
      <c r="BE412" t="s">
        <v>7850</v>
      </c>
      <c r="BF412" t="str">
        <f>HYPERLINK("http://dx.doi.org/10.1126/science.1170613","http://dx.doi.org/10.1126/science.1170613")</f>
        <v>http://dx.doi.org/10.1126/science.1170613</v>
      </c>
      <c r="BG412" t="s">
        <v>74</v>
      </c>
      <c r="BH412" t="s">
        <v>74</v>
      </c>
      <c r="BI412">
        <v>2</v>
      </c>
      <c r="BJ412" t="s">
        <v>790</v>
      </c>
      <c r="BK412" t="s">
        <v>1103</v>
      </c>
      <c r="BL412" t="s">
        <v>791</v>
      </c>
      <c r="BM412" t="s">
        <v>7851</v>
      </c>
      <c r="BN412">
        <v>19251616</v>
      </c>
      <c r="BO412" t="s">
        <v>74</v>
      </c>
      <c r="BP412" t="s">
        <v>74</v>
      </c>
      <c r="BQ412" t="s">
        <v>74</v>
      </c>
      <c r="BR412" t="s">
        <v>103</v>
      </c>
      <c r="BS412" t="s">
        <v>7852</v>
      </c>
      <c r="BT412" t="str">
        <f>HYPERLINK("https%3A%2F%2Fwww.webofscience.com%2Fwos%2Fwoscc%2Ffull-record%2FWOS:000263687600024","View Full Record in Web of Science")</f>
        <v>View Full Record in Web of Science</v>
      </c>
    </row>
    <row r="413" spans="1:72" x14ac:dyDescent="0.15">
      <c r="A413" t="s">
        <v>72</v>
      </c>
      <c r="B413" t="s">
        <v>7853</v>
      </c>
      <c r="C413" t="s">
        <v>74</v>
      </c>
      <c r="D413" t="s">
        <v>74</v>
      </c>
      <c r="E413" t="s">
        <v>74</v>
      </c>
      <c r="F413" t="s">
        <v>7854</v>
      </c>
      <c r="G413" t="s">
        <v>74</v>
      </c>
      <c r="H413" t="s">
        <v>74</v>
      </c>
      <c r="I413" t="s">
        <v>7855</v>
      </c>
      <c r="J413" t="s">
        <v>772</v>
      </c>
      <c r="K413" t="s">
        <v>74</v>
      </c>
      <c r="L413" t="s">
        <v>74</v>
      </c>
      <c r="M413" t="s">
        <v>78</v>
      </c>
      <c r="N413" t="s">
        <v>79</v>
      </c>
      <c r="O413" t="s">
        <v>74</v>
      </c>
      <c r="P413" t="s">
        <v>74</v>
      </c>
      <c r="Q413" t="s">
        <v>74</v>
      </c>
      <c r="R413" t="s">
        <v>74</v>
      </c>
      <c r="S413" t="s">
        <v>74</v>
      </c>
      <c r="T413" t="s">
        <v>74</v>
      </c>
      <c r="U413" t="s">
        <v>7856</v>
      </c>
      <c r="V413" t="s">
        <v>7857</v>
      </c>
      <c r="W413" t="s">
        <v>7858</v>
      </c>
      <c r="X413" t="s">
        <v>7859</v>
      </c>
      <c r="Y413" t="s">
        <v>7860</v>
      </c>
      <c r="Z413" t="s">
        <v>7861</v>
      </c>
      <c r="AA413" t="s">
        <v>7862</v>
      </c>
      <c r="AB413" t="s">
        <v>7863</v>
      </c>
      <c r="AC413" t="s">
        <v>7864</v>
      </c>
      <c r="AD413" t="s">
        <v>7865</v>
      </c>
      <c r="AE413" t="s">
        <v>7866</v>
      </c>
      <c r="AF413" t="s">
        <v>74</v>
      </c>
      <c r="AG413">
        <v>32</v>
      </c>
      <c r="AH413">
        <v>538</v>
      </c>
      <c r="AI413">
        <v>618</v>
      </c>
      <c r="AJ413">
        <v>2</v>
      </c>
      <c r="AK413">
        <v>206</v>
      </c>
      <c r="AL413" t="s">
        <v>784</v>
      </c>
      <c r="AM413" t="s">
        <v>606</v>
      </c>
      <c r="AN413" t="s">
        <v>785</v>
      </c>
      <c r="AO413" t="s">
        <v>786</v>
      </c>
      <c r="AP413" t="s">
        <v>787</v>
      </c>
      <c r="AQ413" t="s">
        <v>74</v>
      </c>
      <c r="AR413" t="s">
        <v>772</v>
      </c>
      <c r="AS413" t="s">
        <v>788</v>
      </c>
      <c r="AT413" t="s">
        <v>7836</v>
      </c>
      <c r="AU413">
        <v>2009</v>
      </c>
      <c r="AV413">
        <v>323</v>
      </c>
      <c r="AW413">
        <v>5918</v>
      </c>
      <c r="AX413" t="s">
        <v>74</v>
      </c>
      <c r="AY413" t="s">
        <v>74</v>
      </c>
      <c r="AZ413" t="s">
        <v>74</v>
      </c>
      <c r="BA413" t="s">
        <v>74</v>
      </c>
      <c r="BB413">
        <v>1187</v>
      </c>
      <c r="BC413">
        <v>1190</v>
      </c>
      <c r="BD413" t="s">
        <v>74</v>
      </c>
      <c r="BE413" t="s">
        <v>7867</v>
      </c>
      <c r="BF413" t="str">
        <f>HYPERLINK("http://dx.doi.org/10.1126/science.1166368","http://dx.doi.org/10.1126/science.1166368")</f>
        <v>http://dx.doi.org/10.1126/science.1166368</v>
      </c>
      <c r="BG413" t="s">
        <v>74</v>
      </c>
      <c r="BH413" t="s">
        <v>74</v>
      </c>
      <c r="BI413">
        <v>4</v>
      </c>
      <c r="BJ413" t="s">
        <v>790</v>
      </c>
      <c r="BK413" t="s">
        <v>100</v>
      </c>
      <c r="BL413" t="s">
        <v>791</v>
      </c>
      <c r="BM413" t="s">
        <v>7851</v>
      </c>
      <c r="BN413">
        <v>19251622</v>
      </c>
      <c r="BO413" t="s">
        <v>217</v>
      </c>
      <c r="BP413" t="s">
        <v>74</v>
      </c>
      <c r="BQ413" t="s">
        <v>74</v>
      </c>
      <c r="BR413" t="s">
        <v>103</v>
      </c>
      <c r="BS413" t="s">
        <v>7868</v>
      </c>
      <c r="BT413" t="str">
        <f>HYPERLINK("https%3A%2F%2Fwww.webofscience.com%2Fwos%2Fwoscc%2Ffull-record%2FWOS:000263687600031","View Full Record in Web of Science")</f>
        <v>View Full Record in Web of Science</v>
      </c>
    </row>
    <row r="414" spans="1:72" x14ac:dyDescent="0.15">
      <c r="A414" t="s">
        <v>72</v>
      </c>
      <c r="B414" t="s">
        <v>7869</v>
      </c>
      <c r="C414" t="s">
        <v>74</v>
      </c>
      <c r="D414" t="s">
        <v>74</v>
      </c>
      <c r="E414" t="s">
        <v>74</v>
      </c>
      <c r="F414" t="s">
        <v>7870</v>
      </c>
      <c r="G414" t="s">
        <v>74</v>
      </c>
      <c r="H414" t="s">
        <v>74</v>
      </c>
      <c r="I414" t="s">
        <v>7871</v>
      </c>
      <c r="J414" t="s">
        <v>3218</v>
      </c>
      <c r="K414" t="s">
        <v>74</v>
      </c>
      <c r="L414" t="s">
        <v>74</v>
      </c>
      <c r="M414" t="s">
        <v>78</v>
      </c>
      <c r="N414" t="s">
        <v>79</v>
      </c>
      <c r="O414" t="s">
        <v>74</v>
      </c>
      <c r="P414" t="s">
        <v>74</v>
      </c>
      <c r="Q414" t="s">
        <v>74</v>
      </c>
      <c r="R414" t="s">
        <v>74</v>
      </c>
      <c r="S414" t="s">
        <v>74</v>
      </c>
      <c r="T414" t="s">
        <v>74</v>
      </c>
      <c r="U414" t="s">
        <v>7872</v>
      </c>
      <c r="V414" t="s">
        <v>7873</v>
      </c>
      <c r="W414" t="s">
        <v>7874</v>
      </c>
      <c r="X414" t="s">
        <v>7875</v>
      </c>
      <c r="Y414" t="s">
        <v>7876</v>
      </c>
      <c r="Z414" t="s">
        <v>7877</v>
      </c>
      <c r="AA414" t="s">
        <v>7878</v>
      </c>
      <c r="AB414" t="s">
        <v>7879</v>
      </c>
      <c r="AC414" t="s">
        <v>7880</v>
      </c>
      <c r="AD414" t="s">
        <v>7881</v>
      </c>
      <c r="AE414" t="s">
        <v>7882</v>
      </c>
      <c r="AF414" t="s">
        <v>74</v>
      </c>
      <c r="AG414">
        <v>57</v>
      </c>
      <c r="AH414">
        <v>390</v>
      </c>
      <c r="AI414">
        <v>447</v>
      </c>
      <c r="AJ414">
        <v>0</v>
      </c>
      <c r="AK414">
        <v>165</v>
      </c>
      <c r="AL414" t="s">
        <v>3225</v>
      </c>
      <c r="AM414" t="s">
        <v>2924</v>
      </c>
      <c r="AN414" t="s">
        <v>3226</v>
      </c>
      <c r="AO414" t="s">
        <v>3227</v>
      </c>
      <c r="AP414" t="s">
        <v>5702</v>
      </c>
      <c r="AQ414" t="s">
        <v>74</v>
      </c>
      <c r="AR414" t="s">
        <v>3218</v>
      </c>
      <c r="AS414" t="s">
        <v>3228</v>
      </c>
      <c r="AT414" t="s">
        <v>7883</v>
      </c>
      <c r="AU414">
        <v>2009</v>
      </c>
      <c r="AV414">
        <v>457</v>
      </c>
      <c r="AW414">
        <v>7233</v>
      </c>
      <c r="AX414" t="s">
        <v>74</v>
      </c>
      <c r="AY414" t="s">
        <v>74</v>
      </c>
      <c r="AZ414" t="s">
        <v>74</v>
      </c>
      <c r="BA414" t="s">
        <v>74</v>
      </c>
      <c r="BB414">
        <v>1097</v>
      </c>
      <c r="BC414" t="s">
        <v>7884</v>
      </c>
      <c r="BD414" t="s">
        <v>74</v>
      </c>
      <c r="BE414" t="s">
        <v>7885</v>
      </c>
      <c r="BF414" t="str">
        <f>HYPERLINK("http://dx.doi.org/10.1038/nature07770","http://dx.doi.org/10.1038/nature07770")</f>
        <v>http://dx.doi.org/10.1038/nature07770</v>
      </c>
      <c r="BG414" t="s">
        <v>74</v>
      </c>
      <c r="BH414" t="s">
        <v>74</v>
      </c>
      <c r="BI414">
        <v>7</v>
      </c>
      <c r="BJ414" t="s">
        <v>790</v>
      </c>
      <c r="BK414" t="s">
        <v>100</v>
      </c>
      <c r="BL414" t="s">
        <v>791</v>
      </c>
      <c r="BM414" t="s">
        <v>7886</v>
      </c>
      <c r="BN414">
        <v>19242468</v>
      </c>
      <c r="BO414" t="s">
        <v>74</v>
      </c>
      <c r="BP414" t="s">
        <v>74</v>
      </c>
      <c r="BQ414" t="s">
        <v>74</v>
      </c>
      <c r="BR414" t="s">
        <v>103</v>
      </c>
      <c r="BS414" t="s">
        <v>7887</v>
      </c>
      <c r="BT414" t="str">
        <f>HYPERLINK("https%3A%2F%2Fwww.webofscience.com%2Fwos%2Fwoscc%2Ffull-record%2FWOS:000263680100033","View Full Record in Web of Science")</f>
        <v>View Full Record in Web of Science</v>
      </c>
    </row>
    <row r="415" spans="1:72" x14ac:dyDescent="0.15">
      <c r="A415" t="s">
        <v>72</v>
      </c>
      <c r="B415" t="s">
        <v>7888</v>
      </c>
      <c r="C415" t="s">
        <v>74</v>
      </c>
      <c r="D415" t="s">
        <v>74</v>
      </c>
      <c r="E415" t="s">
        <v>74</v>
      </c>
      <c r="F415" t="s">
        <v>7889</v>
      </c>
      <c r="G415" t="s">
        <v>74</v>
      </c>
      <c r="H415" t="s">
        <v>74</v>
      </c>
      <c r="I415" t="s">
        <v>7890</v>
      </c>
      <c r="J415" t="s">
        <v>515</v>
      </c>
      <c r="K415" t="s">
        <v>74</v>
      </c>
      <c r="L415" t="s">
        <v>74</v>
      </c>
      <c r="M415" t="s">
        <v>78</v>
      </c>
      <c r="N415" t="s">
        <v>79</v>
      </c>
      <c r="O415" t="s">
        <v>74</v>
      </c>
      <c r="P415" t="s">
        <v>74</v>
      </c>
      <c r="Q415" t="s">
        <v>74</v>
      </c>
      <c r="R415" t="s">
        <v>74</v>
      </c>
      <c r="S415" t="s">
        <v>74</v>
      </c>
      <c r="T415" t="s">
        <v>7891</v>
      </c>
      <c r="U415" t="s">
        <v>7892</v>
      </c>
      <c r="V415" t="s">
        <v>7893</v>
      </c>
      <c r="W415" t="s">
        <v>7894</v>
      </c>
      <c r="X415" t="s">
        <v>7895</v>
      </c>
      <c r="Y415" t="s">
        <v>7896</v>
      </c>
      <c r="Z415" t="s">
        <v>7897</v>
      </c>
      <c r="AA415" t="s">
        <v>7898</v>
      </c>
      <c r="AB415" t="s">
        <v>7899</v>
      </c>
      <c r="AC415" t="s">
        <v>7900</v>
      </c>
      <c r="AD415" t="s">
        <v>7901</v>
      </c>
      <c r="AE415" t="s">
        <v>7902</v>
      </c>
      <c r="AF415" t="s">
        <v>74</v>
      </c>
      <c r="AG415">
        <v>63</v>
      </c>
      <c r="AH415">
        <v>45</v>
      </c>
      <c r="AI415">
        <v>52</v>
      </c>
      <c r="AJ415">
        <v>0</v>
      </c>
      <c r="AK415">
        <v>11</v>
      </c>
      <c r="AL415" t="s">
        <v>251</v>
      </c>
      <c r="AM415" t="s">
        <v>252</v>
      </c>
      <c r="AN415" t="s">
        <v>253</v>
      </c>
      <c r="AO415" t="s">
        <v>527</v>
      </c>
      <c r="AP415" t="s">
        <v>528</v>
      </c>
      <c r="AQ415" t="s">
        <v>74</v>
      </c>
      <c r="AR415" t="s">
        <v>529</v>
      </c>
      <c r="AS415" t="s">
        <v>530</v>
      </c>
      <c r="AT415" t="s">
        <v>7903</v>
      </c>
      <c r="AU415">
        <v>2009</v>
      </c>
      <c r="AV415">
        <v>278</v>
      </c>
      <c r="AW415" t="s">
        <v>3346</v>
      </c>
      <c r="AX415" t="s">
        <v>74</v>
      </c>
      <c r="AY415" t="s">
        <v>74</v>
      </c>
      <c r="AZ415" t="s">
        <v>74</v>
      </c>
      <c r="BA415" t="s">
        <v>74</v>
      </c>
      <c r="BB415">
        <v>175</v>
      </c>
      <c r="BC415">
        <v>185</v>
      </c>
      <c r="BD415" t="s">
        <v>74</v>
      </c>
      <c r="BE415" t="s">
        <v>7904</v>
      </c>
      <c r="BF415" t="str">
        <f>HYPERLINK("http://dx.doi.org/10.1016/j.epsl.2008.11.030","http://dx.doi.org/10.1016/j.epsl.2008.11.030")</f>
        <v>http://dx.doi.org/10.1016/j.epsl.2008.11.030</v>
      </c>
      <c r="BG415" t="s">
        <v>74</v>
      </c>
      <c r="BH415" t="s">
        <v>74</v>
      </c>
      <c r="BI415">
        <v>11</v>
      </c>
      <c r="BJ415" t="s">
        <v>534</v>
      </c>
      <c r="BK415" t="s">
        <v>100</v>
      </c>
      <c r="BL415" t="s">
        <v>534</v>
      </c>
      <c r="BM415" t="s">
        <v>7905</v>
      </c>
      <c r="BN415" t="s">
        <v>74</v>
      </c>
      <c r="BO415" t="s">
        <v>1012</v>
      </c>
      <c r="BP415" t="s">
        <v>74</v>
      </c>
      <c r="BQ415" t="s">
        <v>74</v>
      </c>
      <c r="BR415" t="s">
        <v>103</v>
      </c>
      <c r="BS415" t="s">
        <v>7906</v>
      </c>
      <c r="BT415" t="str">
        <f>HYPERLINK("https%3A%2F%2Fwww.webofscience.com%2Fwos%2Fwoscc%2Ffull-record%2FWOS:000264046900004","View Full Record in Web of Science")</f>
        <v>View Full Record in Web of Science</v>
      </c>
    </row>
    <row r="416" spans="1:72" x14ac:dyDescent="0.15">
      <c r="A416" t="s">
        <v>72</v>
      </c>
      <c r="B416" t="s">
        <v>7907</v>
      </c>
      <c r="C416" t="s">
        <v>74</v>
      </c>
      <c r="D416" t="s">
        <v>74</v>
      </c>
      <c r="E416" t="s">
        <v>74</v>
      </c>
      <c r="F416" t="s">
        <v>7908</v>
      </c>
      <c r="G416" t="s">
        <v>74</v>
      </c>
      <c r="H416" t="s">
        <v>74</v>
      </c>
      <c r="I416" t="s">
        <v>7909</v>
      </c>
      <c r="J416" t="s">
        <v>7910</v>
      </c>
      <c r="K416" t="s">
        <v>74</v>
      </c>
      <c r="L416" t="s">
        <v>74</v>
      </c>
      <c r="M416" t="s">
        <v>78</v>
      </c>
      <c r="N416" t="s">
        <v>79</v>
      </c>
      <c r="O416" t="s">
        <v>74</v>
      </c>
      <c r="P416" t="s">
        <v>74</v>
      </c>
      <c r="Q416" t="s">
        <v>74</v>
      </c>
      <c r="R416" t="s">
        <v>74</v>
      </c>
      <c r="S416" t="s">
        <v>74</v>
      </c>
      <c r="T416" t="s">
        <v>7911</v>
      </c>
      <c r="U416" t="s">
        <v>7912</v>
      </c>
      <c r="V416" t="s">
        <v>7913</v>
      </c>
      <c r="W416" t="s">
        <v>7914</v>
      </c>
      <c r="X416" t="s">
        <v>7915</v>
      </c>
      <c r="Y416" t="s">
        <v>7916</v>
      </c>
      <c r="Z416" t="s">
        <v>7917</v>
      </c>
      <c r="AA416" t="s">
        <v>74</v>
      </c>
      <c r="AB416" t="s">
        <v>7918</v>
      </c>
      <c r="AC416" t="s">
        <v>7919</v>
      </c>
      <c r="AD416" t="s">
        <v>7920</v>
      </c>
      <c r="AE416" t="s">
        <v>7921</v>
      </c>
      <c r="AF416" t="s">
        <v>74</v>
      </c>
      <c r="AG416">
        <v>68</v>
      </c>
      <c r="AH416">
        <v>26</v>
      </c>
      <c r="AI416">
        <v>28</v>
      </c>
      <c r="AJ416">
        <v>2</v>
      </c>
      <c r="AK416">
        <v>30</v>
      </c>
      <c r="AL416" t="s">
        <v>605</v>
      </c>
      <c r="AM416" t="s">
        <v>606</v>
      </c>
      <c r="AN416" t="s">
        <v>607</v>
      </c>
      <c r="AO416" t="s">
        <v>74</v>
      </c>
      <c r="AP416" t="s">
        <v>7922</v>
      </c>
      <c r="AQ416" t="s">
        <v>74</v>
      </c>
      <c r="AR416" t="s">
        <v>7923</v>
      </c>
      <c r="AS416" t="s">
        <v>7924</v>
      </c>
      <c r="AT416" t="s">
        <v>7903</v>
      </c>
      <c r="AU416">
        <v>2009</v>
      </c>
      <c r="AV416">
        <v>10</v>
      </c>
      <c r="AW416" t="s">
        <v>74</v>
      </c>
      <c r="AX416" t="s">
        <v>74</v>
      </c>
      <c r="AY416" t="s">
        <v>74</v>
      </c>
      <c r="AZ416" t="s">
        <v>74</v>
      </c>
      <c r="BA416" t="s">
        <v>74</v>
      </c>
      <c r="BB416" t="s">
        <v>74</v>
      </c>
      <c r="BC416" t="s">
        <v>74</v>
      </c>
      <c r="BD416" t="s">
        <v>7925</v>
      </c>
      <c r="BE416" t="s">
        <v>7926</v>
      </c>
      <c r="BF416" t="str">
        <f>HYPERLINK("http://dx.doi.org/10.1029/2008GC002149","http://dx.doi.org/10.1029/2008GC002149")</f>
        <v>http://dx.doi.org/10.1029/2008GC002149</v>
      </c>
      <c r="BG416" t="s">
        <v>74</v>
      </c>
      <c r="BH416" t="s">
        <v>74</v>
      </c>
      <c r="BI416">
        <v>14</v>
      </c>
      <c r="BJ416" t="s">
        <v>534</v>
      </c>
      <c r="BK416" t="s">
        <v>100</v>
      </c>
      <c r="BL416" t="s">
        <v>534</v>
      </c>
      <c r="BM416" t="s">
        <v>7927</v>
      </c>
      <c r="BN416" t="s">
        <v>74</v>
      </c>
      <c r="BO416" t="s">
        <v>499</v>
      </c>
      <c r="BP416" t="s">
        <v>74</v>
      </c>
      <c r="BQ416" t="s">
        <v>74</v>
      </c>
      <c r="BR416" t="s">
        <v>103</v>
      </c>
      <c r="BS416" t="s">
        <v>7928</v>
      </c>
      <c r="BT416" t="str">
        <f>HYPERLINK("https%3A%2F%2Fwww.webofscience.com%2Fwos%2Fwoscc%2Ffull-record%2FWOS:000263729300001","View Full Record in Web of Science")</f>
        <v>View Full Record in Web of Science</v>
      </c>
    </row>
    <row r="417" spans="1:72" x14ac:dyDescent="0.15">
      <c r="A417" t="s">
        <v>72</v>
      </c>
      <c r="B417" t="s">
        <v>7929</v>
      </c>
      <c r="C417" t="s">
        <v>74</v>
      </c>
      <c r="D417" t="s">
        <v>74</v>
      </c>
      <c r="E417" t="s">
        <v>74</v>
      </c>
      <c r="F417" t="s">
        <v>7930</v>
      </c>
      <c r="G417" t="s">
        <v>74</v>
      </c>
      <c r="H417" t="s">
        <v>74</v>
      </c>
      <c r="I417" t="s">
        <v>7931</v>
      </c>
      <c r="J417" t="s">
        <v>645</v>
      </c>
      <c r="K417" t="s">
        <v>74</v>
      </c>
      <c r="L417" t="s">
        <v>74</v>
      </c>
      <c r="M417" t="s">
        <v>78</v>
      </c>
      <c r="N417" t="s">
        <v>79</v>
      </c>
      <c r="O417" t="s">
        <v>74</v>
      </c>
      <c r="P417" t="s">
        <v>74</v>
      </c>
      <c r="Q417" t="s">
        <v>74</v>
      </c>
      <c r="R417" t="s">
        <v>74</v>
      </c>
      <c r="S417" t="s">
        <v>74</v>
      </c>
      <c r="T417" t="s">
        <v>74</v>
      </c>
      <c r="U417" t="s">
        <v>7932</v>
      </c>
      <c r="V417" t="s">
        <v>7933</v>
      </c>
      <c r="W417" t="s">
        <v>7934</v>
      </c>
      <c r="X417" t="s">
        <v>7935</v>
      </c>
      <c r="Y417" t="s">
        <v>7936</v>
      </c>
      <c r="Z417" t="s">
        <v>7937</v>
      </c>
      <c r="AA417" t="s">
        <v>7938</v>
      </c>
      <c r="AB417" t="s">
        <v>7939</v>
      </c>
      <c r="AC417" t="s">
        <v>7940</v>
      </c>
      <c r="AD417" t="s">
        <v>7941</v>
      </c>
      <c r="AE417" t="s">
        <v>7942</v>
      </c>
      <c r="AF417" t="s">
        <v>74</v>
      </c>
      <c r="AG417">
        <v>27</v>
      </c>
      <c r="AH417">
        <v>37</v>
      </c>
      <c r="AI417">
        <v>40</v>
      </c>
      <c r="AJ417">
        <v>0</v>
      </c>
      <c r="AK417">
        <v>10</v>
      </c>
      <c r="AL417" t="s">
        <v>605</v>
      </c>
      <c r="AM417" t="s">
        <v>606</v>
      </c>
      <c r="AN417" t="s">
        <v>607</v>
      </c>
      <c r="AO417" t="s">
        <v>657</v>
      </c>
      <c r="AP417" t="s">
        <v>658</v>
      </c>
      <c r="AQ417" t="s">
        <v>74</v>
      </c>
      <c r="AR417" t="s">
        <v>659</v>
      </c>
      <c r="AS417" t="s">
        <v>660</v>
      </c>
      <c r="AT417" t="s">
        <v>7903</v>
      </c>
      <c r="AU417">
        <v>2009</v>
      </c>
      <c r="AV417">
        <v>36</v>
      </c>
      <c r="AW417" t="s">
        <v>74</v>
      </c>
      <c r="AX417" t="s">
        <v>74</v>
      </c>
      <c r="AY417" t="s">
        <v>74</v>
      </c>
      <c r="AZ417" t="s">
        <v>74</v>
      </c>
      <c r="BA417" t="s">
        <v>74</v>
      </c>
      <c r="BB417" t="s">
        <v>74</v>
      </c>
      <c r="BC417" t="s">
        <v>74</v>
      </c>
      <c r="BD417" t="s">
        <v>7943</v>
      </c>
      <c r="BE417" t="s">
        <v>7944</v>
      </c>
      <c r="BF417" t="str">
        <f>HYPERLINK("http://dx.doi.org/10.1029/2008GL037059","http://dx.doi.org/10.1029/2008GL037059")</f>
        <v>http://dx.doi.org/10.1029/2008GL037059</v>
      </c>
      <c r="BG417" t="s">
        <v>74</v>
      </c>
      <c r="BH417" t="s">
        <v>74</v>
      </c>
      <c r="BI417">
        <v>5</v>
      </c>
      <c r="BJ417" t="s">
        <v>496</v>
      </c>
      <c r="BK417" t="s">
        <v>100</v>
      </c>
      <c r="BL417" t="s">
        <v>497</v>
      </c>
      <c r="BM417" t="s">
        <v>7945</v>
      </c>
      <c r="BN417" t="s">
        <v>74</v>
      </c>
      <c r="BO417" t="s">
        <v>839</v>
      </c>
      <c r="BP417" t="s">
        <v>74</v>
      </c>
      <c r="BQ417" t="s">
        <v>74</v>
      </c>
      <c r="BR417" t="s">
        <v>103</v>
      </c>
      <c r="BS417" t="s">
        <v>7946</v>
      </c>
      <c r="BT417" t="str">
        <f>HYPERLINK("https%3A%2F%2Fwww.webofscience.com%2Fwos%2Fwoscc%2Ffull-record%2FWOS:000263730100007","View Full Record in Web of Science")</f>
        <v>View Full Record in Web of Science</v>
      </c>
    </row>
    <row r="418" spans="1:72" x14ac:dyDescent="0.15">
      <c r="A418" t="s">
        <v>72</v>
      </c>
      <c r="B418" t="s">
        <v>7947</v>
      </c>
      <c r="C418" t="s">
        <v>74</v>
      </c>
      <c r="D418" t="s">
        <v>74</v>
      </c>
      <c r="E418" t="s">
        <v>74</v>
      </c>
      <c r="F418" t="s">
        <v>7948</v>
      </c>
      <c r="G418" t="s">
        <v>74</v>
      </c>
      <c r="H418" t="s">
        <v>74</v>
      </c>
      <c r="I418" t="s">
        <v>7949</v>
      </c>
      <c r="J418" t="s">
        <v>957</v>
      </c>
      <c r="K418" t="s">
        <v>74</v>
      </c>
      <c r="L418" t="s">
        <v>74</v>
      </c>
      <c r="M418" t="s">
        <v>78</v>
      </c>
      <c r="N418" t="s">
        <v>79</v>
      </c>
      <c r="O418" t="s">
        <v>74</v>
      </c>
      <c r="P418" t="s">
        <v>74</v>
      </c>
      <c r="Q418" t="s">
        <v>74</v>
      </c>
      <c r="R418" t="s">
        <v>74</v>
      </c>
      <c r="S418" t="s">
        <v>74</v>
      </c>
      <c r="T418" t="s">
        <v>7950</v>
      </c>
      <c r="U418" t="s">
        <v>7951</v>
      </c>
      <c r="V418" t="s">
        <v>7952</v>
      </c>
      <c r="W418" t="s">
        <v>7953</v>
      </c>
      <c r="X418" t="s">
        <v>7954</v>
      </c>
      <c r="Y418" t="s">
        <v>7955</v>
      </c>
      <c r="Z418" t="s">
        <v>7956</v>
      </c>
      <c r="AA418" t="s">
        <v>7957</v>
      </c>
      <c r="AB418" t="s">
        <v>7958</v>
      </c>
      <c r="AC418" t="s">
        <v>7959</v>
      </c>
      <c r="AD418" t="s">
        <v>7960</v>
      </c>
      <c r="AE418" t="s">
        <v>7961</v>
      </c>
      <c r="AF418" t="s">
        <v>74</v>
      </c>
      <c r="AG418">
        <v>31</v>
      </c>
      <c r="AH418">
        <v>7</v>
      </c>
      <c r="AI418">
        <v>7</v>
      </c>
      <c r="AJ418">
        <v>0</v>
      </c>
      <c r="AK418">
        <v>20</v>
      </c>
      <c r="AL418" t="s">
        <v>553</v>
      </c>
      <c r="AM418" t="s">
        <v>252</v>
      </c>
      <c r="AN418" t="s">
        <v>554</v>
      </c>
      <c r="AO418" t="s">
        <v>967</v>
      </c>
      <c r="AP418" t="s">
        <v>968</v>
      </c>
      <c r="AQ418" t="s">
        <v>74</v>
      </c>
      <c r="AR418" t="s">
        <v>969</v>
      </c>
      <c r="AS418" t="s">
        <v>970</v>
      </c>
      <c r="AT418" t="s">
        <v>7962</v>
      </c>
      <c r="AU418">
        <v>2009</v>
      </c>
      <c r="AV418">
        <v>634</v>
      </c>
      <c r="AW418">
        <v>2</v>
      </c>
      <c r="AX418" t="s">
        <v>74</v>
      </c>
      <c r="AY418" t="s">
        <v>74</v>
      </c>
      <c r="AZ418" t="s">
        <v>74</v>
      </c>
      <c r="BA418" t="s">
        <v>74</v>
      </c>
      <c r="BB418">
        <v>228</v>
      </c>
      <c r="BC418">
        <v>236</v>
      </c>
      <c r="BD418" t="s">
        <v>74</v>
      </c>
      <c r="BE418" t="s">
        <v>7963</v>
      </c>
      <c r="BF418" t="str">
        <f>HYPERLINK("http://dx.doi.org/10.1016/j.aca.2008.11.067","http://dx.doi.org/10.1016/j.aca.2008.11.067")</f>
        <v>http://dx.doi.org/10.1016/j.aca.2008.11.067</v>
      </c>
      <c r="BG418" t="s">
        <v>74</v>
      </c>
      <c r="BH418" t="s">
        <v>74</v>
      </c>
      <c r="BI418">
        <v>9</v>
      </c>
      <c r="BJ418" t="s">
        <v>814</v>
      </c>
      <c r="BK418" t="s">
        <v>100</v>
      </c>
      <c r="BL418" t="s">
        <v>561</v>
      </c>
      <c r="BM418" t="s">
        <v>7964</v>
      </c>
      <c r="BN418">
        <v>19185125</v>
      </c>
      <c r="BO418" t="s">
        <v>74</v>
      </c>
      <c r="BP418" t="s">
        <v>74</v>
      </c>
      <c r="BQ418" t="s">
        <v>74</v>
      </c>
      <c r="BR418" t="s">
        <v>103</v>
      </c>
      <c r="BS418" t="s">
        <v>7965</v>
      </c>
      <c r="BT418" t="str">
        <f>HYPERLINK("https%3A%2F%2Fwww.webofscience.com%2Fwos%2Fwoscc%2Ffull-record%2FWOS:000263390400014","View Full Record in Web of Science")</f>
        <v>View Full Record in Web of Science</v>
      </c>
    </row>
    <row r="419" spans="1:72" x14ac:dyDescent="0.15">
      <c r="A419" t="s">
        <v>72</v>
      </c>
      <c r="B419" t="s">
        <v>7966</v>
      </c>
      <c r="C419" t="s">
        <v>74</v>
      </c>
      <c r="D419" t="s">
        <v>74</v>
      </c>
      <c r="E419" t="s">
        <v>74</v>
      </c>
      <c r="F419" t="s">
        <v>7967</v>
      </c>
      <c r="G419" t="s">
        <v>74</v>
      </c>
      <c r="H419" t="s">
        <v>74</v>
      </c>
      <c r="I419" t="s">
        <v>7968</v>
      </c>
      <c r="J419" t="s">
        <v>820</v>
      </c>
      <c r="K419" t="s">
        <v>74</v>
      </c>
      <c r="L419" t="s">
        <v>74</v>
      </c>
      <c r="M419" t="s">
        <v>78</v>
      </c>
      <c r="N419" t="s">
        <v>79</v>
      </c>
      <c r="O419" t="s">
        <v>74</v>
      </c>
      <c r="P419" t="s">
        <v>74</v>
      </c>
      <c r="Q419" t="s">
        <v>74</v>
      </c>
      <c r="R419" t="s">
        <v>74</v>
      </c>
      <c r="S419" t="s">
        <v>74</v>
      </c>
      <c r="T419" t="s">
        <v>74</v>
      </c>
      <c r="U419" t="s">
        <v>7969</v>
      </c>
      <c r="V419" t="s">
        <v>7970</v>
      </c>
      <c r="W419" t="s">
        <v>7971</v>
      </c>
      <c r="X419" t="s">
        <v>7972</v>
      </c>
      <c r="Y419" t="s">
        <v>7973</v>
      </c>
      <c r="Z419" t="s">
        <v>7974</v>
      </c>
      <c r="AA419" t="s">
        <v>7975</v>
      </c>
      <c r="AB419" t="s">
        <v>7976</v>
      </c>
      <c r="AC419" t="s">
        <v>7977</v>
      </c>
      <c r="AD419" t="s">
        <v>7978</v>
      </c>
      <c r="AE419" t="s">
        <v>7979</v>
      </c>
      <c r="AF419" t="s">
        <v>74</v>
      </c>
      <c r="AG419">
        <v>62</v>
      </c>
      <c r="AH419">
        <v>134</v>
      </c>
      <c r="AI419">
        <v>146</v>
      </c>
      <c r="AJ419">
        <v>0</v>
      </c>
      <c r="AK419">
        <v>44</v>
      </c>
      <c r="AL419" t="s">
        <v>605</v>
      </c>
      <c r="AM419" t="s">
        <v>606</v>
      </c>
      <c r="AN419" t="s">
        <v>607</v>
      </c>
      <c r="AO419" t="s">
        <v>831</v>
      </c>
      <c r="AP419" t="s">
        <v>832</v>
      </c>
      <c r="AQ419" t="s">
        <v>74</v>
      </c>
      <c r="AR419" t="s">
        <v>833</v>
      </c>
      <c r="AS419" t="s">
        <v>834</v>
      </c>
      <c r="AT419" t="s">
        <v>7980</v>
      </c>
      <c r="AU419">
        <v>2009</v>
      </c>
      <c r="AV419">
        <v>114</v>
      </c>
      <c r="AW419" t="s">
        <v>74</v>
      </c>
      <c r="AX419" t="s">
        <v>74</v>
      </c>
      <c r="AY419" t="s">
        <v>74</v>
      </c>
      <c r="AZ419" t="s">
        <v>74</v>
      </c>
      <c r="BA419" t="s">
        <v>74</v>
      </c>
      <c r="BB419" t="s">
        <v>74</v>
      </c>
      <c r="BC419" t="s">
        <v>74</v>
      </c>
      <c r="BD419" t="s">
        <v>7981</v>
      </c>
      <c r="BE419" t="s">
        <v>7982</v>
      </c>
      <c r="BF419" t="str">
        <f>HYPERLINK("http://dx.doi.org/10.1029/2008JD010825","http://dx.doi.org/10.1029/2008JD010825")</f>
        <v>http://dx.doi.org/10.1029/2008JD010825</v>
      </c>
      <c r="BG419" t="s">
        <v>74</v>
      </c>
      <c r="BH419" t="s">
        <v>74</v>
      </c>
      <c r="BI419">
        <v>12</v>
      </c>
      <c r="BJ419" t="s">
        <v>398</v>
      </c>
      <c r="BK419" t="s">
        <v>100</v>
      </c>
      <c r="BL419" t="s">
        <v>398</v>
      </c>
      <c r="BM419" t="s">
        <v>7983</v>
      </c>
      <c r="BN419" t="s">
        <v>74</v>
      </c>
      <c r="BO419" t="s">
        <v>839</v>
      </c>
      <c r="BP419" t="s">
        <v>74</v>
      </c>
      <c r="BQ419" t="s">
        <v>74</v>
      </c>
      <c r="BR419" t="s">
        <v>103</v>
      </c>
      <c r="BS419" t="s">
        <v>7984</v>
      </c>
      <c r="BT419" t="str">
        <f>HYPERLINK("https%3A%2F%2Fwww.webofscience.com%2Fwos%2Fwoscc%2Ffull-record%2FWOS:000263612500006","View Full Record in Web of Science")</f>
        <v>View Full Record in Web of Science</v>
      </c>
    </row>
    <row r="420" spans="1:72" x14ac:dyDescent="0.15">
      <c r="A420" t="s">
        <v>72</v>
      </c>
      <c r="B420" t="s">
        <v>7985</v>
      </c>
      <c r="C420" t="s">
        <v>74</v>
      </c>
      <c r="D420" t="s">
        <v>74</v>
      </c>
      <c r="E420" t="s">
        <v>74</v>
      </c>
      <c r="F420" t="s">
        <v>7986</v>
      </c>
      <c r="G420" t="s">
        <v>74</v>
      </c>
      <c r="H420" t="s">
        <v>74</v>
      </c>
      <c r="I420" t="s">
        <v>7987</v>
      </c>
      <c r="J420" t="s">
        <v>7988</v>
      </c>
      <c r="K420" t="s">
        <v>74</v>
      </c>
      <c r="L420" t="s">
        <v>74</v>
      </c>
      <c r="M420" t="s">
        <v>78</v>
      </c>
      <c r="N420" t="s">
        <v>79</v>
      </c>
      <c r="O420" t="s">
        <v>74</v>
      </c>
      <c r="P420" t="s">
        <v>74</v>
      </c>
      <c r="Q420" t="s">
        <v>74</v>
      </c>
      <c r="R420" t="s">
        <v>74</v>
      </c>
      <c r="S420" t="s">
        <v>74</v>
      </c>
      <c r="T420" t="s">
        <v>7989</v>
      </c>
      <c r="U420" t="s">
        <v>7990</v>
      </c>
      <c r="V420" t="s">
        <v>7991</v>
      </c>
      <c r="W420" t="s">
        <v>7992</v>
      </c>
      <c r="X420" t="s">
        <v>7993</v>
      </c>
      <c r="Y420" t="s">
        <v>7994</v>
      </c>
      <c r="Z420" t="s">
        <v>74</v>
      </c>
      <c r="AA420" t="s">
        <v>7995</v>
      </c>
      <c r="AB420" t="s">
        <v>7996</v>
      </c>
      <c r="AC420" t="s">
        <v>7997</v>
      </c>
      <c r="AD420" t="s">
        <v>7998</v>
      </c>
      <c r="AE420" t="s">
        <v>7999</v>
      </c>
      <c r="AF420" t="s">
        <v>74</v>
      </c>
      <c r="AG420">
        <v>40</v>
      </c>
      <c r="AH420">
        <v>46</v>
      </c>
      <c r="AI420">
        <v>63</v>
      </c>
      <c r="AJ420">
        <v>0</v>
      </c>
      <c r="AK420">
        <v>2</v>
      </c>
      <c r="AL420" t="s">
        <v>8000</v>
      </c>
      <c r="AM420" t="s">
        <v>8001</v>
      </c>
      <c r="AN420" t="s">
        <v>8002</v>
      </c>
      <c r="AO420" t="s">
        <v>8003</v>
      </c>
      <c r="AP420" t="s">
        <v>8004</v>
      </c>
      <c r="AQ420" t="s">
        <v>74</v>
      </c>
      <c r="AR420" t="s">
        <v>8005</v>
      </c>
      <c r="AS420" t="s">
        <v>8006</v>
      </c>
      <c r="AT420" t="s">
        <v>8007</v>
      </c>
      <c r="AU420">
        <v>2009</v>
      </c>
      <c r="AV420">
        <v>692</v>
      </c>
      <c r="AW420">
        <v>2</v>
      </c>
      <c r="AX420" t="s">
        <v>74</v>
      </c>
      <c r="AY420" t="s">
        <v>74</v>
      </c>
      <c r="AZ420" t="s">
        <v>74</v>
      </c>
      <c r="BA420" t="s">
        <v>74</v>
      </c>
      <c r="BB420">
        <v>1221</v>
      </c>
      <c r="BC420">
        <v>1246</v>
      </c>
      <c r="BD420" t="s">
        <v>74</v>
      </c>
      <c r="BE420" t="s">
        <v>8008</v>
      </c>
      <c r="BF420" t="str">
        <f>HYPERLINK("http://dx.doi.org/10.1088/0004-637X/692/2/1221","http://dx.doi.org/10.1088/0004-637X/692/2/1221")</f>
        <v>http://dx.doi.org/10.1088/0004-637X/692/2/1221</v>
      </c>
      <c r="BG420" t="s">
        <v>74</v>
      </c>
      <c r="BH420" t="s">
        <v>74</v>
      </c>
      <c r="BI420">
        <v>26</v>
      </c>
      <c r="BJ420" t="s">
        <v>285</v>
      </c>
      <c r="BK420" t="s">
        <v>100</v>
      </c>
      <c r="BL420" t="s">
        <v>285</v>
      </c>
      <c r="BM420" t="s">
        <v>8009</v>
      </c>
      <c r="BN420" t="s">
        <v>74</v>
      </c>
      <c r="BO420" t="s">
        <v>8010</v>
      </c>
      <c r="BP420" t="s">
        <v>74</v>
      </c>
      <c r="BQ420" t="s">
        <v>74</v>
      </c>
      <c r="BR420" t="s">
        <v>103</v>
      </c>
      <c r="BS420" t="s">
        <v>8011</v>
      </c>
      <c r="BT420" t="str">
        <f>HYPERLINK("https%3A%2F%2Fwww.webofscience.com%2Fwos%2Fwoscc%2Ffull-record%2FWOS:000263674700019","View Full Record in Web of Science")</f>
        <v>View Full Record in Web of Science</v>
      </c>
    </row>
    <row r="421" spans="1:72" x14ac:dyDescent="0.15">
      <c r="A421" t="s">
        <v>72</v>
      </c>
      <c r="B421" t="s">
        <v>8012</v>
      </c>
      <c r="C421" t="s">
        <v>74</v>
      </c>
      <c r="D421" t="s">
        <v>74</v>
      </c>
      <c r="E421" t="s">
        <v>74</v>
      </c>
      <c r="F421" t="s">
        <v>8013</v>
      </c>
      <c r="G421" t="s">
        <v>74</v>
      </c>
      <c r="H421" t="s">
        <v>8014</v>
      </c>
      <c r="I421" t="s">
        <v>8015</v>
      </c>
      <c r="J421" t="s">
        <v>7988</v>
      </c>
      <c r="K421" t="s">
        <v>74</v>
      </c>
      <c r="L421" t="s">
        <v>74</v>
      </c>
      <c r="M421" t="s">
        <v>78</v>
      </c>
      <c r="N421" t="s">
        <v>79</v>
      </c>
      <c r="O421" t="s">
        <v>74</v>
      </c>
      <c r="P421" t="s">
        <v>74</v>
      </c>
      <c r="Q421" t="s">
        <v>74</v>
      </c>
      <c r="R421" t="s">
        <v>74</v>
      </c>
      <c r="S421" t="s">
        <v>74</v>
      </c>
      <c r="T421" t="s">
        <v>8016</v>
      </c>
      <c r="U421" t="s">
        <v>8017</v>
      </c>
      <c r="V421" t="s">
        <v>8018</v>
      </c>
      <c r="W421" t="s">
        <v>8019</v>
      </c>
      <c r="X421" t="s">
        <v>8020</v>
      </c>
      <c r="Y421" t="s">
        <v>8021</v>
      </c>
      <c r="Z421" t="s">
        <v>74</v>
      </c>
      <c r="AA421" t="s">
        <v>7995</v>
      </c>
      <c r="AB421" t="s">
        <v>8022</v>
      </c>
      <c r="AC421" t="s">
        <v>8023</v>
      </c>
      <c r="AD421" t="s">
        <v>8024</v>
      </c>
      <c r="AE421" t="s">
        <v>8025</v>
      </c>
      <c r="AF421" t="s">
        <v>74</v>
      </c>
      <c r="AG421">
        <v>33</v>
      </c>
      <c r="AH421">
        <v>103</v>
      </c>
      <c r="AI421">
        <v>132</v>
      </c>
      <c r="AJ421">
        <v>0</v>
      </c>
      <c r="AK421">
        <v>4</v>
      </c>
      <c r="AL421" t="s">
        <v>8000</v>
      </c>
      <c r="AM421" t="s">
        <v>8001</v>
      </c>
      <c r="AN421" t="s">
        <v>8002</v>
      </c>
      <c r="AO421" t="s">
        <v>8003</v>
      </c>
      <c r="AP421" t="s">
        <v>74</v>
      </c>
      <c r="AQ421" t="s">
        <v>74</v>
      </c>
      <c r="AR421" t="s">
        <v>8005</v>
      </c>
      <c r="AS421" t="s">
        <v>8006</v>
      </c>
      <c r="AT421" t="s">
        <v>8007</v>
      </c>
      <c r="AU421">
        <v>2009</v>
      </c>
      <c r="AV421">
        <v>692</v>
      </c>
      <c r="AW421">
        <v>2</v>
      </c>
      <c r="AX421" t="s">
        <v>74</v>
      </c>
      <c r="AY421" t="s">
        <v>74</v>
      </c>
      <c r="AZ421" t="s">
        <v>74</v>
      </c>
      <c r="BA421" t="s">
        <v>74</v>
      </c>
      <c r="BB421">
        <v>1247</v>
      </c>
      <c r="BC421">
        <v>1270</v>
      </c>
      <c r="BD421" t="s">
        <v>74</v>
      </c>
      <c r="BE421" t="s">
        <v>8026</v>
      </c>
      <c r="BF421" t="str">
        <f>HYPERLINK("http://dx.doi.org/10.1088/0004-637X/692/2/1247","http://dx.doi.org/10.1088/0004-637X/692/2/1247")</f>
        <v>http://dx.doi.org/10.1088/0004-637X/692/2/1247</v>
      </c>
      <c r="BG421" t="s">
        <v>74</v>
      </c>
      <c r="BH421" t="s">
        <v>74</v>
      </c>
      <c r="BI421">
        <v>24</v>
      </c>
      <c r="BJ421" t="s">
        <v>285</v>
      </c>
      <c r="BK421" t="s">
        <v>100</v>
      </c>
      <c r="BL421" t="s">
        <v>285</v>
      </c>
      <c r="BM421" t="s">
        <v>8009</v>
      </c>
      <c r="BN421" t="s">
        <v>74</v>
      </c>
      <c r="BO421" t="s">
        <v>8027</v>
      </c>
      <c r="BP421" t="s">
        <v>74</v>
      </c>
      <c r="BQ421" t="s">
        <v>74</v>
      </c>
      <c r="BR421" t="s">
        <v>103</v>
      </c>
      <c r="BS421" t="s">
        <v>8028</v>
      </c>
      <c r="BT421" t="str">
        <f>HYPERLINK("https%3A%2F%2Fwww.webofscience.com%2Fwos%2Fwoscc%2Ffull-record%2FWOS:000263674700020","View Full Record in Web of Science")</f>
        <v>View Full Record in Web of Science</v>
      </c>
    </row>
    <row r="422" spans="1:72" x14ac:dyDescent="0.15">
      <c r="A422" t="s">
        <v>72</v>
      </c>
      <c r="B422" t="s">
        <v>8029</v>
      </c>
      <c r="C422" t="s">
        <v>74</v>
      </c>
      <c r="D422" t="s">
        <v>74</v>
      </c>
      <c r="E422" t="s">
        <v>74</v>
      </c>
      <c r="F422" t="s">
        <v>8030</v>
      </c>
      <c r="G422" t="s">
        <v>74</v>
      </c>
      <c r="H422" t="s">
        <v>74</v>
      </c>
      <c r="I422" t="s">
        <v>8031</v>
      </c>
      <c r="J422" t="s">
        <v>593</v>
      </c>
      <c r="K422" t="s">
        <v>74</v>
      </c>
      <c r="L422" t="s">
        <v>74</v>
      </c>
      <c r="M422" t="s">
        <v>78</v>
      </c>
      <c r="N422" t="s">
        <v>79</v>
      </c>
      <c r="O422" t="s">
        <v>74</v>
      </c>
      <c r="P422" t="s">
        <v>74</v>
      </c>
      <c r="Q422" t="s">
        <v>74</v>
      </c>
      <c r="R422" t="s">
        <v>74</v>
      </c>
      <c r="S422" t="s">
        <v>74</v>
      </c>
      <c r="T422" t="s">
        <v>74</v>
      </c>
      <c r="U422" t="s">
        <v>74</v>
      </c>
      <c r="V422" t="s">
        <v>8032</v>
      </c>
      <c r="W422" t="s">
        <v>8033</v>
      </c>
      <c r="X422" t="s">
        <v>8034</v>
      </c>
      <c r="Y422" t="s">
        <v>8035</v>
      </c>
      <c r="Z422" t="s">
        <v>8036</v>
      </c>
      <c r="AA422" t="s">
        <v>8037</v>
      </c>
      <c r="AB422" t="s">
        <v>8038</v>
      </c>
      <c r="AC422" t="s">
        <v>8039</v>
      </c>
      <c r="AD422" t="s">
        <v>8040</v>
      </c>
      <c r="AE422" t="s">
        <v>8041</v>
      </c>
      <c r="AF422" t="s">
        <v>74</v>
      </c>
      <c r="AG422">
        <v>15</v>
      </c>
      <c r="AH422">
        <v>87</v>
      </c>
      <c r="AI422">
        <v>91</v>
      </c>
      <c r="AJ422">
        <v>0</v>
      </c>
      <c r="AK422">
        <v>12</v>
      </c>
      <c r="AL422" t="s">
        <v>605</v>
      </c>
      <c r="AM422" t="s">
        <v>606</v>
      </c>
      <c r="AN422" t="s">
        <v>607</v>
      </c>
      <c r="AO422" t="s">
        <v>608</v>
      </c>
      <c r="AP422" t="s">
        <v>609</v>
      </c>
      <c r="AQ422" t="s">
        <v>74</v>
      </c>
      <c r="AR422" t="s">
        <v>610</v>
      </c>
      <c r="AS422" t="s">
        <v>611</v>
      </c>
      <c r="AT422" t="s">
        <v>8007</v>
      </c>
      <c r="AU422">
        <v>2009</v>
      </c>
      <c r="AV422">
        <v>114</v>
      </c>
      <c r="AW422" t="s">
        <v>74</v>
      </c>
      <c r="AX422" t="s">
        <v>74</v>
      </c>
      <c r="AY422" t="s">
        <v>74</v>
      </c>
      <c r="AZ422" t="s">
        <v>74</v>
      </c>
      <c r="BA422" t="s">
        <v>74</v>
      </c>
      <c r="BB422" t="s">
        <v>74</v>
      </c>
      <c r="BC422" t="s">
        <v>74</v>
      </c>
      <c r="BD422" t="s">
        <v>8042</v>
      </c>
      <c r="BE422" t="s">
        <v>8043</v>
      </c>
      <c r="BF422" t="str">
        <f>HYPERLINK("http://dx.doi.org/10.1029/2008JA013455","http://dx.doi.org/10.1029/2008JA013455")</f>
        <v>http://dx.doi.org/10.1029/2008JA013455</v>
      </c>
      <c r="BG422" t="s">
        <v>74</v>
      </c>
      <c r="BH422" t="s">
        <v>74</v>
      </c>
      <c r="BI422">
        <v>7</v>
      </c>
      <c r="BJ422" t="s">
        <v>285</v>
      </c>
      <c r="BK422" t="s">
        <v>100</v>
      </c>
      <c r="BL422" t="s">
        <v>285</v>
      </c>
      <c r="BM422" t="s">
        <v>8044</v>
      </c>
      <c r="BN422" t="s">
        <v>74</v>
      </c>
      <c r="BO422" t="s">
        <v>499</v>
      </c>
      <c r="BP422" t="s">
        <v>74</v>
      </c>
      <c r="BQ422" t="s">
        <v>74</v>
      </c>
      <c r="BR422" t="s">
        <v>103</v>
      </c>
      <c r="BS422" t="s">
        <v>8045</v>
      </c>
      <c r="BT422" t="str">
        <f>HYPERLINK("https%3A%2F%2Fwww.webofscience.com%2Fwos%2Fwoscc%2Ffull-record%2FWOS:000263614900002","View Full Record in Web of Science")</f>
        <v>View Full Record in Web of Science</v>
      </c>
    </row>
    <row r="423" spans="1:72" x14ac:dyDescent="0.15">
      <c r="A423" t="s">
        <v>72</v>
      </c>
      <c r="B423" t="s">
        <v>8046</v>
      </c>
      <c r="C423" t="s">
        <v>74</v>
      </c>
      <c r="D423" t="s">
        <v>74</v>
      </c>
      <c r="E423" t="s">
        <v>74</v>
      </c>
      <c r="F423" t="s">
        <v>8047</v>
      </c>
      <c r="G423" t="s">
        <v>74</v>
      </c>
      <c r="H423" t="s">
        <v>74</v>
      </c>
      <c r="I423" t="s">
        <v>8048</v>
      </c>
      <c r="J423" t="s">
        <v>593</v>
      </c>
      <c r="K423" t="s">
        <v>74</v>
      </c>
      <c r="L423" t="s">
        <v>74</v>
      </c>
      <c r="M423" t="s">
        <v>78</v>
      </c>
      <c r="N423" t="s">
        <v>79</v>
      </c>
      <c r="O423" t="s">
        <v>74</v>
      </c>
      <c r="P423" t="s">
        <v>74</v>
      </c>
      <c r="Q423" t="s">
        <v>74</v>
      </c>
      <c r="R423" t="s">
        <v>74</v>
      </c>
      <c r="S423" t="s">
        <v>74</v>
      </c>
      <c r="T423" t="s">
        <v>74</v>
      </c>
      <c r="U423" t="s">
        <v>8049</v>
      </c>
      <c r="V423" t="s">
        <v>8050</v>
      </c>
      <c r="W423" t="s">
        <v>8051</v>
      </c>
      <c r="X423" t="s">
        <v>8052</v>
      </c>
      <c r="Y423" t="s">
        <v>8053</v>
      </c>
      <c r="Z423" t="s">
        <v>8054</v>
      </c>
      <c r="AA423" t="s">
        <v>8055</v>
      </c>
      <c r="AB423" t="s">
        <v>8056</v>
      </c>
      <c r="AC423" t="s">
        <v>8057</v>
      </c>
      <c r="AD423" t="s">
        <v>8058</v>
      </c>
      <c r="AE423" t="s">
        <v>8059</v>
      </c>
      <c r="AF423" t="s">
        <v>74</v>
      </c>
      <c r="AG423">
        <v>17</v>
      </c>
      <c r="AH423">
        <v>16</v>
      </c>
      <c r="AI423">
        <v>16</v>
      </c>
      <c r="AJ423">
        <v>0</v>
      </c>
      <c r="AK423">
        <v>2</v>
      </c>
      <c r="AL423" t="s">
        <v>605</v>
      </c>
      <c r="AM423" t="s">
        <v>606</v>
      </c>
      <c r="AN423" t="s">
        <v>607</v>
      </c>
      <c r="AO423" t="s">
        <v>608</v>
      </c>
      <c r="AP423" t="s">
        <v>609</v>
      </c>
      <c r="AQ423" t="s">
        <v>74</v>
      </c>
      <c r="AR423" t="s">
        <v>610</v>
      </c>
      <c r="AS423" t="s">
        <v>611</v>
      </c>
      <c r="AT423" t="s">
        <v>8007</v>
      </c>
      <c r="AU423">
        <v>2009</v>
      </c>
      <c r="AV423">
        <v>114</v>
      </c>
      <c r="AW423" t="s">
        <v>74</v>
      </c>
      <c r="AX423" t="s">
        <v>74</v>
      </c>
      <c r="AY423" t="s">
        <v>74</v>
      </c>
      <c r="AZ423" t="s">
        <v>74</v>
      </c>
      <c r="BA423" t="s">
        <v>74</v>
      </c>
      <c r="BB423" t="s">
        <v>74</v>
      </c>
      <c r="BC423" t="s">
        <v>74</v>
      </c>
      <c r="BD423" t="s">
        <v>8060</v>
      </c>
      <c r="BE423" t="s">
        <v>8061</v>
      </c>
      <c r="BF423" t="str">
        <f>HYPERLINK("http://dx.doi.org/10.1029/2008JA013824","http://dx.doi.org/10.1029/2008JA013824")</f>
        <v>http://dx.doi.org/10.1029/2008JA013824</v>
      </c>
      <c r="BG423" t="s">
        <v>74</v>
      </c>
      <c r="BH423" t="s">
        <v>74</v>
      </c>
      <c r="BI423">
        <v>8</v>
      </c>
      <c r="BJ423" t="s">
        <v>285</v>
      </c>
      <c r="BK423" t="s">
        <v>100</v>
      </c>
      <c r="BL423" t="s">
        <v>285</v>
      </c>
      <c r="BM423" t="s">
        <v>8044</v>
      </c>
      <c r="BN423" t="s">
        <v>74</v>
      </c>
      <c r="BO423" t="s">
        <v>499</v>
      </c>
      <c r="BP423" t="s">
        <v>74</v>
      </c>
      <c r="BQ423" t="s">
        <v>74</v>
      </c>
      <c r="BR423" t="s">
        <v>103</v>
      </c>
      <c r="BS423" t="s">
        <v>8062</v>
      </c>
      <c r="BT423" t="str">
        <f>HYPERLINK("https%3A%2F%2Fwww.webofscience.com%2Fwos%2Fwoscc%2Ffull-record%2FWOS:000263614900005","View Full Record in Web of Science")</f>
        <v>View Full Record in Web of Science</v>
      </c>
    </row>
    <row r="424" spans="1:72" x14ac:dyDescent="0.15">
      <c r="A424" t="s">
        <v>72</v>
      </c>
      <c r="B424" t="s">
        <v>8063</v>
      </c>
      <c r="C424" t="s">
        <v>74</v>
      </c>
      <c r="D424" t="s">
        <v>74</v>
      </c>
      <c r="E424" t="s">
        <v>74</v>
      </c>
      <c r="F424" t="s">
        <v>8064</v>
      </c>
      <c r="G424" t="s">
        <v>74</v>
      </c>
      <c r="H424" t="s">
        <v>74</v>
      </c>
      <c r="I424" t="s">
        <v>8065</v>
      </c>
      <c r="J424" t="s">
        <v>593</v>
      </c>
      <c r="K424" t="s">
        <v>74</v>
      </c>
      <c r="L424" t="s">
        <v>74</v>
      </c>
      <c r="M424" t="s">
        <v>78</v>
      </c>
      <c r="N424" t="s">
        <v>79</v>
      </c>
      <c r="O424" t="s">
        <v>74</v>
      </c>
      <c r="P424" t="s">
        <v>74</v>
      </c>
      <c r="Q424" t="s">
        <v>74</v>
      </c>
      <c r="R424" t="s">
        <v>74</v>
      </c>
      <c r="S424" t="s">
        <v>74</v>
      </c>
      <c r="T424" t="s">
        <v>74</v>
      </c>
      <c r="U424" t="s">
        <v>8066</v>
      </c>
      <c r="V424" t="s">
        <v>8067</v>
      </c>
      <c r="W424" t="s">
        <v>8068</v>
      </c>
      <c r="X424" t="s">
        <v>8069</v>
      </c>
      <c r="Y424" t="s">
        <v>8070</v>
      </c>
      <c r="Z424" t="s">
        <v>8071</v>
      </c>
      <c r="AA424" t="s">
        <v>8072</v>
      </c>
      <c r="AB424" t="s">
        <v>74</v>
      </c>
      <c r="AC424" t="s">
        <v>8073</v>
      </c>
      <c r="AD424" t="s">
        <v>8074</v>
      </c>
      <c r="AE424" t="s">
        <v>8075</v>
      </c>
      <c r="AF424" t="s">
        <v>74</v>
      </c>
      <c r="AG424">
        <v>79</v>
      </c>
      <c r="AH424">
        <v>6</v>
      </c>
      <c r="AI424">
        <v>6</v>
      </c>
      <c r="AJ424">
        <v>0</v>
      </c>
      <c r="AK424">
        <v>5</v>
      </c>
      <c r="AL424" t="s">
        <v>605</v>
      </c>
      <c r="AM424" t="s">
        <v>606</v>
      </c>
      <c r="AN424" t="s">
        <v>607</v>
      </c>
      <c r="AO424" t="s">
        <v>608</v>
      </c>
      <c r="AP424" t="s">
        <v>609</v>
      </c>
      <c r="AQ424" t="s">
        <v>74</v>
      </c>
      <c r="AR424" t="s">
        <v>610</v>
      </c>
      <c r="AS424" t="s">
        <v>611</v>
      </c>
      <c r="AT424" t="s">
        <v>8007</v>
      </c>
      <c r="AU424">
        <v>2009</v>
      </c>
      <c r="AV424">
        <v>114</v>
      </c>
      <c r="AW424" t="s">
        <v>74</v>
      </c>
      <c r="AX424" t="s">
        <v>74</v>
      </c>
      <c r="AY424" t="s">
        <v>74</v>
      </c>
      <c r="AZ424" t="s">
        <v>74</v>
      </c>
      <c r="BA424" t="s">
        <v>74</v>
      </c>
      <c r="BB424" t="s">
        <v>74</v>
      </c>
      <c r="BC424" t="s">
        <v>74</v>
      </c>
      <c r="BD424" t="s">
        <v>8076</v>
      </c>
      <c r="BE424" t="s">
        <v>8077</v>
      </c>
      <c r="BF424" t="str">
        <f>HYPERLINK("http://dx.doi.org/10.1029/2008JA013624","http://dx.doi.org/10.1029/2008JA013624")</f>
        <v>http://dx.doi.org/10.1029/2008JA013624</v>
      </c>
      <c r="BG424" t="s">
        <v>74</v>
      </c>
      <c r="BH424" t="s">
        <v>74</v>
      </c>
      <c r="BI424">
        <v>13</v>
      </c>
      <c r="BJ424" t="s">
        <v>285</v>
      </c>
      <c r="BK424" t="s">
        <v>100</v>
      </c>
      <c r="BL424" t="s">
        <v>285</v>
      </c>
      <c r="BM424" t="s">
        <v>8044</v>
      </c>
      <c r="BN424" t="s">
        <v>74</v>
      </c>
      <c r="BO424" t="s">
        <v>74</v>
      </c>
      <c r="BP424" t="s">
        <v>74</v>
      </c>
      <c r="BQ424" t="s">
        <v>74</v>
      </c>
      <c r="BR424" t="s">
        <v>103</v>
      </c>
      <c r="BS424" t="s">
        <v>8078</v>
      </c>
      <c r="BT424" t="str">
        <f>HYPERLINK("https%3A%2F%2Fwww.webofscience.com%2Fwos%2Fwoscc%2Ffull-record%2FWOS:000263614900003","View Full Record in Web of Science")</f>
        <v>View Full Record in Web of Science</v>
      </c>
    </row>
    <row r="425" spans="1:72" x14ac:dyDescent="0.15">
      <c r="A425" t="s">
        <v>72</v>
      </c>
      <c r="B425" t="s">
        <v>8079</v>
      </c>
      <c r="C425" t="s">
        <v>74</v>
      </c>
      <c r="D425" t="s">
        <v>74</v>
      </c>
      <c r="E425" t="s">
        <v>74</v>
      </c>
      <c r="F425" t="s">
        <v>8080</v>
      </c>
      <c r="G425" t="s">
        <v>74</v>
      </c>
      <c r="H425" t="s">
        <v>74</v>
      </c>
      <c r="I425" t="s">
        <v>8081</v>
      </c>
      <c r="J425" t="s">
        <v>887</v>
      </c>
      <c r="K425" t="s">
        <v>74</v>
      </c>
      <c r="L425" t="s">
        <v>74</v>
      </c>
      <c r="M425" t="s">
        <v>78</v>
      </c>
      <c r="N425" t="s">
        <v>79</v>
      </c>
      <c r="O425" t="s">
        <v>74</v>
      </c>
      <c r="P425" t="s">
        <v>74</v>
      </c>
      <c r="Q425" t="s">
        <v>74</v>
      </c>
      <c r="R425" t="s">
        <v>74</v>
      </c>
      <c r="S425" t="s">
        <v>74</v>
      </c>
      <c r="T425" t="s">
        <v>8082</v>
      </c>
      <c r="U425" t="s">
        <v>74</v>
      </c>
      <c r="V425" t="s">
        <v>8083</v>
      </c>
      <c r="W425" t="s">
        <v>8084</v>
      </c>
      <c r="X425" t="s">
        <v>8085</v>
      </c>
      <c r="Y425" t="s">
        <v>8086</v>
      </c>
      <c r="Z425" t="s">
        <v>8087</v>
      </c>
      <c r="AA425" t="s">
        <v>8088</v>
      </c>
      <c r="AB425" t="s">
        <v>8089</v>
      </c>
      <c r="AC425" t="s">
        <v>8090</v>
      </c>
      <c r="AD425" t="s">
        <v>8091</v>
      </c>
      <c r="AE425" t="s">
        <v>8092</v>
      </c>
      <c r="AF425" t="s">
        <v>74</v>
      </c>
      <c r="AG425">
        <v>44</v>
      </c>
      <c r="AH425">
        <v>11</v>
      </c>
      <c r="AI425">
        <v>17</v>
      </c>
      <c r="AJ425">
        <v>0</v>
      </c>
      <c r="AK425">
        <v>8</v>
      </c>
      <c r="AL425" t="s">
        <v>900</v>
      </c>
      <c r="AM425" t="s">
        <v>901</v>
      </c>
      <c r="AN425" t="s">
        <v>902</v>
      </c>
      <c r="AO425" t="s">
        <v>903</v>
      </c>
      <c r="AP425" t="s">
        <v>904</v>
      </c>
      <c r="AQ425" t="s">
        <v>74</v>
      </c>
      <c r="AR425" t="s">
        <v>887</v>
      </c>
      <c r="AS425" t="s">
        <v>905</v>
      </c>
      <c r="AT425" t="s">
        <v>8007</v>
      </c>
      <c r="AU425">
        <v>2009</v>
      </c>
      <c r="AV425" t="s">
        <v>74</v>
      </c>
      <c r="AW425">
        <v>2016</v>
      </c>
      <c r="AX425" t="s">
        <v>74</v>
      </c>
      <c r="AY425" t="s">
        <v>74</v>
      </c>
      <c r="AZ425" t="s">
        <v>74</v>
      </c>
      <c r="BA425" t="s">
        <v>74</v>
      </c>
      <c r="BB425">
        <v>1</v>
      </c>
      <c r="BC425">
        <v>16</v>
      </c>
      <c r="BD425" t="s">
        <v>74</v>
      </c>
      <c r="BE425" t="s">
        <v>74</v>
      </c>
      <c r="BF425" t="s">
        <v>74</v>
      </c>
      <c r="BG425" t="s">
        <v>74</v>
      </c>
      <c r="BH425" t="s">
        <v>74</v>
      </c>
      <c r="BI425">
        <v>16</v>
      </c>
      <c r="BJ425" t="s">
        <v>908</v>
      </c>
      <c r="BK425" t="s">
        <v>100</v>
      </c>
      <c r="BL425" t="s">
        <v>908</v>
      </c>
      <c r="BM425" t="s">
        <v>8093</v>
      </c>
      <c r="BN425" t="s">
        <v>74</v>
      </c>
      <c r="BO425" t="s">
        <v>74</v>
      </c>
      <c r="BP425" t="s">
        <v>74</v>
      </c>
      <c r="BQ425" t="s">
        <v>74</v>
      </c>
      <c r="BR425" t="s">
        <v>103</v>
      </c>
      <c r="BS425" t="s">
        <v>8094</v>
      </c>
      <c r="BT425" t="str">
        <f>HYPERLINK("https%3A%2F%2Fwww.webofscience.com%2Fwos%2Fwoscc%2Ffull-record%2FWOS:000263718500001","View Full Record in Web of Science")</f>
        <v>View Full Record in Web of Science</v>
      </c>
    </row>
    <row r="426" spans="1:72" x14ac:dyDescent="0.15">
      <c r="A426" t="s">
        <v>72</v>
      </c>
      <c r="B426" t="s">
        <v>8095</v>
      </c>
      <c r="C426" t="s">
        <v>74</v>
      </c>
      <c r="D426" t="s">
        <v>74</v>
      </c>
      <c r="E426" t="s">
        <v>74</v>
      </c>
      <c r="F426" t="s">
        <v>8096</v>
      </c>
      <c r="G426" t="s">
        <v>74</v>
      </c>
      <c r="H426" t="s">
        <v>74</v>
      </c>
      <c r="I426" t="s">
        <v>8097</v>
      </c>
      <c r="J426" t="s">
        <v>8098</v>
      </c>
      <c r="K426" t="s">
        <v>74</v>
      </c>
      <c r="L426" t="s">
        <v>74</v>
      </c>
      <c r="M426" t="s">
        <v>78</v>
      </c>
      <c r="N426" t="s">
        <v>172</v>
      </c>
      <c r="O426" t="s">
        <v>74</v>
      </c>
      <c r="P426" t="s">
        <v>74</v>
      </c>
      <c r="Q426" t="s">
        <v>74</v>
      </c>
      <c r="R426" t="s">
        <v>74</v>
      </c>
      <c r="S426" t="s">
        <v>74</v>
      </c>
      <c r="T426" t="s">
        <v>8099</v>
      </c>
      <c r="U426" t="s">
        <v>8100</v>
      </c>
      <c r="V426" t="s">
        <v>8101</v>
      </c>
      <c r="W426" t="s">
        <v>8102</v>
      </c>
      <c r="X426" t="s">
        <v>8103</v>
      </c>
      <c r="Y426" t="s">
        <v>8104</v>
      </c>
      <c r="Z426" t="s">
        <v>8105</v>
      </c>
      <c r="AA426" t="s">
        <v>74</v>
      </c>
      <c r="AB426" t="s">
        <v>74</v>
      </c>
      <c r="AC426" t="s">
        <v>74</v>
      </c>
      <c r="AD426" t="s">
        <v>74</v>
      </c>
      <c r="AE426" t="s">
        <v>74</v>
      </c>
      <c r="AF426" t="s">
        <v>74</v>
      </c>
      <c r="AG426">
        <v>145</v>
      </c>
      <c r="AH426">
        <v>75</v>
      </c>
      <c r="AI426">
        <v>87</v>
      </c>
      <c r="AJ426">
        <v>0</v>
      </c>
      <c r="AK426">
        <v>66</v>
      </c>
      <c r="AL426" t="s">
        <v>251</v>
      </c>
      <c r="AM426" t="s">
        <v>252</v>
      </c>
      <c r="AN426" t="s">
        <v>253</v>
      </c>
      <c r="AO426" t="s">
        <v>8106</v>
      </c>
      <c r="AP426" t="s">
        <v>8107</v>
      </c>
      <c r="AQ426" t="s">
        <v>74</v>
      </c>
      <c r="AR426" t="s">
        <v>8098</v>
      </c>
      <c r="AS426" t="s">
        <v>8108</v>
      </c>
      <c r="AT426" t="s">
        <v>8109</v>
      </c>
      <c r="AU426">
        <v>2009</v>
      </c>
      <c r="AV426">
        <v>287</v>
      </c>
      <c r="AW426" t="s">
        <v>3346</v>
      </c>
      <c r="AX426" t="s">
        <v>74</v>
      </c>
      <c r="AY426" t="s">
        <v>74</v>
      </c>
      <c r="AZ426" t="s">
        <v>74</v>
      </c>
      <c r="BA426" t="s">
        <v>74</v>
      </c>
      <c r="BB426">
        <v>229</v>
      </c>
      <c r="BC426">
        <v>242</v>
      </c>
      <c r="BD426" t="s">
        <v>74</v>
      </c>
      <c r="BE426" t="s">
        <v>8110</v>
      </c>
      <c r="BF426" t="str">
        <f>HYPERLINK("http://dx.doi.org/10.1016/j.aquaculture.2008.11.013","http://dx.doi.org/10.1016/j.aquaculture.2008.11.013")</f>
        <v>http://dx.doi.org/10.1016/j.aquaculture.2008.11.013</v>
      </c>
      <c r="BG426" t="s">
        <v>74</v>
      </c>
      <c r="BH426" t="s">
        <v>74</v>
      </c>
      <c r="BI426">
        <v>14</v>
      </c>
      <c r="BJ426" t="s">
        <v>380</v>
      </c>
      <c r="BK426" t="s">
        <v>100</v>
      </c>
      <c r="BL426" t="s">
        <v>380</v>
      </c>
      <c r="BM426" t="s">
        <v>8111</v>
      </c>
      <c r="BN426" t="s">
        <v>74</v>
      </c>
      <c r="BO426" t="s">
        <v>74</v>
      </c>
      <c r="BP426" t="s">
        <v>74</v>
      </c>
      <c r="BQ426" t="s">
        <v>74</v>
      </c>
      <c r="BR426" t="s">
        <v>103</v>
      </c>
      <c r="BS426" t="s">
        <v>8112</v>
      </c>
      <c r="BT426" t="str">
        <f>HYPERLINK("https%3A%2F%2Fwww.webofscience.com%2Fwos%2Fwoscc%2Ffull-record%2FWOS:000263388500001","View Full Record in Web of Science")</f>
        <v>View Full Record in Web of Science</v>
      </c>
    </row>
    <row r="427" spans="1:72" x14ac:dyDescent="0.15">
      <c r="A427" t="s">
        <v>72</v>
      </c>
      <c r="B427" t="s">
        <v>8113</v>
      </c>
      <c r="C427" t="s">
        <v>74</v>
      </c>
      <c r="D427" t="s">
        <v>74</v>
      </c>
      <c r="E427" t="s">
        <v>74</v>
      </c>
      <c r="F427" t="s">
        <v>8114</v>
      </c>
      <c r="G427" t="s">
        <v>74</v>
      </c>
      <c r="H427" t="s">
        <v>74</v>
      </c>
      <c r="I427" t="s">
        <v>8115</v>
      </c>
      <c r="J427" t="s">
        <v>8116</v>
      </c>
      <c r="K427" t="s">
        <v>74</v>
      </c>
      <c r="L427" t="s">
        <v>74</v>
      </c>
      <c r="M427" t="s">
        <v>78</v>
      </c>
      <c r="N427" t="s">
        <v>79</v>
      </c>
      <c r="O427" t="s">
        <v>74</v>
      </c>
      <c r="P427" t="s">
        <v>74</v>
      </c>
      <c r="Q427" t="s">
        <v>74</v>
      </c>
      <c r="R427" t="s">
        <v>74</v>
      </c>
      <c r="S427" t="s">
        <v>74</v>
      </c>
      <c r="T427" t="s">
        <v>74</v>
      </c>
      <c r="U427" t="s">
        <v>8117</v>
      </c>
      <c r="V427" t="s">
        <v>8118</v>
      </c>
      <c r="W427" t="s">
        <v>8119</v>
      </c>
      <c r="X427" t="s">
        <v>8120</v>
      </c>
      <c r="Y427" t="s">
        <v>8121</v>
      </c>
      <c r="Z427" t="s">
        <v>8122</v>
      </c>
      <c r="AA427" t="s">
        <v>8123</v>
      </c>
      <c r="AB427" t="s">
        <v>8124</v>
      </c>
      <c r="AC427" t="s">
        <v>74</v>
      </c>
      <c r="AD427" t="s">
        <v>74</v>
      </c>
      <c r="AE427" t="s">
        <v>74</v>
      </c>
      <c r="AF427" t="s">
        <v>74</v>
      </c>
      <c r="AG427">
        <v>46</v>
      </c>
      <c r="AH427">
        <v>40</v>
      </c>
      <c r="AI427">
        <v>43</v>
      </c>
      <c r="AJ427">
        <v>1</v>
      </c>
      <c r="AK427">
        <v>16</v>
      </c>
      <c r="AL427" t="s">
        <v>8125</v>
      </c>
      <c r="AM427" t="s">
        <v>5833</v>
      </c>
      <c r="AN427" t="s">
        <v>8126</v>
      </c>
      <c r="AO427" t="s">
        <v>8127</v>
      </c>
      <c r="AP427" t="s">
        <v>8128</v>
      </c>
      <c r="AQ427" t="s">
        <v>74</v>
      </c>
      <c r="AR427" t="s">
        <v>8129</v>
      </c>
      <c r="AS427" t="s">
        <v>8130</v>
      </c>
      <c r="AT427" t="s">
        <v>8109</v>
      </c>
      <c r="AU427">
        <v>2009</v>
      </c>
      <c r="AV427">
        <v>96</v>
      </c>
      <c r="AW427">
        <v>4</v>
      </c>
      <c r="AX427" t="s">
        <v>74</v>
      </c>
      <c r="AY427" t="s">
        <v>74</v>
      </c>
      <c r="AZ427" t="s">
        <v>74</v>
      </c>
      <c r="BA427" t="s">
        <v>74</v>
      </c>
      <c r="BB427">
        <v>1586</v>
      </c>
      <c r="BC427">
        <v>1596</v>
      </c>
      <c r="BD427" t="s">
        <v>74</v>
      </c>
      <c r="BE427" t="s">
        <v>8131</v>
      </c>
      <c r="BF427" t="str">
        <f>HYPERLINK("http://dx.doi.org/10.1016/j.bpj.2008.11.017","http://dx.doi.org/10.1016/j.bpj.2008.11.017")</f>
        <v>http://dx.doi.org/10.1016/j.bpj.2008.11.017</v>
      </c>
      <c r="BG427" t="s">
        <v>74</v>
      </c>
      <c r="BH427" t="s">
        <v>74</v>
      </c>
      <c r="BI427">
        <v>11</v>
      </c>
      <c r="BJ427" t="s">
        <v>8132</v>
      </c>
      <c r="BK427" t="s">
        <v>100</v>
      </c>
      <c r="BL427" t="s">
        <v>8132</v>
      </c>
      <c r="BM427" t="s">
        <v>8133</v>
      </c>
      <c r="BN427">
        <v>19217874</v>
      </c>
      <c r="BO427" t="s">
        <v>8134</v>
      </c>
      <c r="BP427" t="s">
        <v>74</v>
      </c>
      <c r="BQ427" t="s">
        <v>74</v>
      </c>
      <c r="BR427" t="s">
        <v>103</v>
      </c>
      <c r="BS427" t="s">
        <v>8135</v>
      </c>
      <c r="BT427" t="str">
        <f>HYPERLINK("https%3A%2F%2Fwww.webofscience.com%2Fwos%2Fwoscc%2Ffull-record%2FWOS:000266377800033","View Full Record in Web of Science")</f>
        <v>View Full Record in Web of Science</v>
      </c>
    </row>
    <row r="428" spans="1:72" x14ac:dyDescent="0.15">
      <c r="A428" t="s">
        <v>72</v>
      </c>
      <c r="B428" t="s">
        <v>8136</v>
      </c>
      <c r="C428" t="s">
        <v>74</v>
      </c>
      <c r="D428" t="s">
        <v>74</v>
      </c>
      <c r="E428" t="s">
        <v>74</v>
      </c>
      <c r="F428" t="s">
        <v>8137</v>
      </c>
      <c r="G428" t="s">
        <v>74</v>
      </c>
      <c r="H428" t="s">
        <v>74</v>
      </c>
      <c r="I428" t="s">
        <v>8138</v>
      </c>
      <c r="J428" t="s">
        <v>645</v>
      </c>
      <c r="K428" t="s">
        <v>74</v>
      </c>
      <c r="L428" t="s">
        <v>74</v>
      </c>
      <c r="M428" t="s">
        <v>78</v>
      </c>
      <c r="N428" t="s">
        <v>79</v>
      </c>
      <c r="O428" t="s">
        <v>74</v>
      </c>
      <c r="P428" t="s">
        <v>74</v>
      </c>
      <c r="Q428" t="s">
        <v>74</v>
      </c>
      <c r="R428" t="s">
        <v>74</v>
      </c>
      <c r="S428" t="s">
        <v>74</v>
      </c>
      <c r="T428" t="s">
        <v>74</v>
      </c>
      <c r="U428" t="s">
        <v>8139</v>
      </c>
      <c r="V428" t="s">
        <v>8140</v>
      </c>
      <c r="W428" t="s">
        <v>8141</v>
      </c>
      <c r="X428" t="s">
        <v>8142</v>
      </c>
      <c r="Y428" t="s">
        <v>8143</v>
      </c>
      <c r="Z428" t="s">
        <v>8144</v>
      </c>
      <c r="AA428" t="s">
        <v>74</v>
      </c>
      <c r="AB428" t="s">
        <v>8145</v>
      </c>
      <c r="AC428" t="s">
        <v>8146</v>
      </c>
      <c r="AD428" t="s">
        <v>8147</v>
      </c>
      <c r="AE428" t="s">
        <v>8148</v>
      </c>
      <c r="AF428" t="s">
        <v>74</v>
      </c>
      <c r="AG428">
        <v>27</v>
      </c>
      <c r="AH428">
        <v>33</v>
      </c>
      <c r="AI428">
        <v>34</v>
      </c>
      <c r="AJ428">
        <v>0</v>
      </c>
      <c r="AK428">
        <v>4</v>
      </c>
      <c r="AL428" t="s">
        <v>605</v>
      </c>
      <c r="AM428" t="s">
        <v>606</v>
      </c>
      <c r="AN428" t="s">
        <v>607</v>
      </c>
      <c r="AO428" t="s">
        <v>657</v>
      </c>
      <c r="AP428" t="s">
        <v>658</v>
      </c>
      <c r="AQ428" t="s">
        <v>74</v>
      </c>
      <c r="AR428" t="s">
        <v>659</v>
      </c>
      <c r="AS428" t="s">
        <v>660</v>
      </c>
      <c r="AT428" t="s">
        <v>8109</v>
      </c>
      <c r="AU428">
        <v>2009</v>
      </c>
      <c r="AV428">
        <v>36</v>
      </c>
      <c r="AW428" t="s">
        <v>74</v>
      </c>
      <c r="AX428" t="s">
        <v>74</v>
      </c>
      <c r="AY428" t="s">
        <v>74</v>
      </c>
      <c r="AZ428" t="s">
        <v>74</v>
      </c>
      <c r="BA428" t="s">
        <v>74</v>
      </c>
      <c r="BB428" t="s">
        <v>74</v>
      </c>
      <c r="BC428" t="s">
        <v>74</v>
      </c>
      <c r="BD428" t="s">
        <v>8149</v>
      </c>
      <c r="BE428" t="s">
        <v>8150</v>
      </c>
      <c r="BF428" t="str">
        <f>HYPERLINK("http://dx.doi.org/10.1029/2008GL036876","http://dx.doi.org/10.1029/2008GL036876")</f>
        <v>http://dx.doi.org/10.1029/2008GL036876</v>
      </c>
      <c r="BG428" t="s">
        <v>74</v>
      </c>
      <c r="BH428" t="s">
        <v>74</v>
      </c>
      <c r="BI428">
        <v>5</v>
      </c>
      <c r="BJ428" t="s">
        <v>496</v>
      </c>
      <c r="BK428" t="s">
        <v>100</v>
      </c>
      <c r="BL428" t="s">
        <v>497</v>
      </c>
      <c r="BM428" t="s">
        <v>8151</v>
      </c>
      <c r="BN428" t="s">
        <v>74</v>
      </c>
      <c r="BO428" t="s">
        <v>499</v>
      </c>
      <c r="BP428" t="s">
        <v>74</v>
      </c>
      <c r="BQ428" t="s">
        <v>74</v>
      </c>
      <c r="BR428" t="s">
        <v>103</v>
      </c>
      <c r="BS428" t="s">
        <v>8152</v>
      </c>
      <c r="BT428" t="str">
        <f>HYPERLINK("https%3A%2F%2Fwww.webofscience.com%2Fwos%2Fwoscc%2Ffull-record%2FWOS:000263611200005","View Full Record in Web of Science")</f>
        <v>View Full Record in Web of Science</v>
      </c>
    </row>
    <row r="429" spans="1:72" x14ac:dyDescent="0.15">
      <c r="A429" t="s">
        <v>72</v>
      </c>
      <c r="B429" t="s">
        <v>8153</v>
      </c>
      <c r="C429" t="s">
        <v>74</v>
      </c>
      <c r="D429" t="s">
        <v>74</v>
      </c>
      <c r="E429" t="s">
        <v>74</v>
      </c>
      <c r="F429" t="s">
        <v>8154</v>
      </c>
      <c r="G429" t="s">
        <v>74</v>
      </c>
      <c r="H429" t="s">
        <v>74</v>
      </c>
      <c r="I429" t="s">
        <v>8155</v>
      </c>
      <c r="J429" t="s">
        <v>6063</v>
      </c>
      <c r="K429" t="s">
        <v>74</v>
      </c>
      <c r="L429" t="s">
        <v>74</v>
      </c>
      <c r="M429" t="s">
        <v>78</v>
      </c>
      <c r="N429" t="s">
        <v>79</v>
      </c>
      <c r="O429" t="s">
        <v>74</v>
      </c>
      <c r="P429" t="s">
        <v>74</v>
      </c>
      <c r="Q429" t="s">
        <v>74</v>
      </c>
      <c r="R429" t="s">
        <v>74</v>
      </c>
      <c r="S429" t="s">
        <v>74</v>
      </c>
      <c r="T429" t="s">
        <v>8156</v>
      </c>
      <c r="U429" t="s">
        <v>74</v>
      </c>
      <c r="V429" t="s">
        <v>8157</v>
      </c>
      <c r="W429" t="s">
        <v>8158</v>
      </c>
      <c r="X429" t="s">
        <v>8159</v>
      </c>
      <c r="Y429" t="s">
        <v>8160</v>
      </c>
      <c r="Z429" t="s">
        <v>8161</v>
      </c>
      <c r="AA429" t="s">
        <v>8162</v>
      </c>
      <c r="AB429" t="s">
        <v>74</v>
      </c>
      <c r="AC429" t="s">
        <v>74</v>
      </c>
      <c r="AD429" t="s">
        <v>74</v>
      </c>
      <c r="AE429" t="s">
        <v>74</v>
      </c>
      <c r="AF429" t="s">
        <v>74</v>
      </c>
      <c r="AG429">
        <v>10</v>
      </c>
      <c r="AH429">
        <v>3</v>
      </c>
      <c r="AI429">
        <v>3</v>
      </c>
      <c r="AJ429">
        <v>0</v>
      </c>
      <c r="AK429">
        <v>0</v>
      </c>
      <c r="AL429" t="s">
        <v>1671</v>
      </c>
      <c r="AM429" t="s">
        <v>304</v>
      </c>
      <c r="AN429" t="s">
        <v>1672</v>
      </c>
      <c r="AO429" t="s">
        <v>6074</v>
      </c>
      <c r="AP429" t="s">
        <v>6075</v>
      </c>
      <c r="AQ429" t="s">
        <v>74</v>
      </c>
      <c r="AR429" t="s">
        <v>6076</v>
      </c>
      <c r="AS429" t="s">
        <v>6077</v>
      </c>
      <c r="AT429" t="s">
        <v>8163</v>
      </c>
      <c r="AU429">
        <v>2009</v>
      </c>
      <c r="AV429">
        <v>43</v>
      </c>
      <c r="AW429">
        <v>4</v>
      </c>
      <c r="AX429" t="s">
        <v>74</v>
      </c>
      <c r="AY429" t="s">
        <v>74</v>
      </c>
      <c r="AZ429" t="s">
        <v>74</v>
      </c>
      <c r="BA429" t="s">
        <v>74</v>
      </c>
      <c r="BB429">
        <v>649</v>
      </c>
      <c r="BC429">
        <v>653</v>
      </c>
      <c r="BD429" t="s">
        <v>74</v>
      </c>
      <c r="BE429" t="s">
        <v>8164</v>
      </c>
      <c r="BF429" t="str">
        <f>HYPERLINK("http://dx.doi.org/10.1016/j.asr.2008.09.021","http://dx.doi.org/10.1016/j.asr.2008.09.021")</f>
        <v>http://dx.doi.org/10.1016/j.asr.2008.09.021</v>
      </c>
      <c r="BG429" t="s">
        <v>74</v>
      </c>
      <c r="BH429" t="s">
        <v>74</v>
      </c>
      <c r="BI429">
        <v>5</v>
      </c>
      <c r="BJ429" t="s">
        <v>6080</v>
      </c>
      <c r="BK429" t="s">
        <v>100</v>
      </c>
      <c r="BL429" t="s">
        <v>6081</v>
      </c>
      <c r="BM429" t="s">
        <v>8165</v>
      </c>
      <c r="BN429" t="s">
        <v>74</v>
      </c>
      <c r="BO429" t="s">
        <v>74</v>
      </c>
      <c r="BP429" t="s">
        <v>74</v>
      </c>
      <c r="BQ429" t="s">
        <v>74</v>
      </c>
      <c r="BR429" t="s">
        <v>103</v>
      </c>
      <c r="BS429" t="s">
        <v>8166</v>
      </c>
      <c r="BT429" t="str">
        <f>HYPERLINK("https%3A%2F%2Fwww.webofscience.com%2Fwos%2Fwoscc%2Ffull-record%2FWOS:000264217100031","View Full Record in Web of Science")</f>
        <v>View Full Record in Web of Science</v>
      </c>
    </row>
    <row r="430" spans="1:72" x14ac:dyDescent="0.15">
      <c r="A430" t="s">
        <v>72</v>
      </c>
      <c r="B430" t="s">
        <v>8167</v>
      </c>
      <c r="C430" t="s">
        <v>74</v>
      </c>
      <c r="D430" t="s">
        <v>74</v>
      </c>
      <c r="E430" t="s">
        <v>74</v>
      </c>
      <c r="F430" t="s">
        <v>8168</v>
      </c>
      <c r="G430" t="s">
        <v>74</v>
      </c>
      <c r="H430" t="s">
        <v>74</v>
      </c>
      <c r="I430" t="s">
        <v>8169</v>
      </c>
      <c r="J430" t="s">
        <v>6063</v>
      </c>
      <c r="K430" t="s">
        <v>74</v>
      </c>
      <c r="L430" t="s">
        <v>74</v>
      </c>
      <c r="M430" t="s">
        <v>78</v>
      </c>
      <c r="N430" t="s">
        <v>79</v>
      </c>
      <c r="O430" t="s">
        <v>74</v>
      </c>
      <c r="P430" t="s">
        <v>74</v>
      </c>
      <c r="Q430" t="s">
        <v>74</v>
      </c>
      <c r="R430" t="s">
        <v>74</v>
      </c>
      <c r="S430" t="s">
        <v>74</v>
      </c>
      <c r="T430" t="s">
        <v>8170</v>
      </c>
      <c r="U430" t="s">
        <v>74</v>
      </c>
      <c r="V430" t="s">
        <v>8171</v>
      </c>
      <c r="W430" t="s">
        <v>8172</v>
      </c>
      <c r="X430" t="s">
        <v>8173</v>
      </c>
      <c r="Y430" t="s">
        <v>8174</v>
      </c>
      <c r="Z430" t="s">
        <v>8175</v>
      </c>
      <c r="AA430" t="s">
        <v>8176</v>
      </c>
      <c r="AB430" t="s">
        <v>8177</v>
      </c>
      <c r="AC430" t="s">
        <v>8178</v>
      </c>
      <c r="AD430" t="s">
        <v>8179</v>
      </c>
      <c r="AE430" t="s">
        <v>8180</v>
      </c>
      <c r="AF430" t="s">
        <v>74</v>
      </c>
      <c r="AG430">
        <v>21</v>
      </c>
      <c r="AH430">
        <v>4</v>
      </c>
      <c r="AI430">
        <v>4</v>
      </c>
      <c r="AJ430">
        <v>0</v>
      </c>
      <c r="AK430">
        <v>1</v>
      </c>
      <c r="AL430" t="s">
        <v>1671</v>
      </c>
      <c r="AM430" t="s">
        <v>304</v>
      </c>
      <c r="AN430" t="s">
        <v>1672</v>
      </c>
      <c r="AO430" t="s">
        <v>6074</v>
      </c>
      <c r="AP430" t="s">
        <v>6075</v>
      </c>
      <c r="AQ430" t="s">
        <v>74</v>
      </c>
      <c r="AR430" t="s">
        <v>6076</v>
      </c>
      <c r="AS430" t="s">
        <v>6077</v>
      </c>
      <c r="AT430" t="s">
        <v>8163</v>
      </c>
      <c r="AU430">
        <v>2009</v>
      </c>
      <c r="AV430">
        <v>43</v>
      </c>
      <c r="AW430">
        <v>4</v>
      </c>
      <c r="AX430" t="s">
        <v>74</v>
      </c>
      <c r="AY430" t="s">
        <v>74</v>
      </c>
      <c r="AZ430" t="s">
        <v>74</v>
      </c>
      <c r="BA430" t="s">
        <v>74</v>
      </c>
      <c r="BB430">
        <v>721</v>
      </c>
      <c r="BC430">
        <v>727</v>
      </c>
      <c r="BD430" t="s">
        <v>74</v>
      </c>
      <c r="BE430" t="s">
        <v>8181</v>
      </c>
      <c r="BF430" t="str">
        <f>HYPERLINK("http://dx.doi.org/10.1016/j.asr.2008.10.004","http://dx.doi.org/10.1016/j.asr.2008.10.004")</f>
        <v>http://dx.doi.org/10.1016/j.asr.2008.10.004</v>
      </c>
      <c r="BG430" t="s">
        <v>74</v>
      </c>
      <c r="BH430" t="s">
        <v>74</v>
      </c>
      <c r="BI430">
        <v>7</v>
      </c>
      <c r="BJ430" t="s">
        <v>6080</v>
      </c>
      <c r="BK430" t="s">
        <v>100</v>
      </c>
      <c r="BL430" t="s">
        <v>6081</v>
      </c>
      <c r="BM430" t="s">
        <v>8165</v>
      </c>
      <c r="BN430" t="s">
        <v>74</v>
      </c>
      <c r="BO430" t="s">
        <v>74</v>
      </c>
      <c r="BP430" t="s">
        <v>74</v>
      </c>
      <c r="BQ430" t="s">
        <v>74</v>
      </c>
      <c r="BR430" t="s">
        <v>103</v>
      </c>
      <c r="BS430" t="s">
        <v>8182</v>
      </c>
      <c r="BT430" t="str">
        <f>HYPERLINK("https%3A%2F%2Fwww.webofscience.com%2Fwos%2Fwoscc%2Ffull-record%2FWOS:000264217100042","View Full Record in Web of Science")</f>
        <v>View Full Record in Web of Science</v>
      </c>
    </row>
    <row r="431" spans="1:72" x14ac:dyDescent="0.15">
      <c r="A431" t="s">
        <v>72</v>
      </c>
      <c r="B431" t="s">
        <v>8183</v>
      </c>
      <c r="C431" t="s">
        <v>74</v>
      </c>
      <c r="D431" t="s">
        <v>74</v>
      </c>
      <c r="E431" t="s">
        <v>74</v>
      </c>
      <c r="F431" t="s">
        <v>8184</v>
      </c>
      <c r="G431" t="s">
        <v>74</v>
      </c>
      <c r="H431" t="s">
        <v>74</v>
      </c>
      <c r="I431" t="s">
        <v>8185</v>
      </c>
      <c r="J431" t="s">
        <v>8186</v>
      </c>
      <c r="K431" t="s">
        <v>74</v>
      </c>
      <c r="L431" t="s">
        <v>74</v>
      </c>
      <c r="M431" t="s">
        <v>78</v>
      </c>
      <c r="N431" t="s">
        <v>934</v>
      </c>
      <c r="O431" t="s">
        <v>74</v>
      </c>
      <c r="P431" t="s">
        <v>74</v>
      </c>
      <c r="Q431" t="s">
        <v>74</v>
      </c>
      <c r="R431" t="s">
        <v>74</v>
      </c>
      <c r="S431" t="s">
        <v>74</v>
      </c>
      <c r="T431" t="s">
        <v>74</v>
      </c>
      <c r="U431" t="s">
        <v>8187</v>
      </c>
      <c r="V431" t="s">
        <v>8188</v>
      </c>
      <c r="W431" t="s">
        <v>8189</v>
      </c>
      <c r="X431" t="s">
        <v>8190</v>
      </c>
      <c r="Y431" t="s">
        <v>8191</v>
      </c>
      <c r="Z431" t="s">
        <v>8192</v>
      </c>
      <c r="AA431" t="s">
        <v>74</v>
      </c>
      <c r="AB431" t="s">
        <v>74</v>
      </c>
      <c r="AC431" t="s">
        <v>74</v>
      </c>
      <c r="AD431" t="s">
        <v>74</v>
      </c>
      <c r="AE431" t="s">
        <v>74</v>
      </c>
      <c r="AF431" t="s">
        <v>74</v>
      </c>
      <c r="AG431">
        <v>9</v>
      </c>
      <c r="AH431">
        <v>11</v>
      </c>
      <c r="AI431">
        <v>16</v>
      </c>
      <c r="AJ431">
        <v>0</v>
      </c>
      <c r="AK431">
        <v>13</v>
      </c>
      <c r="AL431" t="s">
        <v>1801</v>
      </c>
      <c r="AM431" t="s">
        <v>1802</v>
      </c>
      <c r="AN431" t="s">
        <v>1803</v>
      </c>
      <c r="AO431" t="s">
        <v>8193</v>
      </c>
      <c r="AP431" t="s">
        <v>8194</v>
      </c>
      <c r="AQ431" t="s">
        <v>74</v>
      </c>
      <c r="AR431" t="s">
        <v>8195</v>
      </c>
      <c r="AS431" t="s">
        <v>8196</v>
      </c>
      <c r="AT431" t="s">
        <v>8197</v>
      </c>
      <c r="AU431">
        <v>2009</v>
      </c>
      <c r="AV431">
        <v>385</v>
      </c>
      <c r="AW431">
        <v>2</v>
      </c>
      <c r="AX431" t="s">
        <v>74</v>
      </c>
      <c r="AY431" t="s">
        <v>74</v>
      </c>
      <c r="AZ431" t="s">
        <v>74</v>
      </c>
      <c r="BA431" t="s">
        <v>74</v>
      </c>
      <c r="BB431">
        <v>389</v>
      </c>
      <c r="BC431">
        <v>391</v>
      </c>
      <c r="BD431" t="s">
        <v>74</v>
      </c>
      <c r="BE431" t="s">
        <v>8198</v>
      </c>
      <c r="BF431" t="str">
        <f>HYPERLINK("http://dx.doi.org/10.1016/j.ab.2008.11.016","http://dx.doi.org/10.1016/j.ab.2008.11.016")</f>
        <v>http://dx.doi.org/10.1016/j.ab.2008.11.016</v>
      </c>
      <c r="BG431" t="s">
        <v>74</v>
      </c>
      <c r="BH431" t="s">
        <v>74</v>
      </c>
      <c r="BI431">
        <v>3</v>
      </c>
      <c r="BJ431" t="s">
        <v>8199</v>
      </c>
      <c r="BK431" t="s">
        <v>100</v>
      </c>
      <c r="BL431" t="s">
        <v>8200</v>
      </c>
      <c r="BM431" t="s">
        <v>8201</v>
      </c>
      <c r="BN431">
        <v>19059190</v>
      </c>
      <c r="BO431" t="s">
        <v>74</v>
      </c>
      <c r="BP431" t="s">
        <v>74</v>
      </c>
      <c r="BQ431" t="s">
        <v>74</v>
      </c>
      <c r="BR431" t="s">
        <v>103</v>
      </c>
      <c r="BS431" t="s">
        <v>8202</v>
      </c>
      <c r="BT431" t="str">
        <f>HYPERLINK("https%3A%2F%2Fwww.webofscience.com%2Fwos%2Fwoscc%2Ffull-record%2FWOS:000262877400034","View Full Record in Web of Science")</f>
        <v>View Full Record in Web of Science</v>
      </c>
    </row>
    <row r="432" spans="1:72" x14ac:dyDescent="0.15">
      <c r="A432" t="s">
        <v>72</v>
      </c>
      <c r="B432" t="s">
        <v>8203</v>
      </c>
      <c r="C432" t="s">
        <v>74</v>
      </c>
      <c r="D432" t="s">
        <v>74</v>
      </c>
      <c r="E432" t="s">
        <v>74</v>
      </c>
      <c r="F432" t="s">
        <v>8204</v>
      </c>
      <c r="G432" t="s">
        <v>74</v>
      </c>
      <c r="H432" t="s">
        <v>74</v>
      </c>
      <c r="I432" t="s">
        <v>8205</v>
      </c>
      <c r="J432" t="s">
        <v>515</v>
      </c>
      <c r="K432" t="s">
        <v>74</v>
      </c>
      <c r="L432" t="s">
        <v>74</v>
      </c>
      <c r="M432" t="s">
        <v>78</v>
      </c>
      <c r="N432" t="s">
        <v>79</v>
      </c>
      <c r="O432" t="s">
        <v>74</v>
      </c>
      <c r="P432" t="s">
        <v>74</v>
      </c>
      <c r="Q432" t="s">
        <v>74</v>
      </c>
      <c r="R432" t="s">
        <v>74</v>
      </c>
      <c r="S432" t="s">
        <v>74</v>
      </c>
      <c r="T432" t="s">
        <v>8206</v>
      </c>
      <c r="U432" t="s">
        <v>8207</v>
      </c>
      <c r="V432" t="s">
        <v>8208</v>
      </c>
      <c r="W432" t="s">
        <v>8209</v>
      </c>
      <c r="X432" t="s">
        <v>8210</v>
      </c>
      <c r="Y432" t="s">
        <v>8211</v>
      </c>
      <c r="Z432" t="s">
        <v>8212</v>
      </c>
      <c r="AA432" t="s">
        <v>8213</v>
      </c>
      <c r="AB432" t="s">
        <v>8214</v>
      </c>
      <c r="AC432" t="s">
        <v>8215</v>
      </c>
      <c r="AD432" t="s">
        <v>8216</v>
      </c>
      <c r="AE432" t="s">
        <v>8217</v>
      </c>
      <c r="AF432" t="s">
        <v>74</v>
      </c>
      <c r="AG432">
        <v>58</v>
      </c>
      <c r="AH432">
        <v>50</v>
      </c>
      <c r="AI432">
        <v>62</v>
      </c>
      <c r="AJ432">
        <v>0</v>
      </c>
      <c r="AK432">
        <v>27</v>
      </c>
      <c r="AL432" t="s">
        <v>251</v>
      </c>
      <c r="AM432" t="s">
        <v>252</v>
      </c>
      <c r="AN432" t="s">
        <v>253</v>
      </c>
      <c r="AO432" t="s">
        <v>527</v>
      </c>
      <c r="AP432" t="s">
        <v>528</v>
      </c>
      <c r="AQ432" t="s">
        <v>74</v>
      </c>
      <c r="AR432" t="s">
        <v>529</v>
      </c>
      <c r="AS432" t="s">
        <v>530</v>
      </c>
      <c r="AT432" t="s">
        <v>8197</v>
      </c>
      <c r="AU432">
        <v>2009</v>
      </c>
      <c r="AV432">
        <v>278</v>
      </c>
      <c r="AW432" t="s">
        <v>972</v>
      </c>
      <c r="AX432" t="s">
        <v>74</v>
      </c>
      <c r="AY432" t="s">
        <v>74</v>
      </c>
      <c r="AZ432" t="s">
        <v>74</v>
      </c>
      <c r="BA432" t="s">
        <v>74</v>
      </c>
      <c r="BB432">
        <v>67</v>
      </c>
      <c r="BC432">
        <v>77</v>
      </c>
      <c r="BD432" t="s">
        <v>74</v>
      </c>
      <c r="BE432" t="s">
        <v>8218</v>
      </c>
      <c r="BF432" t="str">
        <f>HYPERLINK("http://dx.doi.org/10.1016/j.epsl.2008.11.026","http://dx.doi.org/10.1016/j.epsl.2008.11.026")</f>
        <v>http://dx.doi.org/10.1016/j.epsl.2008.11.026</v>
      </c>
      <c r="BG432" t="s">
        <v>74</v>
      </c>
      <c r="BH432" t="s">
        <v>74</v>
      </c>
      <c r="BI432">
        <v>11</v>
      </c>
      <c r="BJ432" t="s">
        <v>534</v>
      </c>
      <c r="BK432" t="s">
        <v>100</v>
      </c>
      <c r="BL432" t="s">
        <v>534</v>
      </c>
      <c r="BM432" t="s">
        <v>8219</v>
      </c>
      <c r="BN432" t="s">
        <v>74</v>
      </c>
      <c r="BO432" t="s">
        <v>1106</v>
      </c>
      <c r="BP432" t="s">
        <v>74</v>
      </c>
      <c r="BQ432" t="s">
        <v>74</v>
      </c>
      <c r="BR432" t="s">
        <v>103</v>
      </c>
      <c r="BS432" t="s">
        <v>8220</v>
      </c>
      <c r="BT432" t="str">
        <f>HYPERLINK("https%3A%2F%2Fwww.webofscience.com%2Fwos%2Fwoscc%2Ffull-record%2FWOS:000263708400007","View Full Record in Web of Science")</f>
        <v>View Full Record in Web of Science</v>
      </c>
    </row>
    <row r="433" spans="1:72" x14ac:dyDescent="0.15">
      <c r="A433" t="s">
        <v>72</v>
      </c>
      <c r="B433" t="s">
        <v>8221</v>
      </c>
      <c r="C433" t="s">
        <v>74</v>
      </c>
      <c r="D433" t="s">
        <v>74</v>
      </c>
      <c r="E433" t="s">
        <v>74</v>
      </c>
      <c r="F433" t="s">
        <v>8222</v>
      </c>
      <c r="G433" t="s">
        <v>74</v>
      </c>
      <c r="H433" t="s">
        <v>74</v>
      </c>
      <c r="I433" t="s">
        <v>8223</v>
      </c>
      <c r="J433" t="s">
        <v>719</v>
      </c>
      <c r="K433" t="s">
        <v>74</v>
      </c>
      <c r="L433" t="s">
        <v>74</v>
      </c>
      <c r="M433" t="s">
        <v>78</v>
      </c>
      <c r="N433" t="s">
        <v>79</v>
      </c>
      <c r="O433" t="s">
        <v>74</v>
      </c>
      <c r="P433" t="s">
        <v>74</v>
      </c>
      <c r="Q433" t="s">
        <v>74</v>
      </c>
      <c r="R433" t="s">
        <v>74</v>
      </c>
      <c r="S433" t="s">
        <v>74</v>
      </c>
      <c r="T433" t="s">
        <v>74</v>
      </c>
      <c r="U433" t="s">
        <v>8224</v>
      </c>
      <c r="V433" t="s">
        <v>8225</v>
      </c>
      <c r="W433" t="s">
        <v>8226</v>
      </c>
      <c r="X433" t="s">
        <v>8227</v>
      </c>
      <c r="Y433" t="s">
        <v>8228</v>
      </c>
      <c r="Z433" t="s">
        <v>8229</v>
      </c>
      <c r="AA433" t="s">
        <v>74</v>
      </c>
      <c r="AB433" t="s">
        <v>74</v>
      </c>
      <c r="AC433" t="s">
        <v>8230</v>
      </c>
      <c r="AD433" t="s">
        <v>1026</v>
      </c>
      <c r="AE433" t="s">
        <v>8231</v>
      </c>
      <c r="AF433" t="s">
        <v>74</v>
      </c>
      <c r="AG433">
        <v>28</v>
      </c>
      <c r="AH433">
        <v>73</v>
      </c>
      <c r="AI433">
        <v>88</v>
      </c>
      <c r="AJ433">
        <v>5</v>
      </c>
      <c r="AK433">
        <v>88</v>
      </c>
      <c r="AL433" t="s">
        <v>726</v>
      </c>
      <c r="AM433" t="s">
        <v>606</v>
      </c>
      <c r="AN433" t="s">
        <v>727</v>
      </c>
      <c r="AO433" t="s">
        <v>728</v>
      </c>
      <c r="AP433" t="s">
        <v>74</v>
      </c>
      <c r="AQ433" t="s">
        <v>74</v>
      </c>
      <c r="AR433" t="s">
        <v>729</v>
      </c>
      <c r="AS433" t="s">
        <v>730</v>
      </c>
      <c r="AT433" t="s">
        <v>8197</v>
      </c>
      <c r="AU433">
        <v>2009</v>
      </c>
      <c r="AV433">
        <v>43</v>
      </c>
      <c r="AW433">
        <v>4</v>
      </c>
      <c r="AX433" t="s">
        <v>74</v>
      </c>
      <c r="AY433" t="s">
        <v>74</v>
      </c>
      <c r="AZ433" t="s">
        <v>74</v>
      </c>
      <c r="BA433" t="s">
        <v>74</v>
      </c>
      <c r="BB433">
        <v>1108</v>
      </c>
      <c r="BC433">
        <v>1114</v>
      </c>
      <c r="BD433" t="s">
        <v>74</v>
      </c>
      <c r="BE433" t="s">
        <v>8232</v>
      </c>
      <c r="BF433" t="str">
        <f>HYPERLINK("http://dx.doi.org/10.1021/es802579a","http://dx.doi.org/10.1021/es802579a")</f>
        <v>http://dx.doi.org/10.1021/es802579a</v>
      </c>
      <c r="BG433" t="s">
        <v>74</v>
      </c>
      <c r="BH433" t="s">
        <v>74</v>
      </c>
      <c r="BI433">
        <v>7</v>
      </c>
      <c r="BJ433" t="s">
        <v>732</v>
      </c>
      <c r="BK433" t="s">
        <v>100</v>
      </c>
      <c r="BL433" t="s">
        <v>733</v>
      </c>
      <c r="BM433" t="s">
        <v>8233</v>
      </c>
      <c r="BN433">
        <v>19320166</v>
      </c>
      <c r="BO433" t="s">
        <v>74</v>
      </c>
      <c r="BP433" t="s">
        <v>74</v>
      </c>
      <c r="BQ433" t="s">
        <v>74</v>
      </c>
      <c r="BR433" t="s">
        <v>103</v>
      </c>
      <c r="BS433" t="s">
        <v>8234</v>
      </c>
      <c r="BT433" t="str">
        <f>HYPERLINK("https%3A%2F%2Fwww.webofscience.com%2Fwos%2Fwoscc%2Ffull-record%2FWOS:000263298600026","View Full Record in Web of Science")</f>
        <v>View Full Record in Web of Science</v>
      </c>
    </row>
    <row r="434" spans="1:72" x14ac:dyDescent="0.15">
      <c r="A434" t="s">
        <v>72</v>
      </c>
      <c r="B434" t="s">
        <v>8235</v>
      </c>
      <c r="C434" t="s">
        <v>74</v>
      </c>
      <c r="D434" t="s">
        <v>74</v>
      </c>
      <c r="E434" t="s">
        <v>74</v>
      </c>
      <c r="F434" t="s">
        <v>8236</v>
      </c>
      <c r="G434" t="s">
        <v>74</v>
      </c>
      <c r="H434" t="s">
        <v>74</v>
      </c>
      <c r="I434" t="s">
        <v>8237</v>
      </c>
      <c r="J434" t="s">
        <v>1884</v>
      </c>
      <c r="K434" t="s">
        <v>74</v>
      </c>
      <c r="L434" t="s">
        <v>74</v>
      </c>
      <c r="M434" t="s">
        <v>78</v>
      </c>
      <c r="N434" t="s">
        <v>79</v>
      </c>
      <c r="O434" t="s">
        <v>74</v>
      </c>
      <c r="P434" t="s">
        <v>74</v>
      </c>
      <c r="Q434" t="s">
        <v>74</v>
      </c>
      <c r="R434" t="s">
        <v>74</v>
      </c>
      <c r="S434" t="s">
        <v>74</v>
      </c>
      <c r="T434" t="s">
        <v>74</v>
      </c>
      <c r="U434" t="s">
        <v>8238</v>
      </c>
      <c r="V434" t="s">
        <v>8239</v>
      </c>
      <c r="W434" t="s">
        <v>8240</v>
      </c>
      <c r="X434" t="s">
        <v>8241</v>
      </c>
      <c r="Y434" t="s">
        <v>8242</v>
      </c>
      <c r="Z434" t="s">
        <v>8243</v>
      </c>
      <c r="AA434" t="s">
        <v>8244</v>
      </c>
      <c r="AB434" t="s">
        <v>8245</v>
      </c>
      <c r="AC434" t="s">
        <v>74</v>
      </c>
      <c r="AD434" t="s">
        <v>74</v>
      </c>
      <c r="AE434" t="s">
        <v>74</v>
      </c>
      <c r="AF434" t="s">
        <v>74</v>
      </c>
      <c r="AG434">
        <v>38</v>
      </c>
      <c r="AH434">
        <v>112</v>
      </c>
      <c r="AI434">
        <v>123</v>
      </c>
      <c r="AJ434">
        <v>0</v>
      </c>
      <c r="AK434">
        <v>14</v>
      </c>
      <c r="AL434" t="s">
        <v>1398</v>
      </c>
      <c r="AM434" t="s">
        <v>1399</v>
      </c>
      <c r="AN434" t="s">
        <v>1400</v>
      </c>
      <c r="AO434" t="s">
        <v>1896</v>
      </c>
      <c r="AP434" t="s">
        <v>74</v>
      </c>
      <c r="AQ434" t="s">
        <v>74</v>
      </c>
      <c r="AR434" t="s">
        <v>1898</v>
      </c>
      <c r="AS434" t="s">
        <v>1899</v>
      </c>
      <c r="AT434" t="s">
        <v>8197</v>
      </c>
      <c r="AU434">
        <v>2009</v>
      </c>
      <c r="AV434">
        <v>22</v>
      </c>
      <c r="AW434">
        <v>4</v>
      </c>
      <c r="AX434" t="s">
        <v>74</v>
      </c>
      <c r="AY434" t="s">
        <v>74</v>
      </c>
      <c r="AZ434" t="s">
        <v>74</v>
      </c>
      <c r="BA434" t="s">
        <v>74</v>
      </c>
      <c r="BB434">
        <v>940</v>
      </c>
      <c r="BC434">
        <v>950</v>
      </c>
      <c r="BD434" t="s">
        <v>74</v>
      </c>
      <c r="BE434" t="s">
        <v>8246</v>
      </c>
      <c r="BF434" t="str">
        <f>HYPERLINK("http://dx.doi.org/10.1175/2008JCLI2260.1","http://dx.doi.org/10.1175/2008JCLI2260.1")</f>
        <v>http://dx.doi.org/10.1175/2008JCLI2260.1</v>
      </c>
      <c r="BG434" t="s">
        <v>74</v>
      </c>
      <c r="BH434" t="s">
        <v>74</v>
      </c>
      <c r="BI434">
        <v>11</v>
      </c>
      <c r="BJ434" t="s">
        <v>398</v>
      </c>
      <c r="BK434" t="s">
        <v>100</v>
      </c>
      <c r="BL434" t="s">
        <v>398</v>
      </c>
      <c r="BM434" t="s">
        <v>8247</v>
      </c>
      <c r="BN434" t="s">
        <v>74</v>
      </c>
      <c r="BO434" t="s">
        <v>287</v>
      </c>
      <c r="BP434" t="s">
        <v>74</v>
      </c>
      <c r="BQ434" t="s">
        <v>74</v>
      </c>
      <c r="BR434" t="s">
        <v>103</v>
      </c>
      <c r="BS434" t="s">
        <v>8248</v>
      </c>
      <c r="BT434" t="str">
        <f>HYPERLINK("https%3A%2F%2Fwww.webofscience.com%2Fwos%2Fwoscc%2Ffull-record%2FWOS:000264242800005","View Full Record in Web of Science")</f>
        <v>View Full Record in Web of Science</v>
      </c>
    </row>
    <row r="435" spans="1:72" x14ac:dyDescent="0.15">
      <c r="A435" t="s">
        <v>72</v>
      </c>
      <c r="B435" t="s">
        <v>8249</v>
      </c>
      <c r="C435" t="s">
        <v>74</v>
      </c>
      <c r="D435" t="s">
        <v>74</v>
      </c>
      <c r="E435" t="s">
        <v>74</v>
      </c>
      <c r="F435" t="s">
        <v>8250</v>
      </c>
      <c r="G435" t="s">
        <v>74</v>
      </c>
      <c r="H435" t="s">
        <v>74</v>
      </c>
      <c r="I435" t="s">
        <v>8251</v>
      </c>
      <c r="J435" t="s">
        <v>8252</v>
      </c>
      <c r="K435" t="s">
        <v>74</v>
      </c>
      <c r="L435" t="s">
        <v>74</v>
      </c>
      <c r="M435" t="s">
        <v>78</v>
      </c>
      <c r="N435" t="s">
        <v>172</v>
      </c>
      <c r="O435" t="s">
        <v>74</v>
      </c>
      <c r="P435" t="s">
        <v>74</v>
      </c>
      <c r="Q435" t="s">
        <v>74</v>
      </c>
      <c r="R435" t="s">
        <v>74</v>
      </c>
      <c r="S435" t="s">
        <v>74</v>
      </c>
      <c r="T435" t="s">
        <v>8253</v>
      </c>
      <c r="U435" t="s">
        <v>8254</v>
      </c>
      <c r="V435" t="s">
        <v>8255</v>
      </c>
      <c r="W435" t="s">
        <v>8256</v>
      </c>
      <c r="X435" t="s">
        <v>8257</v>
      </c>
      <c r="Y435" t="s">
        <v>8258</v>
      </c>
      <c r="Z435" t="s">
        <v>8259</v>
      </c>
      <c r="AA435" t="s">
        <v>8260</v>
      </c>
      <c r="AB435" t="s">
        <v>8261</v>
      </c>
      <c r="AC435" t="s">
        <v>74</v>
      </c>
      <c r="AD435" t="s">
        <v>74</v>
      </c>
      <c r="AE435" t="s">
        <v>74</v>
      </c>
      <c r="AF435" t="s">
        <v>74</v>
      </c>
      <c r="AG435">
        <v>79</v>
      </c>
      <c r="AH435">
        <v>39</v>
      </c>
      <c r="AI435">
        <v>46</v>
      </c>
      <c r="AJ435">
        <v>1</v>
      </c>
      <c r="AK435">
        <v>69</v>
      </c>
      <c r="AL435" t="s">
        <v>2923</v>
      </c>
      <c r="AM435" t="s">
        <v>2924</v>
      </c>
      <c r="AN435" t="s">
        <v>2925</v>
      </c>
      <c r="AO435" t="s">
        <v>8262</v>
      </c>
      <c r="AP435" t="s">
        <v>8263</v>
      </c>
      <c r="AQ435" t="s">
        <v>74</v>
      </c>
      <c r="AR435" t="s">
        <v>8264</v>
      </c>
      <c r="AS435" t="s">
        <v>8265</v>
      </c>
      <c r="AT435" t="s">
        <v>8197</v>
      </c>
      <c r="AU435">
        <v>2009</v>
      </c>
      <c r="AV435">
        <v>90</v>
      </c>
      <c r="AW435" t="s">
        <v>74</v>
      </c>
      <c r="AX435" t="s">
        <v>74</v>
      </c>
      <c r="AY435">
        <v>1</v>
      </c>
      <c r="AZ435" t="s">
        <v>74</v>
      </c>
      <c r="BA435" t="s">
        <v>74</v>
      </c>
      <c r="BB435" t="s">
        <v>8266</v>
      </c>
      <c r="BC435" t="s">
        <v>8267</v>
      </c>
      <c r="BD435" t="s">
        <v>74</v>
      </c>
      <c r="BE435" t="s">
        <v>8268</v>
      </c>
      <c r="BF435" t="str">
        <f>HYPERLINK("http://dx.doi.org/10.1016/j.jenvman.2008.06.009","http://dx.doi.org/10.1016/j.jenvman.2008.06.009")</f>
        <v>http://dx.doi.org/10.1016/j.jenvman.2008.06.009</v>
      </c>
      <c r="BG435" t="s">
        <v>74</v>
      </c>
      <c r="BH435" t="s">
        <v>74</v>
      </c>
      <c r="BI435">
        <v>10</v>
      </c>
      <c r="BJ435" t="s">
        <v>423</v>
      </c>
      <c r="BK435" t="s">
        <v>100</v>
      </c>
      <c r="BL435" t="s">
        <v>424</v>
      </c>
      <c r="BM435" t="s">
        <v>8269</v>
      </c>
      <c r="BN435">
        <v>18951697</v>
      </c>
      <c r="BO435" t="s">
        <v>74</v>
      </c>
      <c r="BP435" t="s">
        <v>74</v>
      </c>
      <c r="BQ435" t="s">
        <v>74</v>
      </c>
      <c r="BR435" t="s">
        <v>103</v>
      </c>
      <c r="BS435" t="s">
        <v>8270</v>
      </c>
      <c r="BT435" t="str">
        <f>HYPERLINK("https%3A%2F%2Fwww.webofscience.com%2Fwos%2Fwoscc%2Ffull-record%2FWOS:000262378000006","View Full Record in Web of Science")</f>
        <v>View Full Record in Web of Science</v>
      </c>
    </row>
    <row r="436" spans="1:72" x14ac:dyDescent="0.15">
      <c r="A436" t="s">
        <v>72</v>
      </c>
      <c r="B436" t="s">
        <v>8271</v>
      </c>
      <c r="C436" t="s">
        <v>74</v>
      </c>
      <c r="D436" t="s">
        <v>74</v>
      </c>
      <c r="E436" t="s">
        <v>74</v>
      </c>
      <c r="F436" t="s">
        <v>8272</v>
      </c>
      <c r="G436" t="s">
        <v>74</v>
      </c>
      <c r="H436" t="s">
        <v>74</v>
      </c>
      <c r="I436" t="s">
        <v>8273</v>
      </c>
      <c r="J436" t="s">
        <v>645</v>
      </c>
      <c r="K436" t="s">
        <v>74</v>
      </c>
      <c r="L436" t="s">
        <v>74</v>
      </c>
      <c r="M436" t="s">
        <v>78</v>
      </c>
      <c r="N436" t="s">
        <v>79</v>
      </c>
      <c r="O436" t="s">
        <v>74</v>
      </c>
      <c r="P436" t="s">
        <v>74</v>
      </c>
      <c r="Q436" t="s">
        <v>74</v>
      </c>
      <c r="R436" t="s">
        <v>74</v>
      </c>
      <c r="S436" t="s">
        <v>74</v>
      </c>
      <c r="T436" t="s">
        <v>74</v>
      </c>
      <c r="U436" t="s">
        <v>8274</v>
      </c>
      <c r="V436" t="s">
        <v>8275</v>
      </c>
      <c r="W436" t="s">
        <v>8276</v>
      </c>
      <c r="X436" t="s">
        <v>8277</v>
      </c>
      <c r="Y436" t="s">
        <v>8278</v>
      </c>
      <c r="Z436" t="s">
        <v>8279</v>
      </c>
      <c r="AA436" t="s">
        <v>74</v>
      </c>
      <c r="AB436" t="s">
        <v>74</v>
      </c>
      <c r="AC436" t="s">
        <v>8280</v>
      </c>
      <c r="AD436" t="s">
        <v>8281</v>
      </c>
      <c r="AE436" t="s">
        <v>8282</v>
      </c>
      <c r="AF436" t="s">
        <v>74</v>
      </c>
      <c r="AG436">
        <v>25</v>
      </c>
      <c r="AH436">
        <v>7</v>
      </c>
      <c r="AI436">
        <v>7</v>
      </c>
      <c r="AJ436">
        <v>0</v>
      </c>
      <c r="AK436">
        <v>12</v>
      </c>
      <c r="AL436" t="s">
        <v>605</v>
      </c>
      <c r="AM436" t="s">
        <v>606</v>
      </c>
      <c r="AN436" t="s">
        <v>607</v>
      </c>
      <c r="AO436" t="s">
        <v>657</v>
      </c>
      <c r="AP436" t="s">
        <v>658</v>
      </c>
      <c r="AQ436" t="s">
        <v>74</v>
      </c>
      <c r="AR436" t="s">
        <v>659</v>
      </c>
      <c r="AS436" t="s">
        <v>660</v>
      </c>
      <c r="AT436" t="s">
        <v>8283</v>
      </c>
      <c r="AU436">
        <v>2009</v>
      </c>
      <c r="AV436">
        <v>36</v>
      </c>
      <c r="AW436" t="s">
        <v>74</v>
      </c>
      <c r="AX436" t="s">
        <v>74</v>
      </c>
      <c r="AY436" t="s">
        <v>74</v>
      </c>
      <c r="AZ436" t="s">
        <v>74</v>
      </c>
      <c r="BA436" t="s">
        <v>74</v>
      </c>
      <c r="BB436" t="s">
        <v>74</v>
      </c>
      <c r="BC436" t="s">
        <v>74</v>
      </c>
      <c r="BD436" t="s">
        <v>8284</v>
      </c>
      <c r="BE436" t="s">
        <v>8285</v>
      </c>
      <c r="BF436" t="str">
        <f>HYPERLINK("http://dx.doi.org/10.1029/2008GL036266","http://dx.doi.org/10.1029/2008GL036266")</f>
        <v>http://dx.doi.org/10.1029/2008GL036266</v>
      </c>
      <c r="BG436" t="s">
        <v>74</v>
      </c>
      <c r="BH436" t="s">
        <v>74</v>
      </c>
      <c r="BI436">
        <v>5</v>
      </c>
      <c r="BJ436" t="s">
        <v>496</v>
      </c>
      <c r="BK436" t="s">
        <v>100</v>
      </c>
      <c r="BL436" t="s">
        <v>497</v>
      </c>
      <c r="BM436" t="s">
        <v>8286</v>
      </c>
      <c r="BN436" t="s">
        <v>74</v>
      </c>
      <c r="BO436" t="s">
        <v>217</v>
      </c>
      <c r="BP436" t="s">
        <v>74</v>
      </c>
      <c r="BQ436" t="s">
        <v>74</v>
      </c>
      <c r="BR436" t="s">
        <v>103</v>
      </c>
      <c r="BS436" t="s">
        <v>8287</v>
      </c>
      <c r="BT436" t="str">
        <f>HYPERLINK("https%3A%2F%2Fwww.webofscience.com%2Fwos%2Fwoscc%2Ffull-record%2FWOS:000263328900003","View Full Record in Web of Science")</f>
        <v>View Full Record in Web of Science</v>
      </c>
    </row>
    <row r="437" spans="1:72" x14ac:dyDescent="0.15">
      <c r="A437" t="s">
        <v>72</v>
      </c>
      <c r="B437" t="s">
        <v>8288</v>
      </c>
      <c r="C437" t="s">
        <v>74</v>
      </c>
      <c r="D437" t="s">
        <v>74</v>
      </c>
      <c r="E437" t="s">
        <v>74</v>
      </c>
      <c r="F437" t="s">
        <v>8289</v>
      </c>
      <c r="G437" t="s">
        <v>74</v>
      </c>
      <c r="H437" t="s">
        <v>74</v>
      </c>
      <c r="I437" t="s">
        <v>8290</v>
      </c>
      <c r="J437" t="s">
        <v>621</v>
      </c>
      <c r="K437" t="s">
        <v>74</v>
      </c>
      <c r="L437" t="s">
        <v>74</v>
      </c>
      <c r="M437" t="s">
        <v>78</v>
      </c>
      <c r="N437" t="s">
        <v>79</v>
      </c>
      <c r="O437" t="s">
        <v>74</v>
      </c>
      <c r="P437" t="s">
        <v>74</v>
      </c>
      <c r="Q437" t="s">
        <v>74</v>
      </c>
      <c r="R437" t="s">
        <v>74</v>
      </c>
      <c r="S437" t="s">
        <v>74</v>
      </c>
      <c r="T437" t="s">
        <v>74</v>
      </c>
      <c r="U437" t="s">
        <v>8291</v>
      </c>
      <c r="V437" t="s">
        <v>8292</v>
      </c>
      <c r="W437" t="s">
        <v>8293</v>
      </c>
      <c r="X437" t="s">
        <v>8294</v>
      </c>
      <c r="Y437" t="s">
        <v>8295</v>
      </c>
      <c r="Z437" t="s">
        <v>8296</v>
      </c>
      <c r="AA437" t="s">
        <v>8297</v>
      </c>
      <c r="AB437" t="s">
        <v>8298</v>
      </c>
      <c r="AC437" t="s">
        <v>8299</v>
      </c>
      <c r="AD437" t="s">
        <v>8300</v>
      </c>
      <c r="AE437" t="s">
        <v>8301</v>
      </c>
      <c r="AF437" t="s">
        <v>74</v>
      </c>
      <c r="AG437">
        <v>83</v>
      </c>
      <c r="AH437">
        <v>197</v>
      </c>
      <c r="AI437">
        <v>215</v>
      </c>
      <c r="AJ437">
        <v>2</v>
      </c>
      <c r="AK437">
        <v>90</v>
      </c>
      <c r="AL437" t="s">
        <v>605</v>
      </c>
      <c r="AM437" t="s">
        <v>606</v>
      </c>
      <c r="AN437" t="s">
        <v>607</v>
      </c>
      <c r="AO437" t="s">
        <v>633</v>
      </c>
      <c r="AP437" t="s">
        <v>634</v>
      </c>
      <c r="AQ437" t="s">
        <v>74</v>
      </c>
      <c r="AR437" t="s">
        <v>621</v>
      </c>
      <c r="AS437" t="s">
        <v>635</v>
      </c>
      <c r="AT437" t="s">
        <v>8283</v>
      </c>
      <c r="AU437">
        <v>2009</v>
      </c>
      <c r="AV437">
        <v>24</v>
      </c>
      <c r="AW437" t="s">
        <v>74</v>
      </c>
      <c r="AX437" t="s">
        <v>74</v>
      </c>
      <c r="AY437" t="s">
        <v>74</v>
      </c>
      <c r="AZ437" t="s">
        <v>74</v>
      </c>
      <c r="BA437" t="s">
        <v>74</v>
      </c>
      <c r="BB437" t="s">
        <v>74</v>
      </c>
      <c r="BC437" t="s">
        <v>74</v>
      </c>
      <c r="BD437" t="s">
        <v>8302</v>
      </c>
      <c r="BE437" t="s">
        <v>8303</v>
      </c>
      <c r="BF437" t="str">
        <f>HYPERLINK("http://dx.doi.org/10.1029/2008PA001657","http://dx.doi.org/10.1029/2008PA001657")</f>
        <v>http://dx.doi.org/10.1029/2008PA001657</v>
      </c>
      <c r="BG437" t="s">
        <v>74</v>
      </c>
      <c r="BH437" t="s">
        <v>74</v>
      </c>
      <c r="BI437">
        <v>14</v>
      </c>
      <c r="BJ437" t="s">
        <v>638</v>
      </c>
      <c r="BK437" t="s">
        <v>100</v>
      </c>
      <c r="BL437" t="s">
        <v>639</v>
      </c>
      <c r="BM437" t="s">
        <v>8304</v>
      </c>
      <c r="BN437" t="s">
        <v>74</v>
      </c>
      <c r="BO437" t="s">
        <v>8305</v>
      </c>
      <c r="BP437" t="s">
        <v>74</v>
      </c>
      <c r="BQ437" t="s">
        <v>74</v>
      </c>
      <c r="BR437" t="s">
        <v>103</v>
      </c>
      <c r="BS437" t="s">
        <v>8306</v>
      </c>
      <c r="BT437" t="str">
        <f>HYPERLINK("https%3A%2F%2Fwww.webofscience.com%2Fwos%2Fwoscc%2Ffull-record%2FWOS:000263331600002","View Full Record in Web of Science")</f>
        <v>View Full Record in Web of Science</v>
      </c>
    </row>
    <row r="438" spans="1:72" x14ac:dyDescent="0.15">
      <c r="A438" t="s">
        <v>72</v>
      </c>
      <c r="B438" t="s">
        <v>8307</v>
      </c>
      <c r="C438" t="s">
        <v>74</v>
      </c>
      <c r="D438" t="s">
        <v>74</v>
      </c>
      <c r="E438" t="s">
        <v>74</v>
      </c>
      <c r="F438" t="s">
        <v>8308</v>
      </c>
      <c r="G438" t="s">
        <v>74</v>
      </c>
      <c r="H438" t="s">
        <v>74</v>
      </c>
      <c r="I438" t="s">
        <v>8309</v>
      </c>
      <c r="J438" t="s">
        <v>8310</v>
      </c>
      <c r="K438" t="s">
        <v>74</v>
      </c>
      <c r="L438" t="s">
        <v>74</v>
      </c>
      <c r="M438" t="s">
        <v>78</v>
      </c>
      <c r="N438" t="s">
        <v>79</v>
      </c>
      <c r="O438" t="s">
        <v>74</v>
      </c>
      <c r="P438" t="s">
        <v>74</v>
      </c>
      <c r="Q438" t="s">
        <v>74</v>
      </c>
      <c r="R438" t="s">
        <v>74</v>
      </c>
      <c r="S438" t="s">
        <v>74</v>
      </c>
      <c r="T438" t="s">
        <v>74</v>
      </c>
      <c r="U438" t="s">
        <v>8311</v>
      </c>
      <c r="V438" t="s">
        <v>8312</v>
      </c>
      <c r="W438" t="s">
        <v>8313</v>
      </c>
      <c r="X438" t="s">
        <v>8314</v>
      </c>
      <c r="Y438" t="s">
        <v>8315</v>
      </c>
      <c r="Z438" t="s">
        <v>8316</v>
      </c>
      <c r="AA438" t="s">
        <v>8317</v>
      </c>
      <c r="AB438" t="s">
        <v>8318</v>
      </c>
      <c r="AC438" t="s">
        <v>8319</v>
      </c>
      <c r="AD438" t="s">
        <v>8320</v>
      </c>
      <c r="AE438" t="s">
        <v>8321</v>
      </c>
      <c r="AF438" t="s">
        <v>74</v>
      </c>
      <c r="AG438">
        <v>53</v>
      </c>
      <c r="AH438">
        <v>10</v>
      </c>
      <c r="AI438">
        <v>11</v>
      </c>
      <c r="AJ438">
        <v>1</v>
      </c>
      <c r="AK438">
        <v>14</v>
      </c>
      <c r="AL438" t="s">
        <v>605</v>
      </c>
      <c r="AM438" t="s">
        <v>606</v>
      </c>
      <c r="AN438" t="s">
        <v>607</v>
      </c>
      <c r="AO438" t="s">
        <v>8322</v>
      </c>
      <c r="AP438" t="s">
        <v>8323</v>
      </c>
      <c r="AQ438" t="s">
        <v>74</v>
      </c>
      <c r="AR438" t="s">
        <v>8324</v>
      </c>
      <c r="AS438" t="s">
        <v>8325</v>
      </c>
      <c r="AT438" t="s">
        <v>8326</v>
      </c>
      <c r="AU438">
        <v>2009</v>
      </c>
      <c r="AV438">
        <v>114</v>
      </c>
      <c r="AW438" t="s">
        <v>74</v>
      </c>
      <c r="AX438" t="s">
        <v>74</v>
      </c>
      <c r="AY438" t="s">
        <v>74</v>
      </c>
      <c r="AZ438" t="s">
        <v>74</v>
      </c>
      <c r="BA438" t="s">
        <v>74</v>
      </c>
      <c r="BB438" t="s">
        <v>74</v>
      </c>
      <c r="BC438" t="s">
        <v>74</v>
      </c>
      <c r="BD438" t="s">
        <v>8327</v>
      </c>
      <c r="BE438" t="s">
        <v>8328</v>
      </c>
      <c r="BF438" t="str">
        <f>HYPERLINK("http://dx.doi.org/10.1029/2008JG000753","http://dx.doi.org/10.1029/2008JG000753")</f>
        <v>http://dx.doi.org/10.1029/2008JG000753</v>
      </c>
      <c r="BG438" t="s">
        <v>74</v>
      </c>
      <c r="BH438" t="s">
        <v>74</v>
      </c>
      <c r="BI438">
        <v>16</v>
      </c>
      <c r="BJ438" t="s">
        <v>8329</v>
      </c>
      <c r="BK438" t="s">
        <v>100</v>
      </c>
      <c r="BL438" t="s">
        <v>260</v>
      </c>
      <c r="BM438" t="s">
        <v>8330</v>
      </c>
      <c r="BN438" t="s">
        <v>74</v>
      </c>
      <c r="BO438" t="s">
        <v>616</v>
      </c>
      <c r="BP438" t="s">
        <v>74</v>
      </c>
      <c r="BQ438" t="s">
        <v>74</v>
      </c>
      <c r="BR438" t="s">
        <v>103</v>
      </c>
      <c r="BS438" t="s">
        <v>8331</v>
      </c>
      <c r="BT438" t="str">
        <f>HYPERLINK("https%3A%2F%2Fwww.webofscience.com%2Fwos%2Fwoscc%2Ffull-record%2FWOS:000263329800001","View Full Record in Web of Science")</f>
        <v>View Full Record in Web of Science</v>
      </c>
    </row>
    <row r="439" spans="1:72" x14ac:dyDescent="0.15">
      <c r="A439" t="s">
        <v>72</v>
      </c>
      <c r="B439" t="s">
        <v>8332</v>
      </c>
      <c r="C439" t="s">
        <v>74</v>
      </c>
      <c r="D439" t="s">
        <v>74</v>
      </c>
      <c r="E439" t="s">
        <v>74</v>
      </c>
      <c r="F439" t="s">
        <v>8333</v>
      </c>
      <c r="G439" t="s">
        <v>74</v>
      </c>
      <c r="H439" t="s">
        <v>74</v>
      </c>
      <c r="I439" t="s">
        <v>8334</v>
      </c>
      <c r="J439" t="s">
        <v>772</v>
      </c>
      <c r="K439" t="s">
        <v>74</v>
      </c>
      <c r="L439" t="s">
        <v>74</v>
      </c>
      <c r="M439" t="s">
        <v>78</v>
      </c>
      <c r="N439" t="s">
        <v>79</v>
      </c>
      <c r="O439" t="s">
        <v>74</v>
      </c>
      <c r="P439" t="s">
        <v>74</v>
      </c>
      <c r="Q439" t="s">
        <v>74</v>
      </c>
      <c r="R439" t="s">
        <v>74</v>
      </c>
      <c r="S439" t="s">
        <v>74</v>
      </c>
      <c r="T439" t="s">
        <v>74</v>
      </c>
      <c r="U439" t="s">
        <v>8335</v>
      </c>
      <c r="V439" t="s">
        <v>74</v>
      </c>
      <c r="W439" t="s">
        <v>8336</v>
      </c>
      <c r="X439" t="s">
        <v>8337</v>
      </c>
      <c r="Y439" t="s">
        <v>8338</v>
      </c>
      <c r="Z439" t="s">
        <v>8339</v>
      </c>
      <c r="AA439" t="s">
        <v>74</v>
      </c>
      <c r="AB439" t="s">
        <v>8340</v>
      </c>
      <c r="AC439" t="s">
        <v>8341</v>
      </c>
      <c r="AD439" t="s">
        <v>8342</v>
      </c>
      <c r="AE439" t="s">
        <v>8343</v>
      </c>
      <c r="AF439" t="s">
        <v>74</v>
      </c>
      <c r="AG439">
        <v>10</v>
      </c>
      <c r="AH439">
        <v>354</v>
      </c>
      <c r="AI439">
        <v>439</v>
      </c>
      <c r="AJ439">
        <v>0</v>
      </c>
      <c r="AK439">
        <v>139</v>
      </c>
      <c r="AL439" t="s">
        <v>784</v>
      </c>
      <c r="AM439" t="s">
        <v>606</v>
      </c>
      <c r="AN439" t="s">
        <v>785</v>
      </c>
      <c r="AO439" t="s">
        <v>786</v>
      </c>
      <c r="AP439" t="s">
        <v>787</v>
      </c>
      <c r="AQ439" t="s">
        <v>74</v>
      </c>
      <c r="AR439" t="s">
        <v>772</v>
      </c>
      <c r="AS439" t="s">
        <v>788</v>
      </c>
      <c r="AT439" t="s">
        <v>8326</v>
      </c>
      <c r="AU439">
        <v>2009</v>
      </c>
      <c r="AV439">
        <v>323</v>
      </c>
      <c r="AW439">
        <v>5916</v>
      </c>
      <c r="AX439" t="s">
        <v>74</v>
      </c>
      <c r="AY439" t="s">
        <v>74</v>
      </c>
      <c r="AZ439" t="s">
        <v>74</v>
      </c>
      <c r="BA439" t="s">
        <v>74</v>
      </c>
      <c r="BB439">
        <v>896</v>
      </c>
      <c r="BC439">
        <v>896</v>
      </c>
      <c r="BD439" t="s">
        <v>74</v>
      </c>
      <c r="BE439" t="s">
        <v>8344</v>
      </c>
      <c r="BF439" t="str">
        <f>HYPERLINK("http://dx.doi.org/10.1126/science.1166664","http://dx.doi.org/10.1126/science.1166664")</f>
        <v>http://dx.doi.org/10.1126/science.1166664</v>
      </c>
      <c r="BG439" t="s">
        <v>74</v>
      </c>
      <c r="BH439" t="s">
        <v>74</v>
      </c>
      <c r="BI439">
        <v>1</v>
      </c>
      <c r="BJ439" t="s">
        <v>790</v>
      </c>
      <c r="BK439" t="s">
        <v>100</v>
      </c>
      <c r="BL439" t="s">
        <v>791</v>
      </c>
      <c r="BM439" t="s">
        <v>8345</v>
      </c>
      <c r="BN439">
        <v>19213909</v>
      </c>
      <c r="BO439" t="s">
        <v>74</v>
      </c>
      <c r="BP439" t="s">
        <v>74</v>
      </c>
      <c r="BQ439" t="s">
        <v>74</v>
      </c>
      <c r="BR439" t="s">
        <v>103</v>
      </c>
      <c r="BS439" t="s">
        <v>8346</v>
      </c>
      <c r="BT439" t="str">
        <f>HYPERLINK("https%3A%2F%2Fwww.webofscience.com%2Fwos%2Fwoscc%2Ffull-record%2FWOS:000263295400031","View Full Record in Web of Science")</f>
        <v>View Full Record in Web of Science</v>
      </c>
    </row>
    <row r="440" spans="1:72" x14ac:dyDescent="0.15">
      <c r="A440" t="s">
        <v>72</v>
      </c>
      <c r="B440" t="s">
        <v>8347</v>
      </c>
      <c r="C440" t="s">
        <v>74</v>
      </c>
      <c r="D440" t="s">
        <v>74</v>
      </c>
      <c r="E440" t="s">
        <v>74</v>
      </c>
      <c r="F440" t="s">
        <v>8348</v>
      </c>
      <c r="G440" t="s">
        <v>74</v>
      </c>
      <c r="H440" t="s">
        <v>74</v>
      </c>
      <c r="I440" t="s">
        <v>8349</v>
      </c>
      <c r="J440" t="s">
        <v>887</v>
      </c>
      <c r="K440" t="s">
        <v>74</v>
      </c>
      <c r="L440" t="s">
        <v>74</v>
      </c>
      <c r="M440" t="s">
        <v>78</v>
      </c>
      <c r="N440" t="s">
        <v>79</v>
      </c>
      <c r="O440" t="s">
        <v>74</v>
      </c>
      <c r="P440" t="s">
        <v>74</v>
      </c>
      <c r="Q440" t="s">
        <v>74</v>
      </c>
      <c r="R440" t="s">
        <v>74</v>
      </c>
      <c r="S440" t="s">
        <v>74</v>
      </c>
      <c r="T440" t="s">
        <v>8350</v>
      </c>
      <c r="U440" t="s">
        <v>8351</v>
      </c>
      <c r="V440" t="s">
        <v>8352</v>
      </c>
      <c r="W440" t="s">
        <v>8353</v>
      </c>
      <c r="X440" t="s">
        <v>8354</v>
      </c>
      <c r="Y440" t="s">
        <v>8355</v>
      </c>
      <c r="Z440" t="s">
        <v>8356</v>
      </c>
      <c r="AA440" t="s">
        <v>74</v>
      </c>
      <c r="AB440" t="s">
        <v>74</v>
      </c>
      <c r="AC440" t="s">
        <v>8357</v>
      </c>
      <c r="AD440" t="s">
        <v>8358</v>
      </c>
      <c r="AE440" t="s">
        <v>8359</v>
      </c>
      <c r="AF440" t="s">
        <v>74</v>
      </c>
      <c r="AG440">
        <v>31</v>
      </c>
      <c r="AH440">
        <v>6</v>
      </c>
      <c r="AI440">
        <v>7</v>
      </c>
      <c r="AJ440">
        <v>0</v>
      </c>
      <c r="AK440">
        <v>1</v>
      </c>
      <c r="AL440" t="s">
        <v>900</v>
      </c>
      <c r="AM440" t="s">
        <v>901</v>
      </c>
      <c r="AN440" t="s">
        <v>902</v>
      </c>
      <c r="AO440" t="s">
        <v>903</v>
      </c>
      <c r="AP440" t="s">
        <v>904</v>
      </c>
      <c r="AQ440" t="s">
        <v>74</v>
      </c>
      <c r="AR440" t="s">
        <v>887</v>
      </c>
      <c r="AS440" t="s">
        <v>905</v>
      </c>
      <c r="AT440" t="s">
        <v>8360</v>
      </c>
      <c r="AU440">
        <v>2009</v>
      </c>
      <c r="AV440" t="s">
        <v>74</v>
      </c>
      <c r="AW440">
        <v>2007</v>
      </c>
      <c r="AX440" t="s">
        <v>74</v>
      </c>
      <c r="AY440" t="s">
        <v>74</v>
      </c>
      <c r="AZ440" t="s">
        <v>74</v>
      </c>
      <c r="BA440" t="s">
        <v>74</v>
      </c>
      <c r="BB440">
        <v>43</v>
      </c>
      <c r="BC440">
        <v>57</v>
      </c>
      <c r="BD440" t="s">
        <v>74</v>
      </c>
      <c r="BE440" t="s">
        <v>8361</v>
      </c>
      <c r="BF440" t="str">
        <f>HYPERLINK("http://dx.doi.org/10.11646/zootaxa.2007.1.2","http://dx.doi.org/10.11646/zootaxa.2007.1.2")</f>
        <v>http://dx.doi.org/10.11646/zootaxa.2007.1.2</v>
      </c>
      <c r="BG440" t="s">
        <v>74</v>
      </c>
      <c r="BH440" t="s">
        <v>74</v>
      </c>
      <c r="BI440">
        <v>15</v>
      </c>
      <c r="BJ440" t="s">
        <v>908</v>
      </c>
      <c r="BK440" t="s">
        <v>100</v>
      </c>
      <c r="BL440" t="s">
        <v>908</v>
      </c>
      <c r="BM440" t="s">
        <v>8362</v>
      </c>
      <c r="BN440" t="s">
        <v>74</v>
      </c>
      <c r="BO440" t="s">
        <v>74</v>
      </c>
      <c r="BP440" t="s">
        <v>74</v>
      </c>
      <c r="BQ440" t="s">
        <v>74</v>
      </c>
      <c r="BR440" t="s">
        <v>103</v>
      </c>
      <c r="BS440" t="s">
        <v>8363</v>
      </c>
      <c r="BT440" t="str">
        <f>HYPERLINK("https%3A%2F%2Fwww.webofscience.com%2Fwos%2Fwoscc%2Ffull-record%2FWOS:000263326500002","View Full Record in Web of Science")</f>
        <v>View Full Record in Web of Science</v>
      </c>
    </row>
    <row r="441" spans="1:72" x14ac:dyDescent="0.15">
      <c r="A441" t="s">
        <v>72</v>
      </c>
      <c r="B441" t="s">
        <v>8364</v>
      </c>
      <c r="C441" t="s">
        <v>74</v>
      </c>
      <c r="D441" t="s">
        <v>74</v>
      </c>
      <c r="E441" t="s">
        <v>74</v>
      </c>
      <c r="F441" t="s">
        <v>8365</v>
      </c>
      <c r="G441" t="s">
        <v>74</v>
      </c>
      <c r="H441" t="s">
        <v>74</v>
      </c>
      <c r="I441" t="s">
        <v>8366</v>
      </c>
      <c r="J441" t="s">
        <v>862</v>
      </c>
      <c r="K441" t="s">
        <v>74</v>
      </c>
      <c r="L441" t="s">
        <v>74</v>
      </c>
      <c r="M441" t="s">
        <v>78</v>
      </c>
      <c r="N441" t="s">
        <v>79</v>
      </c>
      <c r="O441" t="s">
        <v>74</v>
      </c>
      <c r="P441" t="s">
        <v>74</v>
      </c>
      <c r="Q441" t="s">
        <v>74</v>
      </c>
      <c r="R441" t="s">
        <v>74</v>
      </c>
      <c r="S441" t="s">
        <v>74</v>
      </c>
      <c r="T441" t="s">
        <v>8367</v>
      </c>
      <c r="U441" t="s">
        <v>8368</v>
      </c>
      <c r="V441" t="s">
        <v>8369</v>
      </c>
      <c r="W441" t="s">
        <v>8370</v>
      </c>
      <c r="X441" t="s">
        <v>8371</v>
      </c>
      <c r="Y441" t="s">
        <v>8372</v>
      </c>
      <c r="Z441" t="s">
        <v>8373</v>
      </c>
      <c r="AA441" t="s">
        <v>8374</v>
      </c>
      <c r="AB441" t="s">
        <v>8375</v>
      </c>
      <c r="AC441" t="s">
        <v>8376</v>
      </c>
      <c r="AD441" t="s">
        <v>8377</v>
      </c>
      <c r="AE441" t="s">
        <v>8378</v>
      </c>
      <c r="AF441" t="s">
        <v>74</v>
      </c>
      <c r="AG441">
        <v>38</v>
      </c>
      <c r="AH441">
        <v>178</v>
      </c>
      <c r="AI441">
        <v>194</v>
      </c>
      <c r="AJ441">
        <v>8</v>
      </c>
      <c r="AK441">
        <v>193</v>
      </c>
      <c r="AL441" t="s">
        <v>874</v>
      </c>
      <c r="AM441" t="s">
        <v>606</v>
      </c>
      <c r="AN441" t="s">
        <v>875</v>
      </c>
      <c r="AO441" t="s">
        <v>876</v>
      </c>
      <c r="AP441" t="s">
        <v>8379</v>
      </c>
      <c r="AQ441" t="s">
        <v>74</v>
      </c>
      <c r="AR441" t="s">
        <v>877</v>
      </c>
      <c r="AS441" t="s">
        <v>878</v>
      </c>
      <c r="AT441" t="s">
        <v>8380</v>
      </c>
      <c r="AU441">
        <v>2009</v>
      </c>
      <c r="AV441">
        <v>106</v>
      </c>
      <c r="AW441">
        <v>6</v>
      </c>
      <c r="AX441" t="s">
        <v>74</v>
      </c>
      <c r="AY441" t="s">
        <v>74</v>
      </c>
      <c r="AZ441" t="s">
        <v>74</v>
      </c>
      <c r="BA441" t="s">
        <v>74</v>
      </c>
      <c r="BB441">
        <v>1844</v>
      </c>
      <c r="BC441">
        <v>1847</v>
      </c>
      <c r="BD441" t="s">
        <v>74</v>
      </c>
      <c r="BE441" t="s">
        <v>8381</v>
      </c>
      <c r="BF441" t="str">
        <f>HYPERLINK("http://dx.doi.org/10.1073/pnas.0806638106","http://dx.doi.org/10.1073/pnas.0806638106")</f>
        <v>http://dx.doi.org/10.1073/pnas.0806638106</v>
      </c>
      <c r="BG441" t="s">
        <v>74</v>
      </c>
      <c r="BH441" t="s">
        <v>74</v>
      </c>
      <c r="BI441">
        <v>4</v>
      </c>
      <c r="BJ441" t="s">
        <v>790</v>
      </c>
      <c r="BK441" t="s">
        <v>100</v>
      </c>
      <c r="BL441" t="s">
        <v>791</v>
      </c>
      <c r="BM441" t="s">
        <v>8382</v>
      </c>
      <c r="BN441">
        <v>19171908</v>
      </c>
      <c r="BO441" t="s">
        <v>217</v>
      </c>
      <c r="BP441" t="s">
        <v>74</v>
      </c>
      <c r="BQ441" t="s">
        <v>74</v>
      </c>
      <c r="BR441" t="s">
        <v>103</v>
      </c>
      <c r="BS441" t="s">
        <v>8383</v>
      </c>
      <c r="BT441" t="str">
        <f>HYPERLINK("https%3A%2F%2Fwww.webofscience.com%2Fwos%2Fwoscc%2Ffull-record%2FWOS:000263252500032","View Full Record in Web of Science")</f>
        <v>View Full Record in Web of Science</v>
      </c>
    </row>
    <row r="442" spans="1:72" x14ac:dyDescent="0.15">
      <c r="A442" t="s">
        <v>72</v>
      </c>
      <c r="B442" t="s">
        <v>8384</v>
      </c>
      <c r="C442" t="s">
        <v>74</v>
      </c>
      <c r="D442" t="s">
        <v>74</v>
      </c>
      <c r="E442" t="s">
        <v>74</v>
      </c>
      <c r="F442" t="s">
        <v>8385</v>
      </c>
      <c r="G442" t="s">
        <v>74</v>
      </c>
      <c r="H442" t="s">
        <v>74</v>
      </c>
      <c r="I442" t="s">
        <v>8386</v>
      </c>
      <c r="J442" t="s">
        <v>5861</v>
      </c>
      <c r="K442" t="s">
        <v>74</v>
      </c>
      <c r="L442" t="s">
        <v>74</v>
      </c>
      <c r="M442" t="s">
        <v>78</v>
      </c>
      <c r="N442" t="s">
        <v>79</v>
      </c>
      <c r="O442" t="s">
        <v>74</v>
      </c>
      <c r="P442" t="s">
        <v>74</v>
      </c>
      <c r="Q442" t="s">
        <v>74</v>
      </c>
      <c r="R442" t="s">
        <v>74</v>
      </c>
      <c r="S442" t="s">
        <v>74</v>
      </c>
      <c r="T442" t="s">
        <v>74</v>
      </c>
      <c r="U442" t="s">
        <v>8387</v>
      </c>
      <c r="V442" t="s">
        <v>8388</v>
      </c>
      <c r="W442" t="s">
        <v>8389</v>
      </c>
      <c r="X442" t="s">
        <v>8390</v>
      </c>
      <c r="Y442" t="s">
        <v>8391</v>
      </c>
      <c r="Z442" t="s">
        <v>8392</v>
      </c>
      <c r="AA442" t="s">
        <v>8393</v>
      </c>
      <c r="AB442" t="s">
        <v>8394</v>
      </c>
      <c r="AC442" t="s">
        <v>8395</v>
      </c>
      <c r="AD442" t="s">
        <v>8396</v>
      </c>
      <c r="AE442" t="s">
        <v>8397</v>
      </c>
      <c r="AF442" t="s">
        <v>74</v>
      </c>
      <c r="AG442">
        <v>85</v>
      </c>
      <c r="AH442">
        <v>70</v>
      </c>
      <c r="AI442">
        <v>86</v>
      </c>
      <c r="AJ442">
        <v>3</v>
      </c>
      <c r="AK442">
        <v>33</v>
      </c>
      <c r="AL442" t="s">
        <v>5873</v>
      </c>
      <c r="AM442" t="s">
        <v>2924</v>
      </c>
      <c r="AN442" t="s">
        <v>5874</v>
      </c>
      <c r="AO442" t="s">
        <v>5875</v>
      </c>
      <c r="AP442" t="s">
        <v>74</v>
      </c>
      <c r="AQ442" t="s">
        <v>74</v>
      </c>
      <c r="AR442" t="s">
        <v>5861</v>
      </c>
      <c r="AS442" t="s">
        <v>5876</v>
      </c>
      <c r="AT442" t="s">
        <v>8398</v>
      </c>
      <c r="AU442">
        <v>2009</v>
      </c>
      <c r="AV442">
        <v>10</v>
      </c>
      <c r="AW442" t="s">
        <v>74</v>
      </c>
      <c r="AX442" t="s">
        <v>74</v>
      </c>
      <c r="AY442" t="s">
        <v>74</v>
      </c>
      <c r="AZ442" t="s">
        <v>74</v>
      </c>
      <c r="BA442" t="s">
        <v>74</v>
      </c>
      <c r="BB442" t="s">
        <v>74</v>
      </c>
      <c r="BC442" t="s">
        <v>74</v>
      </c>
      <c r="BD442">
        <v>69</v>
      </c>
      <c r="BE442" t="s">
        <v>8399</v>
      </c>
      <c r="BF442" t="str">
        <f>HYPERLINK("http://dx.doi.org/10.1186/1471-2164-10-69","http://dx.doi.org/10.1186/1471-2164-10-69")</f>
        <v>http://dx.doi.org/10.1186/1471-2164-10-69</v>
      </c>
      <c r="BG442" t="s">
        <v>74</v>
      </c>
      <c r="BH442" t="s">
        <v>74</v>
      </c>
      <c r="BI442">
        <v>18</v>
      </c>
      <c r="BJ442" t="s">
        <v>5879</v>
      </c>
      <c r="BK442" t="s">
        <v>100</v>
      </c>
      <c r="BL442" t="s">
        <v>5879</v>
      </c>
      <c r="BM442" t="s">
        <v>8400</v>
      </c>
      <c r="BN442">
        <v>19203352</v>
      </c>
      <c r="BO442" t="s">
        <v>8401</v>
      </c>
      <c r="BP442" t="s">
        <v>74</v>
      </c>
      <c r="BQ442" t="s">
        <v>74</v>
      </c>
      <c r="BR442" t="s">
        <v>103</v>
      </c>
      <c r="BS442" t="s">
        <v>8402</v>
      </c>
      <c r="BT442" t="str">
        <f>HYPERLINK("https%3A%2F%2Fwww.webofscience.com%2Fwos%2Fwoscc%2Ffull-record%2FWOS:000265790200001","View Full Record in Web of Science")</f>
        <v>View Full Record in Web of Science</v>
      </c>
    </row>
    <row r="443" spans="1:72" x14ac:dyDescent="0.15">
      <c r="A443" t="s">
        <v>72</v>
      </c>
      <c r="B443" t="s">
        <v>8403</v>
      </c>
      <c r="C443" t="s">
        <v>74</v>
      </c>
      <c r="D443" t="s">
        <v>74</v>
      </c>
      <c r="E443" t="s">
        <v>74</v>
      </c>
      <c r="F443" t="s">
        <v>8404</v>
      </c>
      <c r="G443" t="s">
        <v>74</v>
      </c>
      <c r="H443" t="s">
        <v>74</v>
      </c>
      <c r="I443" t="s">
        <v>8405</v>
      </c>
      <c r="J443" t="s">
        <v>645</v>
      </c>
      <c r="K443" t="s">
        <v>74</v>
      </c>
      <c r="L443" t="s">
        <v>74</v>
      </c>
      <c r="M443" t="s">
        <v>78</v>
      </c>
      <c r="N443" t="s">
        <v>79</v>
      </c>
      <c r="O443" t="s">
        <v>74</v>
      </c>
      <c r="P443" t="s">
        <v>74</v>
      </c>
      <c r="Q443" t="s">
        <v>74</v>
      </c>
      <c r="R443" t="s">
        <v>74</v>
      </c>
      <c r="S443" t="s">
        <v>74</v>
      </c>
      <c r="T443" t="s">
        <v>74</v>
      </c>
      <c r="U443" t="s">
        <v>8406</v>
      </c>
      <c r="V443" t="s">
        <v>8407</v>
      </c>
      <c r="W443" t="s">
        <v>8408</v>
      </c>
      <c r="X443" t="s">
        <v>8409</v>
      </c>
      <c r="Y443" t="s">
        <v>8410</v>
      </c>
      <c r="Z443" t="s">
        <v>8411</v>
      </c>
      <c r="AA443" t="s">
        <v>8412</v>
      </c>
      <c r="AB443" t="s">
        <v>74</v>
      </c>
      <c r="AC443" t="s">
        <v>8413</v>
      </c>
      <c r="AD443" t="s">
        <v>8414</v>
      </c>
      <c r="AE443" t="s">
        <v>8415</v>
      </c>
      <c r="AF443" t="s">
        <v>74</v>
      </c>
      <c r="AG443">
        <v>20</v>
      </c>
      <c r="AH443">
        <v>28</v>
      </c>
      <c r="AI443">
        <v>34</v>
      </c>
      <c r="AJ443">
        <v>2</v>
      </c>
      <c r="AK443">
        <v>12</v>
      </c>
      <c r="AL443" t="s">
        <v>605</v>
      </c>
      <c r="AM443" t="s">
        <v>606</v>
      </c>
      <c r="AN443" t="s">
        <v>607</v>
      </c>
      <c r="AO443" t="s">
        <v>657</v>
      </c>
      <c r="AP443" t="s">
        <v>658</v>
      </c>
      <c r="AQ443" t="s">
        <v>74</v>
      </c>
      <c r="AR443" t="s">
        <v>659</v>
      </c>
      <c r="AS443" t="s">
        <v>660</v>
      </c>
      <c r="AT443" t="s">
        <v>8416</v>
      </c>
      <c r="AU443">
        <v>2009</v>
      </c>
      <c r="AV443">
        <v>36</v>
      </c>
      <c r="AW443" t="s">
        <v>74</v>
      </c>
      <c r="AX443" t="s">
        <v>74</v>
      </c>
      <c r="AY443" t="s">
        <v>74</v>
      </c>
      <c r="AZ443" t="s">
        <v>74</v>
      </c>
      <c r="BA443" t="s">
        <v>74</v>
      </c>
      <c r="BB443" t="s">
        <v>74</v>
      </c>
      <c r="BC443" t="s">
        <v>74</v>
      </c>
      <c r="BD443" t="s">
        <v>8417</v>
      </c>
      <c r="BE443" t="s">
        <v>8418</v>
      </c>
      <c r="BF443" t="str">
        <f>HYPERLINK("http://dx.doi.org/10.1029/2008GL036078","http://dx.doi.org/10.1029/2008GL036078")</f>
        <v>http://dx.doi.org/10.1029/2008GL036078</v>
      </c>
      <c r="BG443" t="s">
        <v>74</v>
      </c>
      <c r="BH443" t="s">
        <v>74</v>
      </c>
      <c r="BI443">
        <v>4</v>
      </c>
      <c r="BJ443" t="s">
        <v>496</v>
      </c>
      <c r="BK443" t="s">
        <v>100</v>
      </c>
      <c r="BL443" t="s">
        <v>497</v>
      </c>
      <c r="BM443" t="s">
        <v>8419</v>
      </c>
      <c r="BN443" t="s">
        <v>74</v>
      </c>
      <c r="BO443" t="s">
        <v>1012</v>
      </c>
      <c r="BP443" t="s">
        <v>74</v>
      </c>
      <c r="BQ443" t="s">
        <v>74</v>
      </c>
      <c r="BR443" t="s">
        <v>103</v>
      </c>
      <c r="BS443" t="s">
        <v>8420</v>
      </c>
      <c r="BT443" t="str">
        <f>HYPERLINK("https%3A%2F%2Fwww.webofscience.com%2Fwos%2Fwoscc%2Ffull-record%2FWOS:000263174500003","View Full Record in Web of Science")</f>
        <v>View Full Record in Web of Science</v>
      </c>
    </row>
    <row r="444" spans="1:72" x14ac:dyDescent="0.15">
      <c r="A444" t="s">
        <v>72</v>
      </c>
      <c r="B444" t="s">
        <v>8421</v>
      </c>
      <c r="C444" t="s">
        <v>74</v>
      </c>
      <c r="D444" t="s">
        <v>74</v>
      </c>
      <c r="E444" t="s">
        <v>74</v>
      </c>
      <c r="F444" t="s">
        <v>8422</v>
      </c>
      <c r="G444" t="s">
        <v>74</v>
      </c>
      <c r="H444" t="s">
        <v>74</v>
      </c>
      <c r="I444" t="s">
        <v>8423</v>
      </c>
      <c r="J444" t="s">
        <v>772</v>
      </c>
      <c r="K444" t="s">
        <v>74</v>
      </c>
      <c r="L444" t="s">
        <v>74</v>
      </c>
      <c r="M444" t="s">
        <v>78</v>
      </c>
      <c r="N444" t="s">
        <v>934</v>
      </c>
      <c r="O444" t="s">
        <v>74</v>
      </c>
      <c r="P444" t="s">
        <v>74</v>
      </c>
      <c r="Q444" t="s">
        <v>74</v>
      </c>
      <c r="R444" t="s">
        <v>74</v>
      </c>
      <c r="S444" t="s">
        <v>74</v>
      </c>
      <c r="T444" t="s">
        <v>74</v>
      </c>
      <c r="U444" t="s">
        <v>8424</v>
      </c>
      <c r="V444" t="s">
        <v>74</v>
      </c>
      <c r="W444" t="s">
        <v>8425</v>
      </c>
      <c r="X444" t="s">
        <v>824</v>
      </c>
      <c r="Y444" t="s">
        <v>8426</v>
      </c>
      <c r="Z444" t="s">
        <v>8427</v>
      </c>
      <c r="AA444" t="s">
        <v>74</v>
      </c>
      <c r="AB444" t="s">
        <v>74</v>
      </c>
      <c r="AC444" t="s">
        <v>8428</v>
      </c>
      <c r="AD444" t="s">
        <v>1593</v>
      </c>
      <c r="AE444" t="s">
        <v>74</v>
      </c>
      <c r="AF444" t="s">
        <v>74</v>
      </c>
      <c r="AG444">
        <v>11</v>
      </c>
      <c r="AH444">
        <v>5</v>
      </c>
      <c r="AI444">
        <v>7</v>
      </c>
      <c r="AJ444">
        <v>0</v>
      </c>
      <c r="AK444">
        <v>5</v>
      </c>
      <c r="AL444" t="s">
        <v>784</v>
      </c>
      <c r="AM444" t="s">
        <v>606</v>
      </c>
      <c r="AN444" t="s">
        <v>785</v>
      </c>
      <c r="AO444" t="s">
        <v>786</v>
      </c>
      <c r="AP444" t="s">
        <v>787</v>
      </c>
      <c r="AQ444" t="s">
        <v>74</v>
      </c>
      <c r="AR444" t="s">
        <v>772</v>
      </c>
      <c r="AS444" t="s">
        <v>788</v>
      </c>
      <c r="AT444" t="s">
        <v>8416</v>
      </c>
      <c r="AU444">
        <v>2009</v>
      </c>
      <c r="AV444">
        <v>323</v>
      </c>
      <c r="AW444">
        <v>5915</v>
      </c>
      <c r="AX444" t="s">
        <v>74</v>
      </c>
      <c r="AY444" t="s">
        <v>74</v>
      </c>
      <c r="AZ444" t="s">
        <v>74</v>
      </c>
      <c r="BA444" t="s">
        <v>74</v>
      </c>
      <c r="BB444">
        <v>720</v>
      </c>
      <c r="BC444">
        <v>721</v>
      </c>
      <c r="BD444" t="s">
        <v>74</v>
      </c>
      <c r="BE444" t="s">
        <v>8429</v>
      </c>
      <c r="BF444" t="str">
        <f>HYPERLINK("http://dx.doi.org/10.1126/science.1169410","http://dx.doi.org/10.1126/science.1169410")</f>
        <v>http://dx.doi.org/10.1126/science.1169410</v>
      </c>
      <c r="BG444" t="s">
        <v>74</v>
      </c>
      <c r="BH444" t="s">
        <v>74</v>
      </c>
      <c r="BI444">
        <v>2</v>
      </c>
      <c r="BJ444" t="s">
        <v>790</v>
      </c>
      <c r="BK444" t="s">
        <v>1103</v>
      </c>
      <c r="BL444" t="s">
        <v>791</v>
      </c>
      <c r="BM444" t="s">
        <v>8430</v>
      </c>
      <c r="BN444">
        <v>19197045</v>
      </c>
      <c r="BO444" t="s">
        <v>74</v>
      </c>
      <c r="BP444" t="s">
        <v>74</v>
      </c>
      <c r="BQ444" t="s">
        <v>74</v>
      </c>
      <c r="BR444" t="s">
        <v>103</v>
      </c>
      <c r="BS444" t="s">
        <v>8431</v>
      </c>
      <c r="BT444" t="str">
        <f>HYPERLINK("https%3A%2F%2Fwww.webofscience.com%2Fwos%2Fwoscc%2Ffull-record%2FWOS:000263066800026","View Full Record in Web of Science")</f>
        <v>View Full Record in Web of Science</v>
      </c>
    </row>
    <row r="445" spans="1:72" x14ac:dyDescent="0.15">
      <c r="A445" t="s">
        <v>72</v>
      </c>
      <c r="B445" t="s">
        <v>8432</v>
      </c>
      <c r="C445" t="s">
        <v>74</v>
      </c>
      <c r="D445" t="s">
        <v>74</v>
      </c>
      <c r="E445" t="s">
        <v>74</v>
      </c>
      <c r="F445" t="s">
        <v>8433</v>
      </c>
      <c r="G445" t="s">
        <v>74</v>
      </c>
      <c r="H445" t="s">
        <v>74</v>
      </c>
      <c r="I445" t="s">
        <v>8434</v>
      </c>
      <c r="J445" t="s">
        <v>772</v>
      </c>
      <c r="K445" t="s">
        <v>74</v>
      </c>
      <c r="L445" t="s">
        <v>74</v>
      </c>
      <c r="M445" t="s">
        <v>78</v>
      </c>
      <c r="N445" t="s">
        <v>79</v>
      </c>
      <c r="O445" t="s">
        <v>74</v>
      </c>
      <c r="P445" t="s">
        <v>74</v>
      </c>
      <c r="Q445" t="s">
        <v>74</v>
      </c>
      <c r="R445" t="s">
        <v>74</v>
      </c>
      <c r="S445" t="s">
        <v>74</v>
      </c>
      <c r="T445" t="s">
        <v>74</v>
      </c>
      <c r="U445" t="s">
        <v>74</v>
      </c>
      <c r="V445" t="s">
        <v>74</v>
      </c>
      <c r="W445" t="s">
        <v>8435</v>
      </c>
      <c r="X445" t="s">
        <v>8436</v>
      </c>
      <c r="Y445" t="s">
        <v>8437</v>
      </c>
      <c r="Z445" t="s">
        <v>74</v>
      </c>
      <c r="AA445" t="s">
        <v>8438</v>
      </c>
      <c r="AB445" t="s">
        <v>8439</v>
      </c>
      <c r="AC445" t="s">
        <v>8440</v>
      </c>
      <c r="AD445" t="s">
        <v>8441</v>
      </c>
      <c r="AE445" t="s">
        <v>8442</v>
      </c>
      <c r="AF445" t="s">
        <v>74</v>
      </c>
      <c r="AG445">
        <v>5</v>
      </c>
      <c r="AH445">
        <v>169</v>
      </c>
      <c r="AI445">
        <v>209</v>
      </c>
      <c r="AJ445">
        <v>0</v>
      </c>
      <c r="AK445">
        <v>38</v>
      </c>
      <c r="AL445" t="s">
        <v>784</v>
      </c>
      <c r="AM445" t="s">
        <v>606</v>
      </c>
      <c r="AN445" t="s">
        <v>785</v>
      </c>
      <c r="AO445" t="s">
        <v>786</v>
      </c>
      <c r="AP445" t="s">
        <v>787</v>
      </c>
      <c r="AQ445" t="s">
        <v>74</v>
      </c>
      <c r="AR445" t="s">
        <v>772</v>
      </c>
      <c r="AS445" t="s">
        <v>788</v>
      </c>
      <c r="AT445" t="s">
        <v>8416</v>
      </c>
      <c r="AU445">
        <v>2009</v>
      </c>
      <c r="AV445">
        <v>323</v>
      </c>
      <c r="AW445">
        <v>5915</v>
      </c>
      <c r="AX445" t="s">
        <v>74</v>
      </c>
      <c r="AY445" t="s">
        <v>74</v>
      </c>
      <c r="AZ445" t="s">
        <v>74</v>
      </c>
      <c r="BA445" t="s">
        <v>74</v>
      </c>
      <c r="BB445">
        <v>753</v>
      </c>
      <c r="BC445">
        <v>753</v>
      </c>
      <c r="BD445" t="s">
        <v>74</v>
      </c>
      <c r="BE445" t="s">
        <v>8443</v>
      </c>
      <c r="BF445" t="str">
        <f>HYPERLINK("http://dx.doi.org/10.1126/science.1166510","http://dx.doi.org/10.1126/science.1166510")</f>
        <v>http://dx.doi.org/10.1126/science.1166510</v>
      </c>
      <c r="BG445" t="s">
        <v>74</v>
      </c>
      <c r="BH445" t="s">
        <v>74</v>
      </c>
      <c r="BI445">
        <v>1</v>
      </c>
      <c r="BJ445" t="s">
        <v>790</v>
      </c>
      <c r="BK445" t="s">
        <v>100</v>
      </c>
      <c r="BL445" t="s">
        <v>791</v>
      </c>
      <c r="BM445" t="s">
        <v>8430</v>
      </c>
      <c r="BN445">
        <v>19197056</v>
      </c>
      <c r="BO445" t="s">
        <v>74</v>
      </c>
      <c r="BP445" t="s">
        <v>74</v>
      </c>
      <c r="BQ445" t="s">
        <v>74</v>
      </c>
      <c r="BR445" t="s">
        <v>103</v>
      </c>
      <c r="BS445" t="s">
        <v>8444</v>
      </c>
      <c r="BT445" t="str">
        <f>HYPERLINK("https%3A%2F%2Fwww.webofscience.com%2Fwos%2Fwoscc%2Ffull-record%2FWOS:000263066800037","View Full Record in Web of Science")</f>
        <v>View Full Record in Web of Science</v>
      </c>
    </row>
    <row r="446" spans="1:72" x14ac:dyDescent="0.15">
      <c r="A446" t="s">
        <v>72</v>
      </c>
      <c r="B446" t="s">
        <v>8445</v>
      </c>
      <c r="C446" t="s">
        <v>74</v>
      </c>
      <c r="D446" t="s">
        <v>74</v>
      </c>
      <c r="E446" t="s">
        <v>74</v>
      </c>
      <c r="F446" t="s">
        <v>8446</v>
      </c>
      <c r="G446" t="s">
        <v>74</v>
      </c>
      <c r="H446" t="s">
        <v>74</v>
      </c>
      <c r="I446" t="s">
        <v>8447</v>
      </c>
      <c r="J446" t="s">
        <v>8448</v>
      </c>
      <c r="K446" t="s">
        <v>74</v>
      </c>
      <c r="L446" t="s">
        <v>74</v>
      </c>
      <c r="M446" t="s">
        <v>78</v>
      </c>
      <c r="N446" t="s">
        <v>79</v>
      </c>
      <c r="O446" t="s">
        <v>74</v>
      </c>
      <c r="P446" t="s">
        <v>74</v>
      </c>
      <c r="Q446" t="s">
        <v>74</v>
      </c>
      <c r="R446" t="s">
        <v>74</v>
      </c>
      <c r="S446" t="s">
        <v>74</v>
      </c>
      <c r="T446" t="s">
        <v>8449</v>
      </c>
      <c r="U446" t="s">
        <v>8450</v>
      </c>
      <c r="V446" t="s">
        <v>8451</v>
      </c>
      <c r="W446" t="s">
        <v>8452</v>
      </c>
      <c r="X446" t="s">
        <v>8453</v>
      </c>
      <c r="Y446" t="s">
        <v>8454</v>
      </c>
      <c r="Z446" t="s">
        <v>8455</v>
      </c>
      <c r="AA446" t="s">
        <v>8456</v>
      </c>
      <c r="AB446" t="s">
        <v>8457</v>
      </c>
      <c r="AC446" t="s">
        <v>74</v>
      </c>
      <c r="AD446" t="s">
        <v>74</v>
      </c>
      <c r="AE446" t="s">
        <v>74</v>
      </c>
      <c r="AF446" t="s">
        <v>74</v>
      </c>
      <c r="AG446">
        <v>28</v>
      </c>
      <c r="AH446">
        <v>16</v>
      </c>
      <c r="AI446">
        <v>17</v>
      </c>
      <c r="AJ446">
        <v>0</v>
      </c>
      <c r="AK446">
        <v>17</v>
      </c>
      <c r="AL446" t="s">
        <v>3964</v>
      </c>
      <c r="AM446" t="s">
        <v>92</v>
      </c>
      <c r="AN446" t="s">
        <v>3965</v>
      </c>
      <c r="AO446" t="s">
        <v>8458</v>
      </c>
      <c r="AP446" t="s">
        <v>8459</v>
      </c>
      <c r="AQ446" t="s">
        <v>74</v>
      </c>
      <c r="AR446" t="s">
        <v>8460</v>
      </c>
      <c r="AS446" t="s">
        <v>8461</v>
      </c>
      <c r="AT446" t="s">
        <v>8462</v>
      </c>
      <c r="AU446">
        <v>2009</v>
      </c>
      <c r="AV446">
        <v>44</v>
      </c>
      <c r="AW446">
        <v>2</v>
      </c>
      <c r="AX446" t="s">
        <v>74</v>
      </c>
      <c r="AY446" t="s">
        <v>74</v>
      </c>
      <c r="AZ446" t="s">
        <v>74</v>
      </c>
      <c r="BA446" t="s">
        <v>74</v>
      </c>
      <c r="BB446">
        <v>59</v>
      </c>
      <c r="BC446">
        <v>64</v>
      </c>
      <c r="BD446" t="s">
        <v>74</v>
      </c>
      <c r="BE446" t="s">
        <v>8463</v>
      </c>
      <c r="BF446" t="str">
        <f>HYPERLINK("http://dx.doi.org/10.1016/j.enzmictec.2008.09.010","http://dx.doi.org/10.1016/j.enzmictec.2008.09.010")</f>
        <v>http://dx.doi.org/10.1016/j.enzmictec.2008.09.010</v>
      </c>
      <c r="BG446" t="s">
        <v>74</v>
      </c>
      <c r="BH446" t="s">
        <v>74</v>
      </c>
      <c r="BI446">
        <v>6</v>
      </c>
      <c r="BJ446" t="s">
        <v>8464</v>
      </c>
      <c r="BK446" t="s">
        <v>100</v>
      </c>
      <c r="BL446" t="s">
        <v>8464</v>
      </c>
      <c r="BM446" t="s">
        <v>8465</v>
      </c>
      <c r="BN446" t="s">
        <v>74</v>
      </c>
      <c r="BO446" t="s">
        <v>74</v>
      </c>
      <c r="BP446" t="s">
        <v>74</v>
      </c>
      <c r="BQ446" t="s">
        <v>74</v>
      </c>
      <c r="BR446" t="s">
        <v>103</v>
      </c>
      <c r="BS446" t="s">
        <v>8466</v>
      </c>
      <c r="BT446" t="str">
        <f>HYPERLINK("https%3A%2F%2Fwww.webofscience.com%2Fwos%2Fwoscc%2Ffull-record%2FWOS:000262925800001","View Full Record in Web of Science")</f>
        <v>View Full Record in Web of Science</v>
      </c>
    </row>
    <row r="447" spans="1:72" x14ac:dyDescent="0.15">
      <c r="A447" t="s">
        <v>72</v>
      </c>
      <c r="B447" t="s">
        <v>8467</v>
      </c>
      <c r="C447" t="s">
        <v>74</v>
      </c>
      <c r="D447" t="s">
        <v>74</v>
      </c>
      <c r="E447" t="s">
        <v>74</v>
      </c>
      <c r="F447" t="s">
        <v>8468</v>
      </c>
      <c r="G447" t="s">
        <v>74</v>
      </c>
      <c r="H447" t="s">
        <v>74</v>
      </c>
      <c r="I447" t="s">
        <v>8469</v>
      </c>
      <c r="J447" t="s">
        <v>820</v>
      </c>
      <c r="K447" t="s">
        <v>74</v>
      </c>
      <c r="L447" t="s">
        <v>74</v>
      </c>
      <c r="M447" t="s">
        <v>78</v>
      </c>
      <c r="N447" t="s">
        <v>79</v>
      </c>
      <c r="O447" t="s">
        <v>74</v>
      </c>
      <c r="P447" t="s">
        <v>74</v>
      </c>
      <c r="Q447" t="s">
        <v>74</v>
      </c>
      <c r="R447" t="s">
        <v>74</v>
      </c>
      <c r="S447" t="s">
        <v>74</v>
      </c>
      <c r="T447" t="s">
        <v>74</v>
      </c>
      <c r="U447" t="s">
        <v>8470</v>
      </c>
      <c r="V447" t="s">
        <v>8471</v>
      </c>
      <c r="W447" t="s">
        <v>8472</v>
      </c>
      <c r="X447" t="s">
        <v>8473</v>
      </c>
      <c r="Y447" t="s">
        <v>8474</v>
      </c>
      <c r="Z447" t="s">
        <v>8475</v>
      </c>
      <c r="AA447" t="s">
        <v>8476</v>
      </c>
      <c r="AB447" t="s">
        <v>8477</v>
      </c>
      <c r="AC447" t="s">
        <v>8478</v>
      </c>
      <c r="AD447" t="s">
        <v>8479</v>
      </c>
      <c r="AE447" t="s">
        <v>8480</v>
      </c>
      <c r="AF447" t="s">
        <v>74</v>
      </c>
      <c r="AG447">
        <v>87</v>
      </c>
      <c r="AH447">
        <v>62</v>
      </c>
      <c r="AI447">
        <v>62</v>
      </c>
      <c r="AJ447">
        <v>1</v>
      </c>
      <c r="AK447">
        <v>11</v>
      </c>
      <c r="AL447" t="s">
        <v>605</v>
      </c>
      <c r="AM447" t="s">
        <v>606</v>
      </c>
      <c r="AN447" t="s">
        <v>607</v>
      </c>
      <c r="AO447" t="s">
        <v>831</v>
      </c>
      <c r="AP447" t="s">
        <v>832</v>
      </c>
      <c r="AQ447" t="s">
        <v>74</v>
      </c>
      <c r="AR447" t="s">
        <v>833</v>
      </c>
      <c r="AS447" t="s">
        <v>834</v>
      </c>
      <c r="AT447" t="s">
        <v>8462</v>
      </c>
      <c r="AU447">
        <v>2009</v>
      </c>
      <c r="AV447">
        <v>114</v>
      </c>
      <c r="AW447" t="s">
        <v>74</v>
      </c>
      <c r="AX447" t="s">
        <v>74</v>
      </c>
      <c r="AY447" t="s">
        <v>74</v>
      </c>
      <c r="AZ447" t="s">
        <v>74</v>
      </c>
      <c r="BA447" t="s">
        <v>74</v>
      </c>
      <c r="BB447" t="s">
        <v>74</v>
      </c>
      <c r="BC447" t="s">
        <v>74</v>
      </c>
      <c r="BD447" t="s">
        <v>8481</v>
      </c>
      <c r="BE447" t="s">
        <v>8482</v>
      </c>
      <c r="BF447" t="str">
        <f>HYPERLINK("http://dx.doi.org/10.1029/2007JD009261","http://dx.doi.org/10.1029/2007JD009261")</f>
        <v>http://dx.doi.org/10.1029/2007JD009261</v>
      </c>
      <c r="BG447" t="s">
        <v>74</v>
      </c>
      <c r="BH447" t="s">
        <v>74</v>
      </c>
      <c r="BI447">
        <v>28</v>
      </c>
      <c r="BJ447" t="s">
        <v>398</v>
      </c>
      <c r="BK447" t="s">
        <v>100</v>
      </c>
      <c r="BL447" t="s">
        <v>398</v>
      </c>
      <c r="BM447" t="s">
        <v>8483</v>
      </c>
      <c r="BN447" t="s">
        <v>74</v>
      </c>
      <c r="BO447" t="s">
        <v>74</v>
      </c>
      <c r="BP447" t="s">
        <v>74</v>
      </c>
      <c r="BQ447" t="s">
        <v>74</v>
      </c>
      <c r="BR447" t="s">
        <v>103</v>
      </c>
      <c r="BS447" t="s">
        <v>8484</v>
      </c>
      <c r="BT447" t="str">
        <f>HYPERLINK("https%3A%2F%2Fwww.webofscience.com%2Fwos%2Fwoscc%2Ffull-record%2FWOS:000263175400001","View Full Record in Web of Science")</f>
        <v>View Full Record in Web of Science</v>
      </c>
    </row>
    <row r="448" spans="1:72" x14ac:dyDescent="0.15">
      <c r="A448" t="s">
        <v>72</v>
      </c>
      <c r="B448" t="s">
        <v>8485</v>
      </c>
      <c r="C448" t="s">
        <v>74</v>
      </c>
      <c r="D448" t="s">
        <v>74</v>
      </c>
      <c r="E448" t="s">
        <v>74</v>
      </c>
      <c r="F448" t="s">
        <v>8486</v>
      </c>
      <c r="G448" t="s">
        <v>74</v>
      </c>
      <c r="H448" t="s">
        <v>74</v>
      </c>
      <c r="I448" t="s">
        <v>8487</v>
      </c>
      <c r="J448" t="s">
        <v>3103</v>
      </c>
      <c r="K448" t="s">
        <v>74</v>
      </c>
      <c r="L448" t="s">
        <v>74</v>
      </c>
      <c r="M448" t="s">
        <v>78</v>
      </c>
      <c r="N448" t="s">
        <v>79</v>
      </c>
      <c r="O448" t="s">
        <v>74</v>
      </c>
      <c r="P448" t="s">
        <v>74</v>
      </c>
      <c r="Q448" t="s">
        <v>74</v>
      </c>
      <c r="R448" t="s">
        <v>74</v>
      </c>
      <c r="S448" t="s">
        <v>74</v>
      </c>
      <c r="T448" t="s">
        <v>74</v>
      </c>
      <c r="U448" t="s">
        <v>8488</v>
      </c>
      <c r="V448" t="s">
        <v>8489</v>
      </c>
      <c r="W448" t="s">
        <v>8490</v>
      </c>
      <c r="X448" t="s">
        <v>8491</v>
      </c>
      <c r="Y448" t="s">
        <v>8492</v>
      </c>
      <c r="Z448" t="s">
        <v>8493</v>
      </c>
      <c r="AA448" t="s">
        <v>74</v>
      </c>
      <c r="AB448" t="s">
        <v>1648</v>
      </c>
      <c r="AC448" t="s">
        <v>8494</v>
      </c>
      <c r="AD448" t="s">
        <v>8495</v>
      </c>
      <c r="AE448" t="s">
        <v>8496</v>
      </c>
      <c r="AF448" t="s">
        <v>74</v>
      </c>
      <c r="AG448">
        <v>41</v>
      </c>
      <c r="AH448">
        <v>50</v>
      </c>
      <c r="AI448">
        <v>56</v>
      </c>
      <c r="AJ448">
        <v>1</v>
      </c>
      <c r="AK448">
        <v>43</v>
      </c>
      <c r="AL448" t="s">
        <v>3109</v>
      </c>
      <c r="AM448" t="s">
        <v>3110</v>
      </c>
      <c r="AN448" t="s">
        <v>3111</v>
      </c>
      <c r="AO448" t="s">
        <v>3112</v>
      </c>
      <c r="AP448" t="s">
        <v>74</v>
      </c>
      <c r="AQ448" t="s">
        <v>74</v>
      </c>
      <c r="AR448" t="s">
        <v>3103</v>
      </c>
      <c r="AS448" t="s">
        <v>3113</v>
      </c>
      <c r="AT448" t="s">
        <v>8462</v>
      </c>
      <c r="AU448">
        <v>2009</v>
      </c>
      <c r="AV448">
        <v>4</v>
      </c>
      <c r="AW448">
        <v>2</v>
      </c>
      <c r="AX448" t="s">
        <v>74</v>
      </c>
      <c r="AY448" t="s">
        <v>74</v>
      </c>
      <c r="AZ448" t="s">
        <v>74</v>
      </c>
      <c r="BA448" t="s">
        <v>74</v>
      </c>
      <c r="BB448" t="s">
        <v>74</v>
      </c>
      <c r="BC448" t="s">
        <v>74</v>
      </c>
      <c r="BD448" t="s">
        <v>8497</v>
      </c>
      <c r="BE448" t="s">
        <v>8498</v>
      </c>
      <c r="BF448" t="str">
        <f>HYPERLINK("http://dx.doi.org/10.1371/journal.pone.0004385","http://dx.doi.org/10.1371/journal.pone.0004385")</f>
        <v>http://dx.doi.org/10.1371/journal.pone.0004385</v>
      </c>
      <c r="BG448" t="s">
        <v>74</v>
      </c>
      <c r="BH448" t="s">
        <v>74</v>
      </c>
      <c r="BI448">
        <v>6</v>
      </c>
      <c r="BJ448" t="s">
        <v>790</v>
      </c>
      <c r="BK448" t="s">
        <v>100</v>
      </c>
      <c r="BL448" t="s">
        <v>791</v>
      </c>
      <c r="BM448" t="s">
        <v>8499</v>
      </c>
      <c r="BN448">
        <v>19194490</v>
      </c>
      <c r="BO448" t="s">
        <v>8500</v>
      </c>
      <c r="BP448" t="s">
        <v>74</v>
      </c>
      <c r="BQ448" t="s">
        <v>74</v>
      </c>
      <c r="BR448" t="s">
        <v>103</v>
      </c>
      <c r="BS448" t="s">
        <v>8501</v>
      </c>
      <c r="BT448" t="str">
        <f>HYPERLINK("https%3A%2F%2Fwww.webofscience.com%2Fwos%2Fwoscc%2Ffull-record%2FWOS:000265483600012","View Full Record in Web of Science")</f>
        <v>View Full Record in Web of Science</v>
      </c>
    </row>
    <row r="449" spans="1:72" x14ac:dyDescent="0.15">
      <c r="A449" t="s">
        <v>72</v>
      </c>
      <c r="B449" t="s">
        <v>8502</v>
      </c>
      <c r="C449" t="s">
        <v>74</v>
      </c>
      <c r="D449" t="s">
        <v>74</v>
      </c>
      <c r="E449" t="s">
        <v>74</v>
      </c>
      <c r="F449" t="s">
        <v>8503</v>
      </c>
      <c r="G449" t="s">
        <v>74</v>
      </c>
      <c r="H449" t="s">
        <v>74</v>
      </c>
      <c r="I449" t="s">
        <v>8504</v>
      </c>
      <c r="J449" t="s">
        <v>3103</v>
      </c>
      <c r="K449" t="s">
        <v>74</v>
      </c>
      <c r="L449" t="s">
        <v>74</v>
      </c>
      <c r="M449" t="s">
        <v>78</v>
      </c>
      <c r="N449" t="s">
        <v>79</v>
      </c>
      <c r="O449" t="s">
        <v>74</v>
      </c>
      <c r="P449" t="s">
        <v>74</v>
      </c>
      <c r="Q449" t="s">
        <v>74</v>
      </c>
      <c r="R449" t="s">
        <v>74</v>
      </c>
      <c r="S449" t="s">
        <v>74</v>
      </c>
      <c r="T449" t="s">
        <v>74</v>
      </c>
      <c r="U449" t="s">
        <v>74</v>
      </c>
      <c r="V449" t="s">
        <v>8505</v>
      </c>
      <c r="W449" t="s">
        <v>8506</v>
      </c>
      <c r="X449" t="s">
        <v>8507</v>
      </c>
      <c r="Y449" t="s">
        <v>8508</v>
      </c>
      <c r="Z449" t="s">
        <v>8509</v>
      </c>
      <c r="AA449" t="s">
        <v>8510</v>
      </c>
      <c r="AB449" t="s">
        <v>8511</v>
      </c>
      <c r="AC449" t="s">
        <v>8512</v>
      </c>
      <c r="AD449" t="s">
        <v>8513</v>
      </c>
      <c r="AE449" t="s">
        <v>8514</v>
      </c>
      <c r="AF449" t="s">
        <v>74</v>
      </c>
      <c r="AG449">
        <v>44</v>
      </c>
      <c r="AH449">
        <v>40</v>
      </c>
      <c r="AI449">
        <v>41</v>
      </c>
      <c r="AJ449">
        <v>0</v>
      </c>
      <c r="AK449">
        <v>11</v>
      </c>
      <c r="AL449" t="s">
        <v>3109</v>
      </c>
      <c r="AM449" t="s">
        <v>3110</v>
      </c>
      <c r="AN449" t="s">
        <v>3111</v>
      </c>
      <c r="AO449" t="s">
        <v>3112</v>
      </c>
      <c r="AP449" t="s">
        <v>74</v>
      </c>
      <c r="AQ449" t="s">
        <v>74</v>
      </c>
      <c r="AR449" t="s">
        <v>3103</v>
      </c>
      <c r="AS449" t="s">
        <v>3113</v>
      </c>
      <c r="AT449" t="s">
        <v>8462</v>
      </c>
      <c r="AU449">
        <v>2009</v>
      </c>
      <c r="AV449">
        <v>4</v>
      </c>
      <c r="AW449">
        <v>2</v>
      </c>
      <c r="AX449" t="s">
        <v>74</v>
      </c>
      <c r="AY449" t="s">
        <v>74</v>
      </c>
      <c r="AZ449" t="s">
        <v>74</v>
      </c>
      <c r="BA449" t="s">
        <v>74</v>
      </c>
      <c r="BB449" t="s">
        <v>74</v>
      </c>
      <c r="BC449" t="s">
        <v>74</v>
      </c>
      <c r="BD449" t="s">
        <v>8515</v>
      </c>
      <c r="BE449" t="s">
        <v>8516</v>
      </c>
      <c r="BF449" t="str">
        <f>HYPERLINK("http://dx.doi.org/10.1371/journal.pone.0004375","http://dx.doi.org/10.1371/journal.pone.0004375")</f>
        <v>http://dx.doi.org/10.1371/journal.pone.0004375</v>
      </c>
      <c r="BG449" t="s">
        <v>74</v>
      </c>
      <c r="BH449" t="s">
        <v>74</v>
      </c>
      <c r="BI449">
        <v>8</v>
      </c>
      <c r="BJ449" t="s">
        <v>790</v>
      </c>
      <c r="BK449" t="s">
        <v>100</v>
      </c>
      <c r="BL449" t="s">
        <v>791</v>
      </c>
      <c r="BM449" t="s">
        <v>8499</v>
      </c>
      <c r="BN449">
        <v>19194498</v>
      </c>
      <c r="BO449" t="s">
        <v>8517</v>
      </c>
      <c r="BP449" t="s">
        <v>74</v>
      </c>
      <c r="BQ449" t="s">
        <v>74</v>
      </c>
      <c r="BR449" t="s">
        <v>103</v>
      </c>
      <c r="BS449" t="s">
        <v>8518</v>
      </c>
      <c r="BT449" t="str">
        <f>HYPERLINK("https%3A%2F%2Fwww.webofscience.com%2Fwos%2Fwoscc%2Ffull-record%2FWOS:000265483600008","View Full Record in Web of Science")</f>
        <v>View Full Record in Web of Science</v>
      </c>
    </row>
    <row r="450" spans="1:72" x14ac:dyDescent="0.15">
      <c r="A450" t="s">
        <v>72</v>
      </c>
      <c r="B450" t="s">
        <v>8519</v>
      </c>
      <c r="C450" t="s">
        <v>74</v>
      </c>
      <c r="D450" t="s">
        <v>74</v>
      </c>
      <c r="E450" t="s">
        <v>74</v>
      </c>
      <c r="F450" t="s">
        <v>8520</v>
      </c>
      <c r="G450" t="s">
        <v>74</v>
      </c>
      <c r="H450" t="s">
        <v>74</v>
      </c>
      <c r="I450" t="s">
        <v>8521</v>
      </c>
      <c r="J450" t="s">
        <v>8522</v>
      </c>
      <c r="K450" t="s">
        <v>74</v>
      </c>
      <c r="L450" t="s">
        <v>74</v>
      </c>
      <c r="M450" t="s">
        <v>78</v>
      </c>
      <c r="N450" t="s">
        <v>1437</v>
      </c>
      <c r="O450" t="s">
        <v>8523</v>
      </c>
      <c r="P450" t="s">
        <v>8524</v>
      </c>
      <c r="Q450" t="s">
        <v>8525</v>
      </c>
      <c r="R450" t="s">
        <v>74</v>
      </c>
      <c r="S450" t="s">
        <v>74</v>
      </c>
      <c r="T450" t="s">
        <v>74</v>
      </c>
      <c r="U450" t="s">
        <v>8526</v>
      </c>
      <c r="V450" t="s">
        <v>8527</v>
      </c>
      <c r="W450" t="s">
        <v>8528</v>
      </c>
      <c r="X450" t="s">
        <v>8529</v>
      </c>
      <c r="Y450" t="s">
        <v>8530</v>
      </c>
      <c r="Z450" t="s">
        <v>8531</v>
      </c>
      <c r="AA450" t="s">
        <v>8532</v>
      </c>
      <c r="AB450" t="s">
        <v>8533</v>
      </c>
      <c r="AC450" t="s">
        <v>74</v>
      </c>
      <c r="AD450" t="s">
        <v>74</v>
      </c>
      <c r="AE450" t="s">
        <v>74</v>
      </c>
      <c r="AF450" t="s">
        <v>74</v>
      </c>
      <c r="AG450">
        <v>30</v>
      </c>
      <c r="AH450">
        <v>14</v>
      </c>
      <c r="AI450">
        <v>14</v>
      </c>
      <c r="AJ450">
        <v>0</v>
      </c>
      <c r="AK450">
        <v>4</v>
      </c>
      <c r="AL450" t="s">
        <v>8534</v>
      </c>
      <c r="AM450" t="s">
        <v>8535</v>
      </c>
      <c r="AN450" t="s">
        <v>8536</v>
      </c>
      <c r="AO450" t="s">
        <v>8537</v>
      </c>
      <c r="AP450" t="s">
        <v>74</v>
      </c>
      <c r="AQ450" t="s">
        <v>74</v>
      </c>
      <c r="AR450" t="s">
        <v>8538</v>
      </c>
      <c r="AS450" t="s">
        <v>8539</v>
      </c>
      <c r="AT450" t="s">
        <v>8540</v>
      </c>
      <c r="AU450">
        <v>2009</v>
      </c>
      <c r="AV450">
        <v>115</v>
      </c>
      <c r="AW450">
        <v>2</v>
      </c>
      <c r="AX450" t="s">
        <v>74</v>
      </c>
      <c r="AY450" t="s">
        <v>74</v>
      </c>
      <c r="AZ450" t="s">
        <v>74</v>
      </c>
      <c r="BA450" t="s">
        <v>74</v>
      </c>
      <c r="BB450">
        <v>516</v>
      </c>
      <c r="BC450">
        <v>520</v>
      </c>
      <c r="BD450" t="s">
        <v>74</v>
      </c>
      <c r="BE450" t="s">
        <v>8541</v>
      </c>
      <c r="BF450" t="str">
        <f>HYPERLINK("http://dx.doi.org/10.12693/APhysPolA.115.516","http://dx.doi.org/10.12693/APhysPolA.115.516")</f>
        <v>http://dx.doi.org/10.12693/APhysPolA.115.516</v>
      </c>
      <c r="BG450" t="s">
        <v>74</v>
      </c>
      <c r="BH450" t="s">
        <v>74</v>
      </c>
      <c r="BI450">
        <v>5</v>
      </c>
      <c r="BJ450" t="s">
        <v>4943</v>
      </c>
      <c r="BK450" t="s">
        <v>1453</v>
      </c>
      <c r="BL450" t="s">
        <v>2458</v>
      </c>
      <c r="BM450" t="s">
        <v>8542</v>
      </c>
      <c r="BN450" t="s">
        <v>74</v>
      </c>
      <c r="BO450" t="s">
        <v>450</v>
      </c>
      <c r="BP450" t="s">
        <v>74</v>
      </c>
      <c r="BQ450" t="s">
        <v>74</v>
      </c>
      <c r="BR450" t="s">
        <v>103</v>
      </c>
      <c r="BS450" t="s">
        <v>8543</v>
      </c>
      <c r="BT450" t="str">
        <f>HYPERLINK("https%3A%2F%2Fwww.webofscience.com%2Fwos%2Fwoscc%2Ffull-record%2FWOS:000264785000016","View Full Record in Web of Science")</f>
        <v>View Full Record in Web of Science</v>
      </c>
    </row>
    <row r="451" spans="1:72" x14ac:dyDescent="0.15">
      <c r="A451" t="s">
        <v>72</v>
      </c>
      <c r="B451" t="s">
        <v>8544</v>
      </c>
      <c r="C451" t="s">
        <v>74</v>
      </c>
      <c r="D451" t="s">
        <v>74</v>
      </c>
      <c r="E451" t="s">
        <v>74</v>
      </c>
      <c r="F451" t="s">
        <v>8545</v>
      </c>
      <c r="G451" t="s">
        <v>74</v>
      </c>
      <c r="H451" t="s">
        <v>74</v>
      </c>
      <c r="I451" t="s">
        <v>8546</v>
      </c>
      <c r="J451" t="s">
        <v>3708</v>
      </c>
      <c r="K451" t="s">
        <v>74</v>
      </c>
      <c r="L451" t="s">
        <v>74</v>
      </c>
      <c r="M451" t="s">
        <v>78</v>
      </c>
      <c r="N451" t="s">
        <v>1437</v>
      </c>
      <c r="O451" t="s">
        <v>8547</v>
      </c>
      <c r="P451" t="s">
        <v>8548</v>
      </c>
      <c r="Q451" t="s">
        <v>8549</v>
      </c>
      <c r="R451" t="s">
        <v>74</v>
      </c>
      <c r="S451" t="s">
        <v>74</v>
      </c>
      <c r="T451" t="s">
        <v>8550</v>
      </c>
      <c r="U451" t="s">
        <v>8551</v>
      </c>
      <c r="V451" t="s">
        <v>8552</v>
      </c>
      <c r="W451" t="s">
        <v>8553</v>
      </c>
      <c r="X451" t="s">
        <v>8554</v>
      </c>
      <c r="Y451" t="s">
        <v>8555</v>
      </c>
      <c r="Z451" t="s">
        <v>8556</v>
      </c>
      <c r="AA451" t="s">
        <v>8557</v>
      </c>
      <c r="AB451" t="s">
        <v>8558</v>
      </c>
      <c r="AC451" t="s">
        <v>74</v>
      </c>
      <c r="AD451" t="s">
        <v>74</v>
      </c>
      <c r="AE451" t="s">
        <v>74</v>
      </c>
      <c r="AF451" t="s">
        <v>74</v>
      </c>
      <c r="AG451">
        <v>10</v>
      </c>
      <c r="AH451">
        <v>3</v>
      </c>
      <c r="AI451">
        <v>3</v>
      </c>
      <c r="AJ451">
        <v>0</v>
      </c>
      <c r="AK451">
        <v>1</v>
      </c>
      <c r="AL451" t="s">
        <v>3715</v>
      </c>
      <c r="AM451" t="s">
        <v>3716</v>
      </c>
      <c r="AN451" t="s">
        <v>3717</v>
      </c>
      <c r="AO451" t="s">
        <v>3718</v>
      </c>
      <c r="AP451" t="s">
        <v>3719</v>
      </c>
      <c r="AQ451" t="s">
        <v>74</v>
      </c>
      <c r="AR451" t="s">
        <v>3720</v>
      </c>
      <c r="AS451" t="s">
        <v>3721</v>
      </c>
      <c r="AT451" t="s">
        <v>8540</v>
      </c>
      <c r="AU451">
        <v>2009</v>
      </c>
      <c r="AV451">
        <v>52</v>
      </c>
      <c r="AW451">
        <v>1</v>
      </c>
      <c r="AX451" t="s">
        <v>74</v>
      </c>
      <c r="AY451" t="s">
        <v>74</v>
      </c>
      <c r="AZ451" t="s">
        <v>74</v>
      </c>
      <c r="BA451" t="s">
        <v>74</v>
      </c>
      <c r="BB451">
        <v>35</v>
      </c>
      <c r="BC451">
        <v>43</v>
      </c>
      <c r="BD451" t="s">
        <v>74</v>
      </c>
      <c r="BE451" t="s">
        <v>74</v>
      </c>
      <c r="BF451" t="s">
        <v>74</v>
      </c>
      <c r="BG451" t="s">
        <v>74</v>
      </c>
      <c r="BH451" t="s">
        <v>74</v>
      </c>
      <c r="BI451">
        <v>9</v>
      </c>
      <c r="BJ451" t="s">
        <v>534</v>
      </c>
      <c r="BK451" t="s">
        <v>1453</v>
      </c>
      <c r="BL451" t="s">
        <v>534</v>
      </c>
      <c r="BM451" t="s">
        <v>8559</v>
      </c>
      <c r="BN451" t="s">
        <v>74</v>
      </c>
      <c r="BO451" t="s">
        <v>74</v>
      </c>
      <c r="BP451" t="s">
        <v>74</v>
      </c>
      <c r="BQ451" t="s">
        <v>74</v>
      </c>
      <c r="BR451" t="s">
        <v>103</v>
      </c>
      <c r="BS451" t="s">
        <v>8560</v>
      </c>
      <c r="BT451" t="str">
        <f>HYPERLINK("https%3A%2F%2Fwww.webofscience.com%2Fwos%2Fwoscc%2Ffull-record%2FWOS:000267083800005","View Full Record in Web of Science")</f>
        <v>View Full Record in Web of Science</v>
      </c>
    </row>
    <row r="452" spans="1:72" x14ac:dyDescent="0.15">
      <c r="A452" t="s">
        <v>72</v>
      </c>
      <c r="B452" t="s">
        <v>8561</v>
      </c>
      <c r="C452" t="s">
        <v>74</v>
      </c>
      <c r="D452" t="s">
        <v>74</v>
      </c>
      <c r="E452" t="s">
        <v>74</v>
      </c>
      <c r="F452" t="s">
        <v>8562</v>
      </c>
      <c r="G452" t="s">
        <v>74</v>
      </c>
      <c r="H452" t="s">
        <v>74</v>
      </c>
      <c r="I452" t="s">
        <v>8563</v>
      </c>
      <c r="J452" t="s">
        <v>3708</v>
      </c>
      <c r="K452" t="s">
        <v>74</v>
      </c>
      <c r="L452" t="s">
        <v>74</v>
      </c>
      <c r="M452" t="s">
        <v>78</v>
      </c>
      <c r="N452" t="s">
        <v>1437</v>
      </c>
      <c r="O452" t="s">
        <v>8547</v>
      </c>
      <c r="P452" t="s">
        <v>8548</v>
      </c>
      <c r="Q452" t="s">
        <v>8549</v>
      </c>
      <c r="R452" t="s">
        <v>74</v>
      </c>
      <c r="S452" t="s">
        <v>74</v>
      </c>
      <c r="T452" t="s">
        <v>8564</v>
      </c>
      <c r="U452" t="s">
        <v>8565</v>
      </c>
      <c r="V452" t="s">
        <v>8566</v>
      </c>
      <c r="W452" t="s">
        <v>8567</v>
      </c>
      <c r="X452" t="s">
        <v>8568</v>
      </c>
      <c r="Y452" t="s">
        <v>8569</v>
      </c>
      <c r="Z452" t="s">
        <v>8570</v>
      </c>
      <c r="AA452" t="s">
        <v>8571</v>
      </c>
      <c r="AB452" t="s">
        <v>8572</v>
      </c>
      <c r="AC452" t="s">
        <v>74</v>
      </c>
      <c r="AD452" t="s">
        <v>74</v>
      </c>
      <c r="AE452" t="s">
        <v>74</v>
      </c>
      <c r="AF452" t="s">
        <v>74</v>
      </c>
      <c r="AG452">
        <v>24</v>
      </c>
      <c r="AH452">
        <v>2</v>
      </c>
      <c r="AI452">
        <v>2</v>
      </c>
      <c r="AJ452">
        <v>0</v>
      </c>
      <c r="AK452">
        <v>5</v>
      </c>
      <c r="AL452" t="s">
        <v>3715</v>
      </c>
      <c r="AM452" t="s">
        <v>3716</v>
      </c>
      <c r="AN452" t="s">
        <v>3717</v>
      </c>
      <c r="AO452" t="s">
        <v>3718</v>
      </c>
      <c r="AP452" t="s">
        <v>3719</v>
      </c>
      <c r="AQ452" t="s">
        <v>74</v>
      </c>
      <c r="AR452" t="s">
        <v>3720</v>
      </c>
      <c r="AS452" t="s">
        <v>3721</v>
      </c>
      <c r="AT452" t="s">
        <v>8540</v>
      </c>
      <c r="AU452">
        <v>2009</v>
      </c>
      <c r="AV452">
        <v>52</v>
      </c>
      <c r="AW452">
        <v>1</v>
      </c>
      <c r="AX452" t="s">
        <v>74</v>
      </c>
      <c r="AY452" t="s">
        <v>74</v>
      </c>
      <c r="AZ452" t="s">
        <v>74</v>
      </c>
      <c r="BA452" t="s">
        <v>74</v>
      </c>
      <c r="BB452">
        <v>45</v>
      </c>
      <c r="BC452">
        <v>56</v>
      </c>
      <c r="BD452" t="s">
        <v>74</v>
      </c>
      <c r="BE452" t="s">
        <v>74</v>
      </c>
      <c r="BF452" t="s">
        <v>74</v>
      </c>
      <c r="BG452" t="s">
        <v>74</v>
      </c>
      <c r="BH452" t="s">
        <v>74</v>
      </c>
      <c r="BI452">
        <v>12</v>
      </c>
      <c r="BJ452" t="s">
        <v>534</v>
      </c>
      <c r="BK452" t="s">
        <v>1453</v>
      </c>
      <c r="BL452" t="s">
        <v>534</v>
      </c>
      <c r="BM452" t="s">
        <v>8559</v>
      </c>
      <c r="BN452" t="s">
        <v>74</v>
      </c>
      <c r="BO452" t="s">
        <v>74</v>
      </c>
      <c r="BP452" t="s">
        <v>74</v>
      </c>
      <c r="BQ452" t="s">
        <v>74</v>
      </c>
      <c r="BR452" t="s">
        <v>103</v>
      </c>
      <c r="BS452" t="s">
        <v>8573</v>
      </c>
      <c r="BT452" t="str">
        <f>HYPERLINK("https%3A%2F%2Fwww.webofscience.com%2Fwos%2Fwoscc%2Ffull-record%2FWOS:000267083800006","View Full Record in Web of Science")</f>
        <v>View Full Record in Web of Science</v>
      </c>
    </row>
    <row r="453" spans="1:72" x14ac:dyDescent="0.15">
      <c r="A453" t="s">
        <v>72</v>
      </c>
      <c r="B453" t="s">
        <v>8574</v>
      </c>
      <c r="C453" t="s">
        <v>74</v>
      </c>
      <c r="D453" t="s">
        <v>74</v>
      </c>
      <c r="E453" t="s">
        <v>74</v>
      </c>
      <c r="F453" t="s">
        <v>8575</v>
      </c>
      <c r="G453" t="s">
        <v>74</v>
      </c>
      <c r="H453" t="s">
        <v>74</v>
      </c>
      <c r="I453" t="s">
        <v>8576</v>
      </c>
      <c r="J453" t="s">
        <v>3727</v>
      </c>
      <c r="K453" t="s">
        <v>74</v>
      </c>
      <c r="L453" t="s">
        <v>74</v>
      </c>
      <c r="M453" t="s">
        <v>78</v>
      </c>
      <c r="N453" t="s">
        <v>934</v>
      </c>
      <c r="O453" t="s">
        <v>74</v>
      </c>
      <c r="P453" t="s">
        <v>74</v>
      </c>
      <c r="Q453" t="s">
        <v>74</v>
      </c>
      <c r="R453" t="s">
        <v>74</v>
      </c>
      <c r="S453" t="s">
        <v>74</v>
      </c>
      <c r="T453" t="s">
        <v>74</v>
      </c>
      <c r="U453" t="s">
        <v>74</v>
      </c>
      <c r="V453" t="s">
        <v>74</v>
      </c>
      <c r="W453" t="s">
        <v>74</v>
      </c>
      <c r="X453" t="s">
        <v>74</v>
      </c>
      <c r="Y453" t="s">
        <v>74</v>
      </c>
      <c r="Z453" t="s">
        <v>74</v>
      </c>
      <c r="AA453" t="s">
        <v>74</v>
      </c>
      <c r="AB453" t="s">
        <v>8577</v>
      </c>
      <c r="AC453" t="s">
        <v>74</v>
      </c>
      <c r="AD453" t="s">
        <v>74</v>
      </c>
      <c r="AE453" t="s">
        <v>74</v>
      </c>
      <c r="AF453" t="s">
        <v>74</v>
      </c>
      <c r="AG453">
        <v>0</v>
      </c>
      <c r="AH453">
        <v>1</v>
      </c>
      <c r="AI453">
        <v>1</v>
      </c>
      <c r="AJ453">
        <v>0</v>
      </c>
      <c r="AK453">
        <v>2</v>
      </c>
      <c r="AL453" t="s">
        <v>3728</v>
      </c>
      <c r="AM453" t="s">
        <v>92</v>
      </c>
      <c r="AN453" t="s">
        <v>3729</v>
      </c>
      <c r="AO453" t="s">
        <v>3730</v>
      </c>
      <c r="AP453" t="s">
        <v>74</v>
      </c>
      <c r="AQ453" t="s">
        <v>74</v>
      </c>
      <c r="AR453" t="s">
        <v>3731</v>
      </c>
      <c r="AS453" t="s">
        <v>3732</v>
      </c>
      <c r="AT453" t="s">
        <v>8540</v>
      </c>
      <c r="AU453">
        <v>2009</v>
      </c>
      <c r="AV453">
        <v>21</v>
      </c>
      <c r="AW453">
        <v>1</v>
      </c>
      <c r="AX453" t="s">
        <v>74</v>
      </c>
      <c r="AY453" t="s">
        <v>74</v>
      </c>
      <c r="AZ453" t="s">
        <v>74</v>
      </c>
      <c r="BA453" t="s">
        <v>74</v>
      </c>
      <c r="BB453">
        <v>1</v>
      </c>
      <c r="BC453">
        <v>1</v>
      </c>
      <c r="BD453" t="s">
        <v>74</v>
      </c>
      <c r="BE453" t="s">
        <v>8578</v>
      </c>
      <c r="BF453" t="str">
        <f>HYPERLINK("http://dx.doi.org/10.1017/S0954102009001771","http://dx.doi.org/10.1017/S0954102009001771")</f>
        <v>http://dx.doi.org/10.1017/S0954102009001771</v>
      </c>
      <c r="BG453" t="s">
        <v>74</v>
      </c>
      <c r="BH453" t="s">
        <v>74</v>
      </c>
      <c r="BI453">
        <v>1</v>
      </c>
      <c r="BJ453" t="s">
        <v>1927</v>
      </c>
      <c r="BK453" t="s">
        <v>100</v>
      </c>
      <c r="BL453" t="s">
        <v>1928</v>
      </c>
      <c r="BM453" t="s">
        <v>8579</v>
      </c>
      <c r="BN453" t="s">
        <v>74</v>
      </c>
      <c r="BO453" t="s">
        <v>499</v>
      </c>
      <c r="BP453" t="s">
        <v>74</v>
      </c>
      <c r="BQ453" t="s">
        <v>74</v>
      </c>
      <c r="BR453" t="s">
        <v>103</v>
      </c>
      <c r="BS453" t="s">
        <v>8580</v>
      </c>
      <c r="BT453" t="str">
        <f>HYPERLINK("https%3A%2F%2Fwww.webofscience.com%2Fwos%2Fwoscc%2Ffull-record%2FWOS:000263389100001","View Full Record in Web of Science")</f>
        <v>View Full Record in Web of Science</v>
      </c>
    </row>
    <row r="454" spans="1:72" x14ac:dyDescent="0.15">
      <c r="A454" t="s">
        <v>72</v>
      </c>
      <c r="B454" t="s">
        <v>8581</v>
      </c>
      <c r="C454" t="s">
        <v>74</v>
      </c>
      <c r="D454" t="s">
        <v>74</v>
      </c>
      <c r="E454" t="s">
        <v>74</v>
      </c>
      <c r="F454" t="s">
        <v>8582</v>
      </c>
      <c r="G454" t="s">
        <v>74</v>
      </c>
      <c r="H454" t="s">
        <v>74</v>
      </c>
      <c r="I454" t="s">
        <v>8583</v>
      </c>
      <c r="J454" t="s">
        <v>3727</v>
      </c>
      <c r="K454" t="s">
        <v>74</v>
      </c>
      <c r="L454" t="s">
        <v>74</v>
      </c>
      <c r="M454" t="s">
        <v>78</v>
      </c>
      <c r="N454" t="s">
        <v>172</v>
      </c>
      <c r="O454" t="s">
        <v>74</v>
      </c>
      <c r="P454" t="s">
        <v>74</v>
      </c>
      <c r="Q454" t="s">
        <v>74</v>
      </c>
      <c r="R454" t="s">
        <v>74</v>
      </c>
      <c r="S454" t="s">
        <v>74</v>
      </c>
      <c r="T454" t="s">
        <v>8584</v>
      </c>
      <c r="U454" t="s">
        <v>8585</v>
      </c>
      <c r="V454" t="s">
        <v>8586</v>
      </c>
      <c r="W454" t="s">
        <v>8587</v>
      </c>
      <c r="X454" t="s">
        <v>8588</v>
      </c>
      <c r="Y454" t="s">
        <v>8589</v>
      </c>
      <c r="Z454" t="s">
        <v>8590</v>
      </c>
      <c r="AA454" t="s">
        <v>8591</v>
      </c>
      <c r="AB454" t="s">
        <v>8592</v>
      </c>
      <c r="AC454" t="s">
        <v>8593</v>
      </c>
      <c r="AD454" t="s">
        <v>8594</v>
      </c>
      <c r="AE454" t="s">
        <v>8595</v>
      </c>
      <c r="AF454" t="s">
        <v>74</v>
      </c>
      <c r="AG454">
        <v>269</v>
      </c>
      <c r="AH454">
        <v>339</v>
      </c>
      <c r="AI454">
        <v>360</v>
      </c>
      <c r="AJ454">
        <v>10</v>
      </c>
      <c r="AK454">
        <v>265</v>
      </c>
      <c r="AL454" t="s">
        <v>3728</v>
      </c>
      <c r="AM454" t="s">
        <v>92</v>
      </c>
      <c r="AN454" t="s">
        <v>3729</v>
      </c>
      <c r="AO454" t="s">
        <v>3730</v>
      </c>
      <c r="AP454" t="s">
        <v>3750</v>
      </c>
      <c r="AQ454" t="s">
        <v>74</v>
      </c>
      <c r="AR454" t="s">
        <v>3731</v>
      </c>
      <c r="AS454" t="s">
        <v>3732</v>
      </c>
      <c r="AT454" t="s">
        <v>8540</v>
      </c>
      <c r="AU454">
        <v>2009</v>
      </c>
      <c r="AV454">
        <v>21</v>
      </c>
      <c r="AW454">
        <v>1</v>
      </c>
      <c r="AX454" t="s">
        <v>74</v>
      </c>
      <c r="AY454" t="s">
        <v>74</v>
      </c>
      <c r="AZ454" t="s">
        <v>74</v>
      </c>
      <c r="BA454" t="s">
        <v>74</v>
      </c>
      <c r="BB454">
        <v>3</v>
      </c>
      <c r="BC454">
        <v>33</v>
      </c>
      <c r="BD454" t="s">
        <v>74</v>
      </c>
      <c r="BE454" t="s">
        <v>8596</v>
      </c>
      <c r="BF454" t="str">
        <f>HYPERLINK("http://dx.doi.org/10.1017/S0954102009001722","http://dx.doi.org/10.1017/S0954102009001722")</f>
        <v>http://dx.doi.org/10.1017/S0954102009001722</v>
      </c>
      <c r="BG454" t="s">
        <v>74</v>
      </c>
      <c r="BH454" t="s">
        <v>74</v>
      </c>
      <c r="BI454">
        <v>31</v>
      </c>
      <c r="BJ454" t="s">
        <v>1927</v>
      </c>
      <c r="BK454" t="s">
        <v>100</v>
      </c>
      <c r="BL454" t="s">
        <v>1928</v>
      </c>
      <c r="BM454" t="s">
        <v>8579</v>
      </c>
      <c r="BN454" t="s">
        <v>74</v>
      </c>
      <c r="BO454" t="s">
        <v>4804</v>
      </c>
      <c r="BP454" t="s">
        <v>74</v>
      </c>
      <c r="BQ454" t="s">
        <v>74</v>
      </c>
      <c r="BR454" t="s">
        <v>103</v>
      </c>
      <c r="BS454" t="s">
        <v>8597</v>
      </c>
      <c r="BT454" t="str">
        <f>HYPERLINK("https%3A%2F%2Fwww.webofscience.com%2Fwos%2Fwoscc%2Ffull-record%2FWOS:000263389100002","View Full Record in Web of Science")</f>
        <v>View Full Record in Web of Science</v>
      </c>
    </row>
    <row r="455" spans="1:72" x14ac:dyDescent="0.15">
      <c r="A455" t="s">
        <v>72</v>
      </c>
      <c r="B455" t="s">
        <v>8598</v>
      </c>
      <c r="C455" t="s">
        <v>74</v>
      </c>
      <c r="D455" t="s">
        <v>74</v>
      </c>
      <c r="E455" t="s">
        <v>74</v>
      </c>
      <c r="F455" t="s">
        <v>8599</v>
      </c>
      <c r="G455" t="s">
        <v>74</v>
      </c>
      <c r="H455" t="s">
        <v>74</v>
      </c>
      <c r="I455" t="s">
        <v>8600</v>
      </c>
      <c r="J455" t="s">
        <v>3727</v>
      </c>
      <c r="K455" t="s">
        <v>74</v>
      </c>
      <c r="L455" t="s">
        <v>74</v>
      </c>
      <c r="M455" t="s">
        <v>78</v>
      </c>
      <c r="N455" t="s">
        <v>79</v>
      </c>
      <c r="O455" t="s">
        <v>74</v>
      </c>
      <c r="P455" t="s">
        <v>74</v>
      </c>
      <c r="Q455" t="s">
        <v>74</v>
      </c>
      <c r="R455" t="s">
        <v>74</v>
      </c>
      <c r="S455" t="s">
        <v>74</v>
      </c>
      <c r="T455" t="s">
        <v>8601</v>
      </c>
      <c r="U455" t="s">
        <v>8602</v>
      </c>
      <c r="V455" t="s">
        <v>8603</v>
      </c>
      <c r="W455" t="s">
        <v>8604</v>
      </c>
      <c r="X455" t="s">
        <v>8605</v>
      </c>
      <c r="Y455" t="s">
        <v>8606</v>
      </c>
      <c r="Z455" t="s">
        <v>8607</v>
      </c>
      <c r="AA455" t="s">
        <v>8608</v>
      </c>
      <c r="AB455" t="s">
        <v>8609</v>
      </c>
      <c r="AC455" t="s">
        <v>8610</v>
      </c>
      <c r="AD455" t="s">
        <v>8611</v>
      </c>
      <c r="AE455" t="s">
        <v>8612</v>
      </c>
      <c r="AF455" t="s">
        <v>74</v>
      </c>
      <c r="AG455">
        <v>48</v>
      </c>
      <c r="AH455">
        <v>25</v>
      </c>
      <c r="AI455">
        <v>27</v>
      </c>
      <c r="AJ455">
        <v>1</v>
      </c>
      <c r="AK455">
        <v>27</v>
      </c>
      <c r="AL455" t="s">
        <v>3728</v>
      </c>
      <c r="AM455" t="s">
        <v>92</v>
      </c>
      <c r="AN455" t="s">
        <v>3729</v>
      </c>
      <c r="AO455" t="s">
        <v>3730</v>
      </c>
      <c r="AP455" t="s">
        <v>3750</v>
      </c>
      <c r="AQ455" t="s">
        <v>74</v>
      </c>
      <c r="AR455" t="s">
        <v>3731</v>
      </c>
      <c r="AS455" t="s">
        <v>3732</v>
      </c>
      <c r="AT455" t="s">
        <v>8540</v>
      </c>
      <c r="AU455">
        <v>2009</v>
      </c>
      <c r="AV455">
        <v>21</v>
      </c>
      <c r="AW455">
        <v>1</v>
      </c>
      <c r="AX455" t="s">
        <v>74</v>
      </c>
      <c r="AY455" t="s">
        <v>74</v>
      </c>
      <c r="AZ455" t="s">
        <v>74</v>
      </c>
      <c r="BA455" t="s">
        <v>74</v>
      </c>
      <c r="BB455">
        <v>35</v>
      </c>
      <c r="BC455">
        <v>49</v>
      </c>
      <c r="BD455" t="s">
        <v>74</v>
      </c>
      <c r="BE455" t="s">
        <v>8613</v>
      </c>
      <c r="BF455" t="str">
        <f>HYPERLINK("http://dx.doi.org/10.1017/S0954102008001442","http://dx.doi.org/10.1017/S0954102008001442")</f>
        <v>http://dx.doi.org/10.1017/S0954102008001442</v>
      </c>
      <c r="BG455" t="s">
        <v>74</v>
      </c>
      <c r="BH455" t="s">
        <v>74</v>
      </c>
      <c r="BI455">
        <v>15</v>
      </c>
      <c r="BJ455" t="s">
        <v>1927</v>
      </c>
      <c r="BK455" t="s">
        <v>100</v>
      </c>
      <c r="BL455" t="s">
        <v>1928</v>
      </c>
      <c r="BM455" t="s">
        <v>8579</v>
      </c>
      <c r="BN455" t="s">
        <v>74</v>
      </c>
      <c r="BO455" t="s">
        <v>3548</v>
      </c>
      <c r="BP455" t="s">
        <v>74</v>
      </c>
      <c r="BQ455" t="s">
        <v>74</v>
      </c>
      <c r="BR455" t="s">
        <v>103</v>
      </c>
      <c r="BS455" t="s">
        <v>8614</v>
      </c>
      <c r="BT455" t="str">
        <f>HYPERLINK("https%3A%2F%2Fwww.webofscience.com%2Fwos%2Fwoscc%2Ffull-record%2FWOS:000263389100003","View Full Record in Web of Science")</f>
        <v>View Full Record in Web of Science</v>
      </c>
    </row>
    <row r="456" spans="1:72" x14ac:dyDescent="0.15">
      <c r="A456" t="s">
        <v>72</v>
      </c>
      <c r="B456" t="s">
        <v>8615</v>
      </c>
      <c r="C456" t="s">
        <v>74</v>
      </c>
      <c r="D456" t="s">
        <v>74</v>
      </c>
      <c r="E456" t="s">
        <v>74</v>
      </c>
      <c r="F456" t="s">
        <v>8616</v>
      </c>
      <c r="G456" t="s">
        <v>74</v>
      </c>
      <c r="H456" t="s">
        <v>74</v>
      </c>
      <c r="I456" t="s">
        <v>8617</v>
      </c>
      <c r="J456" t="s">
        <v>3727</v>
      </c>
      <c r="K456" t="s">
        <v>74</v>
      </c>
      <c r="L456" t="s">
        <v>74</v>
      </c>
      <c r="M456" t="s">
        <v>78</v>
      </c>
      <c r="N456" t="s">
        <v>79</v>
      </c>
      <c r="O456" t="s">
        <v>74</v>
      </c>
      <c r="P456" t="s">
        <v>74</v>
      </c>
      <c r="Q456" t="s">
        <v>74</v>
      </c>
      <c r="R456" t="s">
        <v>74</v>
      </c>
      <c r="S456" t="s">
        <v>74</v>
      </c>
      <c r="T456" t="s">
        <v>8618</v>
      </c>
      <c r="U456" t="s">
        <v>8619</v>
      </c>
      <c r="V456" t="s">
        <v>8620</v>
      </c>
      <c r="W456" t="s">
        <v>8621</v>
      </c>
      <c r="X456" t="s">
        <v>8622</v>
      </c>
      <c r="Y456" t="s">
        <v>8623</v>
      </c>
      <c r="Z456" t="s">
        <v>8624</v>
      </c>
      <c r="AA456" t="s">
        <v>8625</v>
      </c>
      <c r="AB456" t="s">
        <v>8626</v>
      </c>
      <c r="AC456" t="s">
        <v>8627</v>
      </c>
      <c r="AD456" t="s">
        <v>8628</v>
      </c>
      <c r="AE456" t="s">
        <v>8629</v>
      </c>
      <c r="AF456" t="s">
        <v>74</v>
      </c>
      <c r="AG456">
        <v>44</v>
      </c>
      <c r="AH456">
        <v>17</v>
      </c>
      <c r="AI456">
        <v>19</v>
      </c>
      <c r="AJ456">
        <v>0</v>
      </c>
      <c r="AK456">
        <v>14</v>
      </c>
      <c r="AL456" t="s">
        <v>3728</v>
      </c>
      <c r="AM456" t="s">
        <v>92</v>
      </c>
      <c r="AN456" t="s">
        <v>3729</v>
      </c>
      <c r="AO456" t="s">
        <v>3730</v>
      </c>
      <c r="AP456" t="s">
        <v>3750</v>
      </c>
      <c r="AQ456" t="s">
        <v>74</v>
      </c>
      <c r="AR456" t="s">
        <v>3731</v>
      </c>
      <c r="AS456" t="s">
        <v>3732</v>
      </c>
      <c r="AT456" t="s">
        <v>8540</v>
      </c>
      <c r="AU456">
        <v>2009</v>
      </c>
      <c r="AV456">
        <v>21</v>
      </c>
      <c r="AW456">
        <v>1</v>
      </c>
      <c r="AX456" t="s">
        <v>74</v>
      </c>
      <c r="AY456" t="s">
        <v>74</v>
      </c>
      <c r="AZ456" t="s">
        <v>74</v>
      </c>
      <c r="BA456" t="s">
        <v>74</v>
      </c>
      <c r="BB456">
        <v>51</v>
      </c>
      <c r="BC456">
        <v>58</v>
      </c>
      <c r="BD456" t="s">
        <v>74</v>
      </c>
      <c r="BE456" t="s">
        <v>8630</v>
      </c>
      <c r="BF456" t="str">
        <f>HYPERLINK("http://dx.doi.org/10.1017/S0954102008001466","http://dx.doi.org/10.1017/S0954102008001466")</f>
        <v>http://dx.doi.org/10.1017/S0954102008001466</v>
      </c>
      <c r="BG456" t="s">
        <v>74</v>
      </c>
      <c r="BH456" t="s">
        <v>74</v>
      </c>
      <c r="BI456">
        <v>8</v>
      </c>
      <c r="BJ456" t="s">
        <v>1927</v>
      </c>
      <c r="BK456" t="s">
        <v>100</v>
      </c>
      <c r="BL456" t="s">
        <v>1928</v>
      </c>
      <c r="BM456" t="s">
        <v>8579</v>
      </c>
      <c r="BN456" t="s">
        <v>74</v>
      </c>
      <c r="BO456" t="s">
        <v>74</v>
      </c>
      <c r="BP456" t="s">
        <v>74</v>
      </c>
      <c r="BQ456" t="s">
        <v>74</v>
      </c>
      <c r="BR456" t="s">
        <v>103</v>
      </c>
      <c r="BS456" t="s">
        <v>8631</v>
      </c>
      <c r="BT456" t="str">
        <f>HYPERLINK("https%3A%2F%2Fwww.webofscience.com%2Fwos%2Fwoscc%2Ffull-record%2FWOS:000263389100004","View Full Record in Web of Science")</f>
        <v>View Full Record in Web of Science</v>
      </c>
    </row>
    <row r="457" spans="1:72" x14ac:dyDescent="0.15">
      <c r="A457" t="s">
        <v>72</v>
      </c>
      <c r="B457" t="s">
        <v>8632</v>
      </c>
      <c r="C457" t="s">
        <v>74</v>
      </c>
      <c r="D457" t="s">
        <v>74</v>
      </c>
      <c r="E457" t="s">
        <v>74</v>
      </c>
      <c r="F457" t="s">
        <v>8633</v>
      </c>
      <c r="G457" t="s">
        <v>74</v>
      </c>
      <c r="H457" t="s">
        <v>74</v>
      </c>
      <c r="I457" t="s">
        <v>8634</v>
      </c>
      <c r="J457" t="s">
        <v>3727</v>
      </c>
      <c r="K457" t="s">
        <v>74</v>
      </c>
      <c r="L457" t="s">
        <v>74</v>
      </c>
      <c r="M457" t="s">
        <v>78</v>
      </c>
      <c r="N457" t="s">
        <v>79</v>
      </c>
      <c r="O457" t="s">
        <v>74</v>
      </c>
      <c r="P457" t="s">
        <v>74</v>
      </c>
      <c r="Q457" t="s">
        <v>74</v>
      </c>
      <c r="R457" t="s">
        <v>74</v>
      </c>
      <c r="S457" t="s">
        <v>74</v>
      </c>
      <c r="T457" t="s">
        <v>8635</v>
      </c>
      <c r="U457" t="s">
        <v>8636</v>
      </c>
      <c r="V457" t="s">
        <v>8637</v>
      </c>
      <c r="W457" t="s">
        <v>8638</v>
      </c>
      <c r="X457" t="s">
        <v>8639</v>
      </c>
      <c r="Y457" t="s">
        <v>8640</v>
      </c>
      <c r="Z457" t="s">
        <v>8641</v>
      </c>
      <c r="AA457" t="s">
        <v>8642</v>
      </c>
      <c r="AB457" t="s">
        <v>8643</v>
      </c>
      <c r="AC457" t="s">
        <v>8644</v>
      </c>
      <c r="AD457" t="s">
        <v>8645</v>
      </c>
      <c r="AE457" t="s">
        <v>8646</v>
      </c>
      <c r="AF457" t="s">
        <v>74</v>
      </c>
      <c r="AG457">
        <v>45</v>
      </c>
      <c r="AH457">
        <v>29</v>
      </c>
      <c r="AI457">
        <v>33</v>
      </c>
      <c r="AJ457">
        <v>0</v>
      </c>
      <c r="AK457">
        <v>8</v>
      </c>
      <c r="AL457" t="s">
        <v>3728</v>
      </c>
      <c r="AM457" t="s">
        <v>92</v>
      </c>
      <c r="AN457" t="s">
        <v>3729</v>
      </c>
      <c r="AO457" t="s">
        <v>3730</v>
      </c>
      <c r="AP457" t="s">
        <v>3750</v>
      </c>
      <c r="AQ457" t="s">
        <v>74</v>
      </c>
      <c r="AR457" t="s">
        <v>3731</v>
      </c>
      <c r="AS457" t="s">
        <v>3732</v>
      </c>
      <c r="AT457" t="s">
        <v>8540</v>
      </c>
      <c r="AU457">
        <v>2009</v>
      </c>
      <c r="AV457">
        <v>21</v>
      </c>
      <c r="AW457">
        <v>1</v>
      </c>
      <c r="AX457" t="s">
        <v>74</v>
      </c>
      <c r="AY457" t="s">
        <v>74</v>
      </c>
      <c r="AZ457" t="s">
        <v>74</v>
      </c>
      <c r="BA457" t="s">
        <v>74</v>
      </c>
      <c r="BB457">
        <v>59</v>
      </c>
      <c r="BC457">
        <v>69</v>
      </c>
      <c r="BD457" t="s">
        <v>74</v>
      </c>
      <c r="BE457" t="s">
        <v>8647</v>
      </c>
      <c r="BF457" t="str">
        <f>HYPERLINK("http://dx.doi.org/10.1017/S0954102008001478","http://dx.doi.org/10.1017/S0954102008001478")</f>
        <v>http://dx.doi.org/10.1017/S0954102008001478</v>
      </c>
      <c r="BG457" t="s">
        <v>74</v>
      </c>
      <c r="BH457" t="s">
        <v>74</v>
      </c>
      <c r="BI457">
        <v>11</v>
      </c>
      <c r="BJ457" t="s">
        <v>1927</v>
      </c>
      <c r="BK457" t="s">
        <v>100</v>
      </c>
      <c r="BL457" t="s">
        <v>1928</v>
      </c>
      <c r="BM457" t="s">
        <v>8579</v>
      </c>
      <c r="BN457" t="s">
        <v>74</v>
      </c>
      <c r="BO457" t="s">
        <v>8648</v>
      </c>
      <c r="BP457" t="s">
        <v>74</v>
      </c>
      <c r="BQ457" t="s">
        <v>74</v>
      </c>
      <c r="BR457" t="s">
        <v>103</v>
      </c>
      <c r="BS457" t="s">
        <v>8649</v>
      </c>
      <c r="BT457" t="str">
        <f>HYPERLINK("https%3A%2F%2Fwww.webofscience.com%2Fwos%2Fwoscc%2Ffull-record%2FWOS:000263389100005","View Full Record in Web of Science")</f>
        <v>View Full Record in Web of Science</v>
      </c>
    </row>
    <row r="458" spans="1:72" x14ac:dyDescent="0.15">
      <c r="A458" t="s">
        <v>72</v>
      </c>
      <c r="B458" t="s">
        <v>8650</v>
      </c>
      <c r="C458" t="s">
        <v>74</v>
      </c>
      <c r="D458" t="s">
        <v>74</v>
      </c>
      <c r="E458" t="s">
        <v>74</v>
      </c>
      <c r="F458" t="s">
        <v>8651</v>
      </c>
      <c r="G458" t="s">
        <v>74</v>
      </c>
      <c r="H458" t="s">
        <v>74</v>
      </c>
      <c r="I458" t="s">
        <v>8652</v>
      </c>
      <c r="J458" t="s">
        <v>3727</v>
      </c>
      <c r="K458" t="s">
        <v>74</v>
      </c>
      <c r="L458" t="s">
        <v>74</v>
      </c>
      <c r="M458" t="s">
        <v>78</v>
      </c>
      <c r="N458" t="s">
        <v>79</v>
      </c>
      <c r="O458" t="s">
        <v>74</v>
      </c>
      <c r="P458" t="s">
        <v>74</v>
      </c>
      <c r="Q458" t="s">
        <v>74</v>
      </c>
      <c r="R458" t="s">
        <v>74</v>
      </c>
      <c r="S458" t="s">
        <v>74</v>
      </c>
      <c r="T458" t="s">
        <v>8653</v>
      </c>
      <c r="U458" t="s">
        <v>8654</v>
      </c>
      <c r="V458" t="s">
        <v>8655</v>
      </c>
      <c r="W458" t="s">
        <v>8656</v>
      </c>
      <c r="X458" t="s">
        <v>8657</v>
      </c>
      <c r="Y458" t="s">
        <v>8658</v>
      </c>
      <c r="Z458" t="s">
        <v>8659</v>
      </c>
      <c r="AA458" t="s">
        <v>8660</v>
      </c>
      <c r="AB458" t="s">
        <v>8661</v>
      </c>
      <c r="AC458" t="s">
        <v>8662</v>
      </c>
      <c r="AD458" t="s">
        <v>8663</v>
      </c>
      <c r="AE458" t="s">
        <v>8664</v>
      </c>
      <c r="AF458" t="s">
        <v>74</v>
      </c>
      <c r="AG458">
        <v>52</v>
      </c>
      <c r="AH458">
        <v>15</v>
      </c>
      <c r="AI458">
        <v>19</v>
      </c>
      <c r="AJ458">
        <v>0</v>
      </c>
      <c r="AK458">
        <v>5</v>
      </c>
      <c r="AL458" t="s">
        <v>3728</v>
      </c>
      <c r="AM458" t="s">
        <v>92</v>
      </c>
      <c r="AN458" t="s">
        <v>3729</v>
      </c>
      <c r="AO458" t="s">
        <v>3730</v>
      </c>
      <c r="AP458" t="s">
        <v>3750</v>
      </c>
      <c r="AQ458" t="s">
        <v>74</v>
      </c>
      <c r="AR458" t="s">
        <v>3731</v>
      </c>
      <c r="AS458" t="s">
        <v>3732</v>
      </c>
      <c r="AT458" t="s">
        <v>8540</v>
      </c>
      <c r="AU458">
        <v>2009</v>
      </c>
      <c r="AV458">
        <v>21</v>
      </c>
      <c r="AW458">
        <v>1</v>
      </c>
      <c r="AX458" t="s">
        <v>74</v>
      </c>
      <c r="AY458" t="s">
        <v>74</v>
      </c>
      <c r="AZ458" t="s">
        <v>74</v>
      </c>
      <c r="BA458" t="s">
        <v>74</v>
      </c>
      <c r="BB458">
        <v>71</v>
      </c>
      <c r="BC458">
        <v>88</v>
      </c>
      <c r="BD458" t="s">
        <v>74</v>
      </c>
      <c r="BE458" t="s">
        <v>8665</v>
      </c>
      <c r="BF458" t="str">
        <f>HYPERLINK("http://dx.doi.org/10.1017/S0954102008001521","http://dx.doi.org/10.1017/S0954102008001521")</f>
        <v>http://dx.doi.org/10.1017/S0954102008001521</v>
      </c>
      <c r="BG458" t="s">
        <v>74</v>
      </c>
      <c r="BH458" t="s">
        <v>74</v>
      </c>
      <c r="BI458">
        <v>18</v>
      </c>
      <c r="BJ458" t="s">
        <v>1927</v>
      </c>
      <c r="BK458" t="s">
        <v>100</v>
      </c>
      <c r="BL458" t="s">
        <v>1928</v>
      </c>
      <c r="BM458" t="s">
        <v>8579</v>
      </c>
      <c r="BN458" t="s">
        <v>74</v>
      </c>
      <c r="BO458" t="s">
        <v>74</v>
      </c>
      <c r="BP458" t="s">
        <v>74</v>
      </c>
      <c r="BQ458" t="s">
        <v>74</v>
      </c>
      <c r="BR458" t="s">
        <v>103</v>
      </c>
      <c r="BS458" t="s">
        <v>8666</v>
      </c>
      <c r="BT458" t="str">
        <f>HYPERLINK("https%3A%2F%2Fwww.webofscience.com%2Fwos%2Fwoscc%2Ffull-record%2FWOS:000263389100006","View Full Record in Web of Science")</f>
        <v>View Full Record in Web of Science</v>
      </c>
    </row>
    <row r="459" spans="1:72" x14ac:dyDescent="0.15">
      <c r="A459" t="s">
        <v>72</v>
      </c>
      <c r="B459" t="s">
        <v>8667</v>
      </c>
      <c r="C459" t="s">
        <v>74</v>
      </c>
      <c r="D459" t="s">
        <v>74</v>
      </c>
      <c r="E459" t="s">
        <v>74</v>
      </c>
      <c r="F459" t="s">
        <v>8668</v>
      </c>
      <c r="G459" t="s">
        <v>74</v>
      </c>
      <c r="H459" t="s">
        <v>74</v>
      </c>
      <c r="I459" t="s">
        <v>8669</v>
      </c>
      <c r="J459" t="s">
        <v>3727</v>
      </c>
      <c r="K459" t="s">
        <v>74</v>
      </c>
      <c r="L459" t="s">
        <v>74</v>
      </c>
      <c r="M459" t="s">
        <v>78</v>
      </c>
      <c r="N459" t="s">
        <v>79</v>
      </c>
      <c r="O459" t="s">
        <v>74</v>
      </c>
      <c r="P459" t="s">
        <v>74</v>
      </c>
      <c r="Q459" t="s">
        <v>74</v>
      </c>
      <c r="R459" t="s">
        <v>74</v>
      </c>
      <c r="S459" t="s">
        <v>74</v>
      </c>
      <c r="T459" t="s">
        <v>8670</v>
      </c>
      <c r="U459" t="s">
        <v>8671</v>
      </c>
      <c r="V459" t="s">
        <v>8672</v>
      </c>
      <c r="W459" t="s">
        <v>8673</v>
      </c>
      <c r="X459" t="s">
        <v>8674</v>
      </c>
      <c r="Y459" t="s">
        <v>8675</v>
      </c>
      <c r="Z459" t="s">
        <v>8676</v>
      </c>
      <c r="AA459" t="s">
        <v>74</v>
      </c>
      <c r="AB459" t="s">
        <v>8677</v>
      </c>
      <c r="AC459" t="s">
        <v>8678</v>
      </c>
      <c r="AD459" t="s">
        <v>8679</v>
      </c>
      <c r="AE459" t="s">
        <v>8680</v>
      </c>
      <c r="AF459" t="s">
        <v>74</v>
      </c>
      <c r="AG459">
        <v>19</v>
      </c>
      <c r="AH459">
        <v>49</v>
      </c>
      <c r="AI459">
        <v>59</v>
      </c>
      <c r="AJ459">
        <v>0</v>
      </c>
      <c r="AK459">
        <v>4</v>
      </c>
      <c r="AL459" t="s">
        <v>3728</v>
      </c>
      <c r="AM459" t="s">
        <v>92</v>
      </c>
      <c r="AN459" t="s">
        <v>3729</v>
      </c>
      <c r="AO459" t="s">
        <v>3730</v>
      </c>
      <c r="AP459" t="s">
        <v>3750</v>
      </c>
      <c r="AQ459" t="s">
        <v>74</v>
      </c>
      <c r="AR459" t="s">
        <v>3731</v>
      </c>
      <c r="AS459" t="s">
        <v>3732</v>
      </c>
      <c r="AT459" t="s">
        <v>8540</v>
      </c>
      <c r="AU459">
        <v>2009</v>
      </c>
      <c r="AV459">
        <v>21</v>
      </c>
      <c r="AW459">
        <v>1</v>
      </c>
      <c r="AX459" t="s">
        <v>74</v>
      </c>
      <c r="AY459" t="s">
        <v>74</v>
      </c>
      <c r="AZ459" t="s">
        <v>74</v>
      </c>
      <c r="BA459" t="s">
        <v>74</v>
      </c>
      <c r="BB459">
        <v>89</v>
      </c>
      <c r="BC459">
        <v>94</v>
      </c>
      <c r="BD459" t="s">
        <v>74</v>
      </c>
      <c r="BE459" t="s">
        <v>8681</v>
      </c>
      <c r="BF459" t="str">
        <f>HYPERLINK("http://dx.doi.org/10.1017/S0954102008001508","http://dx.doi.org/10.1017/S0954102008001508")</f>
        <v>http://dx.doi.org/10.1017/S0954102008001508</v>
      </c>
      <c r="BG459" t="s">
        <v>74</v>
      </c>
      <c r="BH459" t="s">
        <v>74</v>
      </c>
      <c r="BI459">
        <v>6</v>
      </c>
      <c r="BJ459" t="s">
        <v>1927</v>
      </c>
      <c r="BK459" t="s">
        <v>100</v>
      </c>
      <c r="BL459" t="s">
        <v>1928</v>
      </c>
      <c r="BM459" t="s">
        <v>8579</v>
      </c>
      <c r="BN459" t="s">
        <v>74</v>
      </c>
      <c r="BO459" t="s">
        <v>74</v>
      </c>
      <c r="BP459" t="s">
        <v>74</v>
      </c>
      <c r="BQ459" t="s">
        <v>74</v>
      </c>
      <c r="BR459" t="s">
        <v>103</v>
      </c>
      <c r="BS459" t="s">
        <v>8682</v>
      </c>
      <c r="BT459" t="str">
        <f>HYPERLINK("https%3A%2F%2Fwww.webofscience.com%2Fwos%2Fwoscc%2Ffull-record%2FWOS:000263389100007","View Full Record in Web of Science")</f>
        <v>View Full Record in Web of Science</v>
      </c>
    </row>
    <row r="460" spans="1:72" x14ac:dyDescent="0.15">
      <c r="A460" t="s">
        <v>72</v>
      </c>
      <c r="B460" t="s">
        <v>8683</v>
      </c>
      <c r="C460" t="s">
        <v>74</v>
      </c>
      <c r="D460" t="s">
        <v>74</v>
      </c>
      <c r="E460" t="s">
        <v>74</v>
      </c>
      <c r="F460" t="s">
        <v>8684</v>
      </c>
      <c r="G460" t="s">
        <v>74</v>
      </c>
      <c r="H460" t="s">
        <v>74</v>
      </c>
      <c r="I460" t="s">
        <v>8685</v>
      </c>
      <c r="J460" t="s">
        <v>8686</v>
      </c>
      <c r="K460" t="s">
        <v>74</v>
      </c>
      <c r="L460" t="s">
        <v>74</v>
      </c>
      <c r="M460" t="s">
        <v>78</v>
      </c>
      <c r="N460" t="s">
        <v>79</v>
      </c>
      <c r="O460" t="s">
        <v>74</v>
      </c>
      <c r="P460" t="s">
        <v>74</v>
      </c>
      <c r="Q460" t="s">
        <v>74</v>
      </c>
      <c r="R460" t="s">
        <v>74</v>
      </c>
      <c r="S460" t="s">
        <v>74</v>
      </c>
      <c r="T460" t="s">
        <v>74</v>
      </c>
      <c r="U460" t="s">
        <v>8687</v>
      </c>
      <c r="V460" t="s">
        <v>8688</v>
      </c>
      <c r="W460" t="s">
        <v>8689</v>
      </c>
      <c r="X460" t="s">
        <v>8690</v>
      </c>
      <c r="Y460" t="s">
        <v>8691</v>
      </c>
      <c r="Z460" t="s">
        <v>8692</v>
      </c>
      <c r="AA460" t="s">
        <v>8693</v>
      </c>
      <c r="AB460" t="s">
        <v>8694</v>
      </c>
      <c r="AC460" t="s">
        <v>8695</v>
      </c>
      <c r="AD460" t="s">
        <v>8696</v>
      </c>
      <c r="AE460" t="s">
        <v>8697</v>
      </c>
      <c r="AF460" t="s">
        <v>74</v>
      </c>
      <c r="AG460">
        <v>62</v>
      </c>
      <c r="AH460">
        <v>116</v>
      </c>
      <c r="AI460">
        <v>137</v>
      </c>
      <c r="AJ460">
        <v>1</v>
      </c>
      <c r="AK460">
        <v>43</v>
      </c>
      <c r="AL460" t="s">
        <v>4494</v>
      </c>
      <c r="AM460" t="s">
        <v>606</v>
      </c>
      <c r="AN460" t="s">
        <v>4495</v>
      </c>
      <c r="AO460" t="s">
        <v>8698</v>
      </c>
      <c r="AP460" t="s">
        <v>8699</v>
      </c>
      <c r="AQ460" t="s">
        <v>74</v>
      </c>
      <c r="AR460" t="s">
        <v>8700</v>
      </c>
      <c r="AS460" t="s">
        <v>8701</v>
      </c>
      <c r="AT460" t="s">
        <v>8540</v>
      </c>
      <c r="AU460">
        <v>2009</v>
      </c>
      <c r="AV460">
        <v>75</v>
      </c>
      <c r="AW460">
        <v>3</v>
      </c>
      <c r="AX460" t="s">
        <v>74</v>
      </c>
      <c r="AY460" t="s">
        <v>74</v>
      </c>
      <c r="AZ460" t="s">
        <v>74</v>
      </c>
      <c r="BA460" t="s">
        <v>74</v>
      </c>
      <c r="BB460">
        <v>735</v>
      </c>
      <c r="BC460">
        <v>747</v>
      </c>
      <c r="BD460" t="s">
        <v>74</v>
      </c>
      <c r="BE460" t="s">
        <v>8702</v>
      </c>
      <c r="BF460" t="str">
        <f>HYPERLINK("http://dx.doi.org/10.1128/AEM.01469-08","http://dx.doi.org/10.1128/AEM.01469-08")</f>
        <v>http://dx.doi.org/10.1128/AEM.01469-08</v>
      </c>
      <c r="BG460" t="s">
        <v>74</v>
      </c>
      <c r="BH460" t="s">
        <v>74</v>
      </c>
      <c r="BI460">
        <v>13</v>
      </c>
      <c r="BJ460" t="s">
        <v>4433</v>
      </c>
      <c r="BK460" t="s">
        <v>100</v>
      </c>
      <c r="BL460" t="s">
        <v>4433</v>
      </c>
      <c r="BM460" t="s">
        <v>8703</v>
      </c>
      <c r="BN460">
        <v>19074608</v>
      </c>
      <c r="BO460" t="s">
        <v>217</v>
      </c>
      <c r="BP460" t="s">
        <v>74</v>
      </c>
      <c r="BQ460" t="s">
        <v>74</v>
      </c>
      <c r="BR460" t="s">
        <v>103</v>
      </c>
      <c r="BS460" t="s">
        <v>8704</v>
      </c>
      <c r="BT460" t="str">
        <f>HYPERLINK("https%3A%2F%2Fwww.webofscience.com%2Fwos%2Fwoscc%2Ffull-record%2FWOS:000262690100024","View Full Record in Web of Science")</f>
        <v>View Full Record in Web of Science</v>
      </c>
    </row>
    <row r="461" spans="1:72" x14ac:dyDescent="0.15">
      <c r="A461" t="s">
        <v>72</v>
      </c>
      <c r="B461" t="s">
        <v>8705</v>
      </c>
      <c r="C461" t="s">
        <v>74</v>
      </c>
      <c r="D461" t="s">
        <v>74</v>
      </c>
      <c r="E461" t="s">
        <v>74</v>
      </c>
      <c r="F461" t="s">
        <v>8706</v>
      </c>
      <c r="G461" t="s">
        <v>74</v>
      </c>
      <c r="H461" t="s">
        <v>74</v>
      </c>
      <c r="I461" t="s">
        <v>8707</v>
      </c>
      <c r="J461" t="s">
        <v>1083</v>
      </c>
      <c r="K461" t="s">
        <v>74</v>
      </c>
      <c r="L461" t="s">
        <v>74</v>
      </c>
      <c r="M461" t="s">
        <v>78</v>
      </c>
      <c r="N461" t="s">
        <v>934</v>
      </c>
      <c r="O461" t="s">
        <v>74</v>
      </c>
      <c r="P461" t="s">
        <v>74</v>
      </c>
      <c r="Q461" t="s">
        <v>74</v>
      </c>
      <c r="R461" t="s">
        <v>74</v>
      </c>
      <c r="S461" t="s">
        <v>74</v>
      </c>
      <c r="T461" t="s">
        <v>74</v>
      </c>
      <c r="U461" t="s">
        <v>74</v>
      </c>
      <c r="V461" t="s">
        <v>74</v>
      </c>
      <c r="W461" t="s">
        <v>8708</v>
      </c>
      <c r="X461" t="s">
        <v>8709</v>
      </c>
      <c r="Y461" t="s">
        <v>8710</v>
      </c>
      <c r="Z461" t="s">
        <v>8711</v>
      </c>
      <c r="AA461" t="s">
        <v>8712</v>
      </c>
      <c r="AB461" t="s">
        <v>8713</v>
      </c>
      <c r="AC461" t="s">
        <v>74</v>
      </c>
      <c r="AD461" t="s">
        <v>74</v>
      </c>
      <c r="AE461" t="s">
        <v>74</v>
      </c>
      <c r="AF461" t="s">
        <v>74</v>
      </c>
      <c r="AG461">
        <v>5</v>
      </c>
      <c r="AH461">
        <v>12</v>
      </c>
      <c r="AI461">
        <v>12</v>
      </c>
      <c r="AJ461">
        <v>0</v>
      </c>
      <c r="AK461">
        <v>4</v>
      </c>
      <c r="AL461" t="s">
        <v>1095</v>
      </c>
      <c r="AM461" t="s">
        <v>1096</v>
      </c>
      <c r="AN461" t="s">
        <v>1097</v>
      </c>
      <c r="AO461" t="s">
        <v>1098</v>
      </c>
      <c r="AP461" t="s">
        <v>74</v>
      </c>
      <c r="AQ461" t="s">
        <v>74</v>
      </c>
      <c r="AR461" t="s">
        <v>1099</v>
      </c>
      <c r="AS461" t="s">
        <v>1100</v>
      </c>
      <c r="AT461" t="s">
        <v>8540</v>
      </c>
      <c r="AU461">
        <v>2009</v>
      </c>
      <c r="AV461">
        <v>41</v>
      </c>
      <c r="AW461">
        <v>1</v>
      </c>
      <c r="AX461" t="s">
        <v>74</v>
      </c>
      <c r="AY461" t="s">
        <v>74</v>
      </c>
      <c r="AZ461" t="s">
        <v>74</v>
      </c>
      <c r="BA461" t="s">
        <v>74</v>
      </c>
      <c r="BB461">
        <v>1</v>
      </c>
      <c r="BC461">
        <v>2</v>
      </c>
      <c r="BD461" t="s">
        <v>74</v>
      </c>
      <c r="BE461" t="s">
        <v>8714</v>
      </c>
      <c r="BF461" t="str">
        <f>HYPERLINK("http://dx.doi.org/10.1657/1938-4246(INTRO)[BEYLICH]2.0.CO;2","http://dx.doi.org/10.1657/1938-4246(INTRO)[BEYLICH]2.0.CO;2")</f>
        <v>http://dx.doi.org/10.1657/1938-4246(INTRO)[BEYLICH]2.0.CO;2</v>
      </c>
      <c r="BG461" t="s">
        <v>74</v>
      </c>
      <c r="BH461" t="s">
        <v>74</v>
      </c>
      <c r="BI461">
        <v>2</v>
      </c>
      <c r="BJ461" t="s">
        <v>1102</v>
      </c>
      <c r="BK461" t="s">
        <v>100</v>
      </c>
      <c r="BL461" t="s">
        <v>1104</v>
      </c>
      <c r="BM461" t="s">
        <v>8715</v>
      </c>
      <c r="BN461" t="s">
        <v>74</v>
      </c>
      <c r="BO461" t="s">
        <v>1036</v>
      </c>
      <c r="BP461" t="s">
        <v>74</v>
      </c>
      <c r="BQ461" t="s">
        <v>74</v>
      </c>
      <c r="BR461" t="s">
        <v>103</v>
      </c>
      <c r="BS461" t="s">
        <v>8716</v>
      </c>
      <c r="BT461" t="str">
        <f>HYPERLINK("https%3A%2F%2Fwww.webofscience.com%2Fwos%2Fwoscc%2Ffull-record%2FWOS:000263313000001","View Full Record in Web of Science")</f>
        <v>View Full Record in Web of Science</v>
      </c>
    </row>
    <row r="462" spans="1:72" x14ac:dyDescent="0.15">
      <c r="A462" t="s">
        <v>72</v>
      </c>
      <c r="B462" t="s">
        <v>8717</v>
      </c>
      <c r="C462" t="s">
        <v>74</v>
      </c>
      <c r="D462" t="s">
        <v>74</v>
      </c>
      <c r="E462" t="s">
        <v>74</v>
      </c>
      <c r="F462" t="s">
        <v>8718</v>
      </c>
      <c r="G462" t="s">
        <v>74</v>
      </c>
      <c r="H462" t="s">
        <v>74</v>
      </c>
      <c r="I462" t="s">
        <v>8719</v>
      </c>
      <c r="J462" t="s">
        <v>1083</v>
      </c>
      <c r="K462" t="s">
        <v>74</v>
      </c>
      <c r="L462" t="s">
        <v>74</v>
      </c>
      <c r="M462" t="s">
        <v>78</v>
      </c>
      <c r="N462" t="s">
        <v>1437</v>
      </c>
      <c r="O462" t="s">
        <v>8720</v>
      </c>
      <c r="P462" t="s">
        <v>8721</v>
      </c>
      <c r="Q462" t="s">
        <v>8722</v>
      </c>
      <c r="R462" t="s">
        <v>74</v>
      </c>
      <c r="S462" t="s">
        <v>74</v>
      </c>
      <c r="T462" t="s">
        <v>74</v>
      </c>
      <c r="U462" t="s">
        <v>8723</v>
      </c>
      <c r="V462" t="s">
        <v>8724</v>
      </c>
      <c r="W462" t="s">
        <v>8725</v>
      </c>
      <c r="X462" t="s">
        <v>8726</v>
      </c>
      <c r="Y462" t="s">
        <v>8710</v>
      </c>
      <c r="Z462" t="s">
        <v>8727</v>
      </c>
      <c r="AA462" t="s">
        <v>8712</v>
      </c>
      <c r="AB462" t="s">
        <v>8713</v>
      </c>
      <c r="AC462" t="s">
        <v>74</v>
      </c>
      <c r="AD462" t="s">
        <v>74</v>
      </c>
      <c r="AE462" t="s">
        <v>74</v>
      </c>
      <c r="AF462" t="s">
        <v>74</v>
      </c>
      <c r="AG462">
        <v>50</v>
      </c>
      <c r="AH462">
        <v>29</v>
      </c>
      <c r="AI462">
        <v>30</v>
      </c>
      <c r="AJ462">
        <v>0</v>
      </c>
      <c r="AK462">
        <v>3</v>
      </c>
      <c r="AL462" t="s">
        <v>1095</v>
      </c>
      <c r="AM462" t="s">
        <v>1096</v>
      </c>
      <c r="AN462" t="s">
        <v>1097</v>
      </c>
      <c r="AO462" t="s">
        <v>1098</v>
      </c>
      <c r="AP462" t="s">
        <v>1121</v>
      </c>
      <c r="AQ462" t="s">
        <v>74</v>
      </c>
      <c r="AR462" t="s">
        <v>1099</v>
      </c>
      <c r="AS462" t="s">
        <v>1100</v>
      </c>
      <c r="AT462" t="s">
        <v>8540</v>
      </c>
      <c r="AU462">
        <v>2009</v>
      </c>
      <c r="AV462">
        <v>41</v>
      </c>
      <c r="AW462">
        <v>1</v>
      </c>
      <c r="AX462" t="s">
        <v>74</v>
      </c>
      <c r="AY462" t="s">
        <v>74</v>
      </c>
      <c r="AZ462" t="s">
        <v>74</v>
      </c>
      <c r="BA462" t="s">
        <v>74</v>
      </c>
      <c r="BB462">
        <v>3</v>
      </c>
      <c r="BC462">
        <v>17</v>
      </c>
      <c r="BD462" t="s">
        <v>74</v>
      </c>
      <c r="BE462" t="s">
        <v>8728</v>
      </c>
      <c r="BF462" t="str">
        <f>HYPERLINK("http://dx.doi.org/10.1657/1938-4246(08-020)[BEYLICH]2.0.CO;2","http://dx.doi.org/10.1657/1938-4246(08-020)[BEYLICH]2.0.CO;2")</f>
        <v>http://dx.doi.org/10.1657/1938-4246(08-020)[BEYLICH]2.0.CO;2</v>
      </c>
      <c r="BG462" t="s">
        <v>74</v>
      </c>
      <c r="BH462" t="s">
        <v>74</v>
      </c>
      <c r="BI462">
        <v>15</v>
      </c>
      <c r="BJ462" t="s">
        <v>1102</v>
      </c>
      <c r="BK462" t="s">
        <v>1453</v>
      </c>
      <c r="BL462" t="s">
        <v>1104</v>
      </c>
      <c r="BM462" t="s">
        <v>8715</v>
      </c>
      <c r="BN462" t="s">
        <v>74</v>
      </c>
      <c r="BO462" t="s">
        <v>1036</v>
      </c>
      <c r="BP462" t="s">
        <v>74</v>
      </c>
      <c r="BQ462" t="s">
        <v>74</v>
      </c>
      <c r="BR462" t="s">
        <v>103</v>
      </c>
      <c r="BS462" t="s">
        <v>8729</v>
      </c>
      <c r="BT462" t="str">
        <f>HYPERLINK("https%3A%2F%2Fwww.webofscience.com%2Fwos%2Fwoscc%2Ffull-record%2FWOS:000263313000002","View Full Record in Web of Science")</f>
        <v>View Full Record in Web of Science</v>
      </c>
    </row>
    <row r="463" spans="1:72" x14ac:dyDescent="0.15">
      <c r="A463" t="s">
        <v>72</v>
      </c>
      <c r="B463" t="s">
        <v>8730</v>
      </c>
      <c r="C463" t="s">
        <v>74</v>
      </c>
      <c r="D463" t="s">
        <v>74</v>
      </c>
      <c r="E463" t="s">
        <v>74</v>
      </c>
      <c r="F463" t="s">
        <v>8731</v>
      </c>
      <c r="G463" t="s">
        <v>74</v>
      </c>
      <c r="H463" t="s">
        <v>74</v>
      </c>
      <c r="I463" t="s">
        <v>8732</v>
      </c>
      <c r="J463" t="s">
        <v>1083</v>
      </c>
      <c r="K463" t="s">
        <v>74</v>
      </c>
      <c r="L463" t="s">
        <v>74</v>
      </c>
      <c r="M463" t="s">
        <v>78</v>
      </c>
      <c r="N463" t="s">
        <v>1437</v>
      </c>
      <c r="O463" t="s">
        <v>8720</v>
      </c>
      <c r="P463" t="s">
        <v>8721</v>
      </c>
      <c r="Q463" t="s">
        <v>8722</v>
      </c>
      <c r="R463" t="s">
        <v>74</v>
      </c>
      <c r="S463" t="s">
        <v>74</v>
      </c>
      <c r="T463" t="s">
        <v>74</v>
      </c>
      <c r="U463" t="s">
        <v>8733</v>
      </c>
      <c r="V463" t="s">
        <v>8734</v>
      </c>
      <c r="W463" t="s">
        <v>8735</v>
      </c>
      <c r="X463" t="s">
        <v>8736</v>
      </c>
      <c r="Y463" t="s">
        <v>8737</v>
      </c>
      <c r="Z463" t="s">
        <v>8738</v>
      </c>
      <c r="AA463" t="s">
        <v>74</v>
      </c>
      <c r="AB463" t="s">
        <v>8739</v>
      </c>
      <c r="AC463" t="s">
        <v>74</v>
      </c>
      <c r="AD463" t="s">
        <v>74</v>
      </c>
      <c r="AE463" t="s">
        <v>74</v>
      </c>
      <c r="AF463" t="s">
        <v>74</v>
      </c>
      <c r="AG463">
        <v>83</v>
      </c>
      <c r="AH463">
        <v>43</v>
      </c>
      <c r="AI463">
        <v>45</v>
      </c>
      <c r="AJ463">
        <v>1</v>
      </c>
      <c r="AK463">
        <v>23</v>
      </c>
      <c r="AL463" t="s">
        <v>1167</v>
      </c>
      <c r="AM463" t="s">
        <v>1168</v>
      </c>
      <c r="AN463" t="s">
        <v>1169</v>
      </c>
      <c r="AO463" t="s">
        <v>1098</v>
      </c>
      <c r="AP463" t="s">
        <v>1121</v>
      </c>
      <c r="AQ463" t="s">
        <v>74</v>
      </c>
      <c r="AR463" t="s">
        <v>1099</v>
      </c>
      <c r="AS463" t="s">
        <v>1100</v>
      </c>
      <c r="AT463" t="s">
        <v>8540</v>
      </c>
      <c r="AU463">
        <v>2009</v>
      </c>
      <c r="AV463">
        <v>41</v>
      </c>
      <c r="AW463">
        <v>1</v>
      </c>
      <c r="AX463" t="s">
        <v>74</v>
      </c>
      <c r="AY463" t="s">
        <v>74</v>
      </c>
      <c r="AZ463" t="s">
        <v>74</v>
      </c>
      <c r="BA463" t="s">
        <v>74</v>
      </c>
      <c r="BB463">
        <v>18</v>
      </c>
      <c r="BC463">
        <v>36</v>
      </c>
      <c r="BD463" t="s">
        <v>74</v>
      </c>
      <c r="BE463" t="s">
        <v>8740</v>
      </c>
      <c r="BF463" t="str">
        <f>HYPERLINK("http://dx.doi.org/10.1657/1938-4246(07-099)[CARRIVICK]2.0.CO;2","http://dx.doi.org/10.1657/1938-4246(07-099)[CARRIVICK]2.0.CO;2")</f>
        <v>http://dx.doi.org/10.1657/1938-4246(07-099)[CARRIVICK]2.0.CO;2</v>
      </c>
      <c r="BG463" t="s">
        <v>74</v>
      </c>
      <c r="BH463" t="s">
        <v>74</v>
      </c>
      <c r="BI463">
        <v>19</v>
      </c>
      <c r="BJ463" t="s">
        <v>1102</v>
      </c>
      <c r="BK463" t="s">
        <v>1453</v>
      </c>
      <c r="BL463" t="s">
        <v>1104</v>
      </c>
      <c r="BM463" t="s">
        <v>8715</v>
      </c>
      <c r="BN463" t="s">
        <v>74</v>
      </c>
      <c r="BO463" t="s">
        <v>1137</v>
      </c>
      <c r="BP463" t="s">
        <v>74</v>
      </c>
      <c r="BQ463" t="s">
        <v>74</v>
      </c>
      <c r="BR463" t="s">
        <v>103</v>
      </c>
      <c r="BS463" t="s">
        <v>8741</v>
      </c>
      <c r="BT463" t="str">
        <f>HYPERLINK("https%3A%2F%2Fwww.webofscience.com%2Fwos%2Fwoscc%2Ffull-record%2FWOS:000263313000003","View Full Record in Web of Science")</f>
        <v>View Full Record in Web of Science</v>
      </c>
    </row>
    <row r="464" spans="1:72" x14ac:dyDescent="0.15">
      <c r="A464" t="s">
        <v>72</v>
      </c>
      <c r="B464" t="s">
        <v>8742</v>
      </c>
      <c r="C464" t="s">
        <v>74</v>
      </c>
      <c r="D464" t="s">
        <v>74</v>
      </c>
      <c r="E464" t="s">
        <v>74</v>
      </c>
      <c r="F464" t="s">
        <v>8743</v>
      </c>
      <c r="G464" t="s">
        <v>74</v>
      </c>
      <c r="H464" t="s">
        <v>74</v>
      </c>
      <c r="I464" t="s">
        <v>8744</v>
      </c>
      <c r="J464" t="s">
        <v>1083</v>
      </c>
      <c r="K464" t="s">
        <v>74</v>
      </c>
      <c r="L464" t="s">
        <v>74</v>
      </c>
      <c r="M464" t="s">
        <v>78</v>
      </c>
      <c r="N464" t="s">
        <v>1437</v>
      </c>
      <c r="O464" t="s">
        <v>8720</v>
      </c>
      <c r="P464" t="s">
        <v>8721</v>
      </c>
      <c r="Q464" t="s">
        <v>8722</v>
      </c>
      <c r="R464" t="s">
        <v>74</v>
      </c>
      <c r="S464" t="s">
        <v>74</v>
      </c>
      <c r="T464" t="s">
        <v>74</v>
      </c>
      <c r="U464" t="s">
        <v>8745</v>
      </c>
      <c r="V464" t="s">
        <v>8746</v>
      </c>
      <c r="W464" t="s">
        <v>8747</v>
      </c>
      <c r="X464" t="s">
        <v>8748</v>
      </c>
      <c r="Y464" t="s">
        <v>8749</v>
      </c>
      <c r="Z464" t="s">
        <v>8750</v>
      </c>
      <c r="AA464" t="s">
        <v>8751</v>
      </c>
      <c r="AB464" t="s">
        <v>74</v>
      </c>
      <c r="AC464" t="s">
        <v>74</v>
      </c>
      <c r="AD464" t="s">
        <v>74</v>
      </c>
      <c r="AE464" t="s">
        <v>74</v>
      </c>
      <c r="AF464" t="s">
        <v>74</v>
      </c>
      <c r="AG464">
        <v>32</v>
      </c>
      <c r="AH464">
        <v>8</v>
      </c>
      <c r="AI464">
        <v>8</v>
      </c>
      <c r="AJ464">
        <v>0</v>
      </c>
      <c r="AK464">
        <v>6</v>
      </c>
      <c r="AL464" t="s">
        <v>1167</v>
      </c>
      <c r="AM464" t="s">
        <v>1168</v>
      </c>
      <c r="AN464" t="s">
        <v>1169</v>
      </c>
      <c r="AO464" t="s">
        <v>1098</v>
      </c>
      <c r="AP464" t="s">
        <v>1121</v>
      </c>
      <c r="AQ464" t="s">
        <v>74</v>
      </c>
      <c r="AR464" t="s">
        <v>1099</v>
      </c>
      <c r="AS464" t="s">
        <v>1100</v>
      </c>
      <c r="AT464" t="s">
        <v>8540</v>
      </c>
      <c r="AU464">
        <v>2009</v>
      </c>
      <c r="AV464">
        <v>41</v>
      </c>
      <c r="AW464">
        <v>1</v>
      </c>
      <c r="AX464" t="s">
        <v>74</v>
      </c>
      <c r="AY464" t="s">
        <v>74</v>
      </c>
      <c r="AZ464" t="s">
        <v>74</v>
      </c>
      <c r="BA464" t="s">
        <v>74</v>
      </c>
      <c r="BB464">
        <v>37</v>
      </c>
      <c r="BC464">
        <v>47</v>
      </c>
      <c r="BD464" t="s">
        <v>74</v>
      </c>
      <c r="BE464" t="s">
        <v>8752</v>
      </c>
      <c r="BF464" t="str">
        <f>HYPERLINK("http://dx.doi.org/10.1657/1938-4246(08-037)[DECAULNE]2.0.CO;2","http://dx.doi.org/10.1657/1938-4246(08-037)[DECAULNE]2.0.CO;2")</f>
        <v>http://dx.doi.org/10.1657/1938-4246(08-037)[DECAULNE]2.0.CO;2</v>
      </c>
      <c r="BG464" t="s">
        <v>74</v>
      </c>
      <c r="BH464" t="s">
        <v>74</v>
      </c>
      <c r="BI464">
        <v>11</v>
      </c>
      <c r="BJ464" t="s">
        <v>1102</v>
      </c>
      <c r="BK464" t="s">
        <v>1453</v>
      </c>
      <c r="BL464" t="s">
        <v>1104</v>
      </c>
      <c r="BM464" t="s">
        <v>8715</v>
      </c>
      <c r="BN464" t="s">
        <v>74</v>
      </c>
      <c r="BO464" t="s">
        <v>1106</v>
      </c>
      <c r="BP464" t="s">
        <v>74</v>
      </c>
      <c r="BQ464" t="s">
        <v>74</v>
      </c>
      <c r="BR464" t="s">
        <v>103</v>
      </c>
      <c r="BS464" t="s">
        <v>8753</v>
      </c>
      <c r="BT464" t="str">
        <f>HYPERLINK("https%3A%2F%2Fwww.webofscience.com%2Fwos%2Fwoscc%2Ffull-record%2FWOS:000263313000004","View Full Record in Web of Science")</f>
        <v>View Full Record in Web of Science</v>
      </c>
    </row>
    <row r="465" spans="1:72" x14ac:dyDescent="0.15">
      <c r="A465" t="s">
        <v>72</v>
      </c>
      <c r="B465" t="s">
        <v>8754</v>
      </c>
      <c r="C465" t="s">
        <v>74</v>
      </c>
      <c r="D465" t="s">
        <v>74</v>
      </c>
      <c r="E465" t="s">
        <v>74</v>
      </c>
      <c r="F465" t="s">
        <v>8755</v>
      </c>
      <c r="G465" t="s">
        <v>74</v>
      </c>
      <c r="H465" t="s">
        <v>74</v>
      </c>
      <c r="I465" t="s">
        <v>8756</v>
      </c>
      <c r="J465" t="s">
        <v>1083</v>
      </c>
      <c r="K465" t="s">
        <v>74</v>
      </c>
      <c r="L465" t="s">
        <v>74</v>
      </c>
      <c r="M465" t="s">
        <v>78</v>
      </c>
      <c r="N465" t="s">
        <v>1437</v>
      </c>
      <c r="O465" t="s">
        <v>8720</v>
      </c>
      <c r="P465" t="s">
        <v>8721</v>
      </c>
      <c r="Q465" t="s">
        <v>8722</v>
      </c>
      <c r="R465" t="s">
        <v>74</v>
      </c>
      <c r="S465" t="s">
        <v>74</v>
      </c>
      <c r="T465" t="s">
        <v>74</v>
      </c>
      <c r="U465" t="s">
        <v>8757</v>
      </c>
      <c r="V465" t="s">
        <v>8758</v>
      </c>
      <c r="W465" t="s">
        <v>8759</v>
      </c>
      <c r="X465" t="s">
        <v>1087</v>
      </c>
      <c r="Y465" t="s">
        <v>8760</v>
      </c>
      <c r="Z465" t="s">
        <v>8761</v>
      </c>
      <c r="AA465" t="s">
        <v>74</v>
      </c>
      <c r="AB465" t="s">
        <v>74</v>
      </c>
      <c r="AC465" t="s">
        <v>74</v>
      </c>
      <c r="AD465" t="s">
        <v>74</v>
      </c>
      <c r="AE465" t="s">
        <v>74</v>
      </c>
      <c r="AF465" t="s">
        <v>74</v>
      </c>
      <c r="AG465">
        <v>91</v>
      </c>
      <c r="AH465">
        <v>28</v>
      </c>
      <c r="AI465">
        <v>30</v>
      </c>
      <c r="AJ465">
        <v>0</v>
      </c>
      <c r="AK465">
        <v>15</v>
      </c>
      <c r="AL465" t="s">
        <v>1167</v>
      </c>
      <c r="AM465" t="s">
        <v>1168</v>
      </c>
      <c r="AN465" t="s">
        <v>1169</v>
      </c>
      <c r="AO465" t="s">
        <v>1098</v>
      </c>
      <c r="AP465" t="s">
        <v>1121</v>
      </c>
      <c r="AQ465" t="s">
        <v>74</v>
      </c>
      <c r="AR465" t="s">
        <v>1099</v>
      </c>
      <c r="AS465" t="s">
        <v>1100</v>
      </c>
      <c r="AT465" t="s">
        <v>8540</v>
      </c>
      <c r="AU465">
        <v>2009</v>
      </c>
      <c r="AV465">
        <v>41</v>
      </c>
      <c r="AW465">
        <v>1</v>
      </c>
      <c r="AX465" t="s">
        <v>74</v>
      </c>
      <c r="AY465" t="s">
        <v>74</v>
      </c>
      <c r="AZ465" t="s">
        <v>74</v>
      </c>
      <c r="BA465" t="s">
        <v>74</v>
      </c>
      <c r="BB465">
        <v>48</v>
      </c>
      <c r="BC465">
        <v>58</v>
      </c>
      <c r="BD465" t="s">
        <v>74</v>
      </c>
      <c r="BE465" t="s">
        <v>8762</v>
      </c>
      <c r="BF465" t="str">
        <f>HYPERLINK("http://dx.doi.org/10.1657/1938-4246(08-026)[ETZELMUELLER]2.0.CO;2","http://dx.doi.org/10.1657/1938-4246(08-026)[ETZELMUELLER]2.0.CO;2")</f>
        <v>http://dx.doi.org/10.1657/1938-4246(08-026)[ETZELMUELLER]2.0.CO;2</v>
      </c>
      <c r="BG465" t="s">
        <v>74</v>
      </c>
      <c r="BH465" t="s">
        <v>74</v>
      </c>
      <c r="BI465">
        <v>11</v>
      </c>
      <c r="BJ465" t="s">
        <v>1102</v>
      </c>
      <c r="BK465" t="s">
        <v>1453</v>
      </c>
      <c r="BL465" t="s">
        <v>1104</v>
      </c>
      <c r="BM465" t="s">
        <v>8715</v>
      </c>
      <c r="BN465" t="s">
        <v>74</v>
      </c>
      <c r="BO465" t="s">
        <v>1106</v>
      </c>
      <c r="BP465" t="s">
        <v>74</v>
      </c>
      <c r="BQ465" t="s">
        <v>74</v>
      </c>
      <c r="BR465" t="s">
        <v>103</v>
      </c>
      <c r="BS465" t="s">
        <v>8763</v>
      </c>
      <c r="BT465" t="str">
        <f>HYPERLINK("https%3A%2F%2Fwww.webofscience.com%2Fwos%2Fwoscc%2Ffull-record%2FWOS:000263313000005","View Full Record in Web of Science")</f>
        <v>View Full Record in Web of Science</v>
      </c>
    </row>
    <row r="466" spans="1:72" x14ac:dyDescent="0.15">
      <c r="A466" t="s">
        <v>72</v>
      </c>
      <c r="B466" t="s">
        <v>8764</v>
      </c>
      <c r="C466" t="s">
        <v>74</v>
      </c>
      <c r="D466" t="s">
        <v>74</v>
      </c>
      <c r="E466" t="s">
        <v>74</v>
      </c>
      <c r="F466" t="s">
        <v>8765</v>
      </c>
      <c r="G466" t="s">
        <v>74</v>
      </c>
      <c r="H466" t="s">
        <v>74</v>
      </c>
      <c r="I466" t="s">
        <v>8766</v>
      </c>
      <c r="J466" t="s">
        <v>1083</v>
      </c>
      <c r="K466" t="s">
        <v>74</v>
      </c>
      <c r="L466" t="s">
        <v>74</v>
      </c>
      <c r="M466" t="s">
        <v>78</v>
      </c>
      <c r="N466" t="s">
        <v>1437</v>
      </c>
      <c r="O466" t="s">
        <v>8720</v>
      </c>
      <c r="P466" t="s">
        <v>8721</v>
      </c>
      <c r="Q466" t="s">
        <v>8722</v>
      </c>
      <c r="R466" t="s">
        <v>74</v>
      </c>
      <c r="S466" t="s">
        <v>74</v>
      </c>
      <c r="T466" t="s">
        <v>74</v>
      </c>
      <c r="U466" t="s">
        <v>8767</v>
      </c>
      <c r="V466" t="s">
        <v>8768</v>
      </c>
      <c r="W466" t="s">
        <v>8769</v>
      </c>
      <c r="X466" t="s">
        <v>8770</v>
      </c>
      <c r="Y466" t="s">
        <v>8771</v>
      </c>
      <c r="Z466" t="s">
        <v>8772</v>
      </c>
      <c r="AA466" t="s">
        <v>74</v>
      </c>
      <c r="AB466" t="s">
        <v>8773</v>
      </c>
      <c r="AC466" t="s">
        <v>74</v>
      </c>
      <c r="AD466" t="s">
        <v>74</v>
      </c>
      <c r="AE466" t="s">
        <v>74</v>
      </c>
      <c r="AF466" t="s">
        <v>74</v>
      </c>
      <c r="AG466">
        <v>30</v>
      </c>
      <c r="AH466">
        <v>94</v>
      </c>
      <c r="AI466">
        <v>127</v>
      </c>
      <c r="AJ466">
        <v>0</v>
      </c>
      <c r="AK466">
        <v>23</v>
      </c>
      <c r="AL466" t="s">
        <v>1167</v>
      </c>
      <c r="AM466" t="s">
        <v>1168</v>
      </c>
      <c r="AN466" t="s">
        <v>1169</v>
      </c>
      <c r="AO466" t="s">
        <v>1098</v>
      </c>
      <c r="AP466" t="s">
        <v>1121</v>
      </c>
      <c r="AQ466" t="s">
        <v>74</v>
      </c>
      <c r="AR466" t="s">
        <v>1099</v>
      </c>
      <c r="AS466" t="s">
        <v>1100</v>
      </c>
      <c r="AT466" t="s">
        <v>8540</v>
      </c>
      <c r="AU466">
        <v>2009</v>
      </c>
      <c r="AV466">
        <v>41</v>
      </c>
      <c r="AW466">
        <v>1</v>
      </c>
      <c r="AX466" t="s">
        <v>74</v>
      </c>
      <c r="AY466" t="s">
        <v>74</v>
      </c>
      <c r="AZ466" t="s">
        <v>74</v>
      </c>
      <c r="BA466" t="s">
        <v>74</v>
      </c>
      <c r="BB466">
        <v>59</v>
      </c>
      <c r="BC466">
        <v>68</v>
      </c>
      <c r="BD466" t="s">
        <v>74</v>
      </c>
      <c r="BE466" t="s">
        <v>8774</v>
      </c>
      <c r="BF466" t="str">
        <f>HYPERLINK("http://dx.doi.org/10.1657/1938-4246(08-030)[LAMOUREUX]2.0.CO;2","http://dx.doi.org/10.1657/1938-4246(08-030)[LAMOUREUX]2.0.CO;2")</f>
        <v>http://dx.doi.org/10.1657/1938-4246(08-030)[LAMOUREUX]2.0.CO;2</v>
      </c>
      <c r="BG466" t="s">
        <v>74</v>
      </c>
      <c r="BH466" t="s">
        <v>74</v>
      </c>
      <c r="BI466">
        <v>10</v>
      </c>
      <c r="BJ466" t="s">
        <v>1102</v>
      </c>
      <c r="BK466" t="s">
        <v>1453</v>
      </c>
      <c r="BL466" t="s">
        <v>1104</v>
      </c>
      <c r="BM466" t="s">
        <v>8715</v>
      </c>
      <c r="BN466" t="s">
        <v>74</v>
      </c>
      <c r="BO466" t="s">
        <v>1036</v>
      </c>
      <c r="BP466" t="s">
        <v>74</v>
      </c>
      <c r="BQ466" t="s">
        <v>74</v>
      </c>
      <c r="BR466" t="s">
        <v>103</v>
      </c>
      <c r="BS466" t="s">
        <v>8775</v>
      </c>
      <c r="BT466" t="str">
        <f>HYPERLINK("https%3A%2F%2Fwww.webofscience.com%2Fwos%2Fwoscc%2Ffull-record%2FWOS:000263313000006","View Full Record in Web of Science")</f>
        <v>View Full Record in Web of Science</v>
      </c>
    </row>
    <row r="467" spans="1:72" x14ac:dyDescent="0.15">
      <c r="A467" t="s">
        <v>72</v>
      </c>
      <c r="B467" t="s">
        <v>8776</v>
      </c>
      <c r="C467" t="s">
        <v>74</v>
      </c>
      <c r="D467" t="s">
        <v>74</v>
      </c>
      <c r="E467" t="s">
        <v>74</v>
      </c>
      <c r="F467" t="s">
        <v>8777</v>
      </c>
      <c r="G467" t="s">
        <v>74</v>
      </c>
      <c r="H467" t="s">
        <v>74</v>
      </c>
      <c r="I467" t="s">
        <v>8778</v>
      </c>
      <c r="J467" t="s">
        <v>1083</v>
      </c>
      <c r="K467" t="s">
        <v>74</v>
      </c>
      <c r="L467" t="s">
        <v>74</v>
      </c>
      <c r="M467" t="s">
        <v>78</v>
      </c>
      <c r="N467" t="s">
        <v>1437</v>
      </c>
      <c r="O467" t="s">
        <v>8720</v>
      </c>
      <c r="P467" t="s">
        <v>8721</v>
      </c>
      <c r="Q467" t="s">
        <v>8722</v>
      </c>
      <c r="R467" t="s">
        <v>74</v>
      </c>
      <c r="S467" t="s">
        <v>74</v>
      </c>
      <c r="T467" t="s">
        <v>74</v>
      </c>
      <c r="U467" t="s">
        <v>8779</v>
      </c>
      <c r="V467" t="s">
        <v>8780</v>
      </c>
      <c r="W467" t="s">
        <v>8781</v>
      </c>
      <c r="X467" t="s">
        <v>8782</v>
      </c>
      <c r="Y467" t="s">
        <v>8783</v>
      </c>
      <c r="Z467" t="s">
        <v>8784</v>
      </c>
      <c r="AA467" t="s">
        <v>8785</v>
      </c>
      <c r="AB467" t="s">
        <v>8786</v>
      </c>
      <c r="AC467" t="s">
        <v>74</v>
      </c>
      <c r="AD467" t="s">
        <v>74</v>
      </c>
      <c r="AE467" t="s">
        <v>74</v>
      </c>
      <c r="AF467" t="s">
        <v>74</v>
      </c>
      <c r="AG467">
        <v>51</v>
      </c>
      <c r="AH467">
        <v>2</v>
      </c>
      <c r="AI467">
        <v>2</v>
      </c>
      <c r="AJ467">
        <v>1</v>
      </c>
      <c r="AK467">
        <v>12</v>
      </c>
      <c r="AL467" t="s">
        <v>1095</v>
      </c>
      <c r="AM467" t="s">
        <v>1096</v>
      </c>
      <c r="AN467" t="s">
        <v>1097</v>
      </c>
      <c r="AO467" t="s">
        <v>1098</v>
      </c>
      <c r="AP467" t="s">
        <v>74</v>
      </c>
      <c r="AQ467" t="s">
        <v>74</v>
      </c>
      <c r="AR467" t="s">
        <v>1099</v>
      </c>
      <c r="AS467" t="s">
        <v>1100</v>
      </c>
      <c r="AT467" t="s">
        <v>8540</v>
      </c>
      <c r="AU467">
        <v>2009</v>
      </c>
      <c r="AV467">
        <v>41</v>
      </c>
      <c r="AW467">
        <v>1</v>
      </c>
      <c r="AX467" t="s">
        <v>74</v>
      </c>
      <c r="AY467" t="s">
        <v>74</v>
      </c>
      <c r="AZ467" t="s">
        <v>74</v>
      </c>
      <c r="BA467" t="s">
        <v>74</v>
      </c>
      <c r="BB467">
        <v>69</v>
      </c>
      <c r="BC467">
        <v>78</v>
      </c>
      <c r="BD467" t="s">
        <v>74</v>
      </c>
      <c r="BE467" t="s">
        <v>8787</v>
      </c>
      <c r="BF467" t="str">
        <f>HYPERLINK("http://dx.doi.org/10.1657/1938-4246(08-024)[MORCHE]2.0.CO;2","http://dx.doi.org/10.1657/1938-4246(08-024)[MORCHE]2.0.CO;2")</f>
        <v>http://dx.doi.org/10.1657/1938-4246(08-024)[MORCHE]2.0.CO;2</v>
      </c>
      <c r="BG467" t="s">
        <v>74</v>
      </c>
      <c r="BH467" t="s">
        <v>74</v>
      </c>
      <c r="BI467">
        <v>10</v>
      </c>
      <c r="BJ467" t="s">
        <v>1102</v>
      </c>
      <c r="BK467" t="s">
        <v>1453</v>
      </c>
      <c r="BL467" t="s">
        <v>1104</v>
      </c>
      <c r="BM467" t="s">
        <v>8715</v>
      </c>
      <c r="BN467" t="s">
        <v>74</v>
      </c>
      <c r="BO467" t="s">
        <v>1036</v>
      </c>
      <c r="BP467" t="s">
        <v>74</v>
      </c>
      <c r="BQ467" t="s">
        <v>74</v>
      </c>
      <c r="BR467" t="s">
        <v>103</v>
      </c>
      <c r="BS467" t="s">
        <v>8788</v>
      </c>
      <c r="BT467" t="str">
        <f>HYPERLINK("https%3A%2F%2Fwww.webofscience.com%2Fwos%2Fwoscc%2Ffull-record%2FWOS:000263313000007","View Full Record in Web of Science")</f>
        <v>View Full Record in Web of Science</v>
      </c>
    </row>
    <row r="468" spans="1:72" x14ac:dyDescent="0.15">
      <c r="A468" t="s">
        <v>72</v>
      </c>
      <c r="B468" t="s">
        <v>8789</v>
      </c>
      <c r="C468" t="s">
        <v>74</v>
      </c>
      <c r="D468" t="s">
        <v>74</v>
      </c>
      <c r="E468" t="s">
        <v>74</v>
      </c>
      <c r="F468" t="s">
        <v>8790</v>
      </c>
      <c r="G468" t="s">
        <v>74</v>
      </c>
      <c r="H468" t="s">
        <v>74</v>
      </c>
      <c r="I468" t="s">
        <v>8791</v>
      </c>
      <c r="J468" t="s">
        <v>1083</v>
      </c>
      <c r="K468" t="s">
        <v>74</v>
      </c>
      <c r="L468" t="s">
        <v>74</v>
      </c>
      <c r="M468" t="s">
        <v>78</v>
      </c>
      <c r="N468" t="s">
        <v>1437</v>
      </c>
      <c r="O468" t="s">
        <v>8720</v>
      </c>
      <c r="P468" t="s">
        <v>8721</v>
      </c>
      <c r="Q468" t="s">
        <v>8722</v>
      </c>
      <c r="R468" t="s">
        <v>74</v>
      </c>
      <c r="S468" t="s">
        <v>74</v>
      </c>
      <c r="T468" t="s">
        <v>74</v>
      </c>
      <c r="U468" t="s">
        <v>74</v>
      </c>
      <c r="V468" t="s">
        <v>8792</v>
      </c>
      <c r="W468" t="s">
        <v>8793</v>
      </c>
      <c r="X468" t="s">
        <v>8794</v>
      </c>
      <c r="Y468" t="s">
        <v>8795</v>
      </c>
      <c r="Z468" t="s">
        <v>8796</v>
      </c>
      <c r="AA468" t="s">
        <v>8797</v>
      </c>
      <c r="AB468" t="s">
        <v>8798</v>
      </c>
      <c r="AC468" t="s">
        <v>74</v>
      </c>
      <c r="AD468" t="s">
        <v>74</v>
      </c>
      <c r="AE468" t="s">
        <v>74</v>
      </c>
      <c r="AF468" t="s">
        <v>74</v>
      </c>
      <c r="AG468">
        <v>54</v>
      </c>
      <c r="AH468">
        <v>18</v>
      </c>
      <c r="AI468">
        <v>21</v>
      </c>
      <c r="AJ468">
        <v>0</v>
      </c>
      <c r="AK468">
        <v>9</v>
      </c>
      <c r="AL468" t="s">
        <v>1167</v>
      </c>
      <c r="AM468" t="s">
        <v>1168</v>
      </c>
      <c r="AN468" t="s">
        <v>1169</v>
      </c>
      <c r="AO468" t="s">
        <v>1098</v>
      </c>
      <c r="AP468" t="s">
        <v>1121</v>
      </c>
      <c r="AQ468" t="s">
        <v>74</v>
      </c>
      <c r="AR468" t="s">
        <v>1099</v>
      </c>
      <c r="AS468" t="s">
        <v>1100</v>
      </c>
      <c r="AT468" t="s">
        <v>8540</v>
      </c>
      <c r="AU468">
        <v>2009</v>
      </c>
      <c r="AV468">
        <v>41</v>
      </c>
      <c r="AW468">
        <v>1</v>
      </c>
      <c r="AX468" t="s">
        <v>74</v>
      </c>
      <c r="AY468" t="s">
        <v>74</v>
      </c>
      <c r="AZ468" t="s">
        <v>74</v>
      </c>
      <c r="BA468" t="s">
        <v>74</v>
      </c>
      <c r="BB468">
        <v>79</v>
      </c>
      <c r="BC468">
        <v>87</v>
      </c>
      <c r="BD468" t="s">
        <v>74</v>
      </c>
      <c r="BE468" t="s">
        <v>8799</v>
      </c>
      <c r="BF468" t="str">
        <f>HYPERLINK("http://dx.doi.org/10.1657/1938-4246(08-017)[STRELETSKAYA]2.0.CO;2","http://dx.doi.org/10.1657/1938-4246(08-017)[STRELETSKAYA]2.0.CO;2")</f>
        <v>http://dx.doi.org/10.1657/1938-4246(08-017)[STRELETSKAYA]2.0.CO;2</v>
      </c>
      <c r="BG468" t="s">
        <v>74</v>
      </c>
      <c r="BH468" t="s">
        <v>74</v>
      </c>
      <c r="BI468">
        <v>9</v>
      </c>
      <c r="BJ468" t="s">
        <v>1102</v>
      </c>
      <c r="BK468" t="s">
        <v>1453</v>
      </c>
      <c r="BL468" t="s">
        <v>1104</v>
      </c>
      <c r="BM468" t="s">
        <v>8715</v>
      </c>
      <c r="BN468" t="s">
        <v>74</v>
      </c>
      <c r="BO468" t="s">
        <v>1106</v>
      </c>
      <c r="BP468" t="s">
        <v>74</v>
      </c>
      <c r="BQ468" t="s">
        <v>74</v>
      </c>
      <c r="BR468" t="s">
        <v>103</v>
      </c>
      <c r="BS468" t="s">
        <v>8800</v>
      </c>
      <c r="BT468" t="str">
        <f>HYPERLINK("https%3A%2F%2Fwww.webofscience.com%2Fwos%2Fwoscc%2Ffull-record%2FWOS:000263313000008","View Full Record in Web of Science")</f>
        <v>View Full Record in Web of Science</v>
      </c>
    </row>
    <row r="469" spans="1:72" x14ac:dyDescent="0.15">
      <c r="A469" t="s">
        <v>72</v>
      </c>
      <c r="B469" t="s">
        <v>8801</v>
      </c>
      <c r="C469" t="s">
        <v>74</v>
      </c>
      <c r="D469" t="s">
        <v>74</v>
      </c>
      <c r="E469" t="s">
        <v>74</v>
      </c>
      <c r="F469" t="s">
        <v>8802</v>
      </c>
      <c r="G469" t="s">
        <v>74</v>
      </c>
      <c r="H469" t="s">
        <v>74</v>
      </c>
      <c r="I469" t="s">
        <v>8803</v>
      </c>
      <c r="J469" t="s">
        <v>1083</v>
      </c>
      <c r="K469" t="s">
        <v>74</v>
      </c>
      <c r="L469" t="s">
        <v>74</v>
      </c>
      <c r="M469" t="s">
        <v>78</v>
      </c>
      <c r="N469" t="s">
        <v>1437</v>
      </c>
      <c r="O469" t="s">
        <v>8720</v>
      </c>
      <c r="P469" t="s">
        <v>8721</v>
      </c>
      <c r="Q469" t="s">
        <v>8722</v>
      </c>
      <c r="R469" t="s">
        <v>74</v>
      </c>
      <c r="S469" t="s">
        <v>74</v>
      </c>
      <c r="T469" t="s">
        <v>74</v>
      </c>
      <c r="U469" t="s">
        <v>8804</v>
      </c>
      <c r="V469" t="s">
        <v>8805</v>
      </c>
      <c r="W469" t="s">
        <v>8806</v>
      </c>
      <c r="X469" t="s">
        <v>8807</v>
      </c>
      <c r="Y469" t="s">
        <v>8808</v>
      </c>
      <c r="Z469" t="s">
        <v>8809</v>
      </c>
      <c r="AA469" t="s">
        <v>8810</v>
      </c>
      <c r="AB469" t="s">
        <v>8811</v>
      </c>
      <c r="AC469" t="s">
        <v>74</v>
      </c>
      <c r="AD469" t="s">
        <v>74</v>
      </c>
      <c r="AE469" t="s">
        <v>74</v>
      </c>
      <c r="AF469" t="s">
        <v>74</v>
      </c>
      <c r="AG469">
        <v>58</v>
      </c>
      <c r="AH469">
        <v>34</v>
      </c>
      <c r="AI469">
        <v>40</v>
      </c>
      <c r="AJ469">
        <v>0</v>
      </c>
      <c r="AK469">
        <v>31</v>
      </c>
      <c r="AL469" t="s">
        <v>1095</v>
      </c>
      <c r="AM469" t="s">
        <v>1096</v>
      </c>
      <c r="AN469" t="s">
        <v>1097</v>
      </c>
      <c r="AO469" t="s">
        <v>1098</v>
      </c>
      <c r="AP469" t="s">
        <v>1121</v>
      </c>
      <c r="AQ469" t="s">
        <v>74</v>
      </c>
      <c r="AR469" t="s">
        <v>1099</v>
      </c>
      <c r="AS469" t="s">
        <v>1100</v>
      </c>
      <c r="AT469" t="s">
        <v>8540</v>
      </c>
      <c r="AU469">
        <v>2009</v>
      </c>
      <c r="AV469">
        <v>41</v>
      </c>
      <c r="AW469">
        <v>1</v>
      </c>
      <c r="AX469" t="s">
        <v>74</v>
      </c>
      <c r="AY469" t="s">
        <v>74</v>
      </c>
      <c r="AZ469" t="s">
        <v>74</v>
      </c>
      <c r="BA469" t="s">
        <v>74</v>
      </c>
      <c r="BB469">
        <v>88</v>
      </c>
      <c r="BC469">
        <v>96</v>
      </c>
      <c r="BD469" t="s">
        <v>74</v>
      </c>
      <c r="BE469" t="s">
        <v>8812</v>
      </c>
      <c r="BF469" t="str">
        <f>HYPERLINK("http://dx.doi.org/10.1657/1938-4246(07-100)[BJORKVOLL]2.0.CO;2","http://dx.doi.org/10.1657/1938-4246(07-100)[BJORKVOLL]2.0.CO;2")</f>
        <v>http://dx.doi.org/10.1657/1938-4246(07-100)[BJORKVOLL]2.0.CO;2</v>
      </c>
      <c r="BG469" t="s">
        <v>74</v>
      </c>
      <c r="BH469" t="s">
        <v>74</v>
      </c>
      <c r="BI469">
        <v>9</v>
      </c>
      <c r="BJ469" t="s">
        <v>1102</v>
      </c>
      <c r="BK469" t="s">
        <v>1453</v>
      </c>
      <c r="BL469" t="s">
        <v>1104</v>
      </c>
      <c r="BM469" t="s">
        <v>8715</v>
      </c>
      <c r="BN469" t="s">
        <v>74</v>
      </c>
      <c r="BO469" t="s">
        <v>74</v>
      </c>
      <c r="BP469" t="s">
        <v>74</v>
      </c>
      <c r="BQ469" t="s">
        <v>74</v>
      </c>
      <c r="BR469" t="s">
        <v>103</v>
      </c>
      <c r="BS469" t="s">
        <v>8813</v>
      </c>
      <c r="BT469" t="str">
        <f>HYPERLINK("https%3A%2F%2Fwww.webofscience.com%2Fwos%2Fwoscc%2Ffull-record%2FWOS:000263313000009","View Full Record in Web of Science")</f>
        <v>View Full Record in Web of Science</v>
      </c>
    </row>
    <row r="470" spans="1:72" x14ac:dyDescent="0.15">
      <c r="A470" t="s">
        <v>72</v>
      </c>
      <c r="B470" t="s">
        <v>8814</v>
      </c>
      <c r="C470" t="s">
        <v>74</v>
      </c>
      <c r="D470" t="s">
        <v>74</v>
      </c>
      <c r="E470" t="s">
        <v>74</v>
      </c>
      <c r="F470" t="s">
        <v>8815</v>
      </c>
      <c r="G470" t="s">
        <v>74</v>
      </c>
      <c r="H470" t="s">
        <v>74</v>
      </c>
      <c r="I470" t="s">
        <v>8816</v>
      </c>
      <c r="J470" t="s">
        <v>1083</v>
      </c>
      <c r="K470" t="s">
        <v>74</v>
      </c>
      <c r="L470" t="s">
        <v>74</v>
      </c>
      <c r="M470" t="s">
        <v>78</v>
      </c>
      <c r="N470" t="s">
        <v>1437</v>
      </c>
      <c r="O470" t="s">
        <v>8720</v>
      </c>
      <c r="P470" t="s">
        <v>8721</v>
      </c>
      <c r="Q470" t="s">
        <v>8722</v>
      </c>
      <c r="R470" t="s">
        <v>74</v>
      </c>
      <c r="S470" t="s">
        <v>74</v>
      </c>
      <c r="T470" t="s">
        <v>74</v>
      </c>
      <c r="U470" t="s">
        <v>8817</v>
      </c>
      <c r="V470" t="s">
        <v>8818</v>
      </c>
      <c r="W470" t="s">
        <v>8819</v>
      </c>
      <c r="X470" t="s">
        <v>8820</v>
      </c>
      <c r="Y470" t="s">
        <v>8821</v>
      </c>
      <c r="Z470" t="s">
        <v>8822</v>
      </c>
      <c r="AA470" t="s">
        <v>74</v>
      </c>
      <c r="AB470" t="s">
        <v>74</v>
      </c>
      <c r="AC470" t="s">
        <v>74</v>
      </c>
      <c r="AD470" t="s">
        <v>74</v>
      </c>
      <c r="AE470" t="s">
        <v>74</v>
      </c>
      <c r="AF470" t="s">
        <v>74</v>
      </c>
      <c r="AG470">
        <v>32</v>
      </c>
      <c r="AH470">
        <v>15</v>
      </c>
      <c r="AI470">
        <v>17</v>
      </c>
      <c r="AJ470">
        <v>2</v>
      </c>
      <c r="AK470">
        <v>23</v>
      </c>
      <c r="AL470" t="s">
        <v>1167</v>
      </c>
      <c r="AM470" t="s">
        <v>1168</v>
      </c>
      <c r="AN470" t="s">
        <v>1169</v>
      </c>
      <c r="AO470" t="s">
        <v>1098</v>
      </c>
      <c r="AP470" t="s">
        <v>1121</v>
      </c>
      <c r="AQ470" t="s">
        <v>74</v>
      </c>
      <c r="AR470" t="s">
        <v>1099</v>
      </c>
      <c r="AS470" t="s">
        <v>1100</v>
      </c>
      <c r="AT470" t="s">
        <v>8540</v>
      </c>
      <c r="AU470">
        <v>2009</v>
      </c>
      <c r="AV470">
        <v>41</v>
      </c>
      <c r="AW470">
        <v>1</v>
      </c>
      <c r="AX470" t="s">
        <v>74</v>
      </c>
      <c r="AY470" t="s">
        <v>74</v>
      </c>
      <c r="AZ470" t="s">
        <v>74</v>
      </c>
      <c r="BA470" t="s">
        <v>74</v>
      </c>
      <c r="BB470">
        <v>97</v>
      </c>
      <c r="BC470">
        <v>102</v>
      </c>
      <c r="BD470" t="s">
        <v>74</v>
      </c>
      <c r="BE470" t="s">
        <v>8823</v>
      </c>
      <c r="BF470" t="str">
        <f>HYPERLINK("http://dx.doi.org/10.1657/1938-4246(08-014)[DU]2.0.CO;2","http://dx.doi.org/10.1657/1938-4246(08-014)[DU]2.0.CO;2")</f>
        <v>http://dx.doi.org/10.1657/1938-4246(08-014)[DU]2.0.CO;2</v>
      </c>
      <c r="BG470" t="s">
        <v>74</v>
      </c>
      <c r="BH470" t="s">
        <v>74</v>
      </c>
      <c r="BI470">
        <v>6</v>
      </c>
      <c r="BJ470" t="s">
        <v>1102</v>
      </c>
      <c r="BK470" t="s">
        <v>1453</v>
      </c>
      <c r="BL470" t="s">
        <v>1104</v>
      </c>
      <c r="BM470" t="s">
        <v>8715</v>
      </c>
      <c r="BN470" t="s">
        <v>74</v>
      </c>
      <c r="BO470" t="s">
        <v>1036</v>
      </c>
      <c r="BP470" t="s">
        <v>74</v>
      </c>
      <c r="BQ470" t="s">
        <v>74</v>
      </c>
      <c r="BR470" t="s">
        <v>103</v>
      </c>
      <c r="BS470" t="s">
        <v>8824</v>
      </c>
      <c r="BT470" t="str">
        <f>HYPERLINK("https%3A%2F%2Fwww.webofscience.com%2Fwos%2Fwoscc%2Ffull-record%2FWOS:000263313000010","View Full Record in Web of Science")</f>
        <v>View Full Record in Web of Science</v>
      </c>
    </row>
    <row r="471" spans="1:72" x14ac:dyDescent="0.15">
      <c r="A471" t="s">
        <v>72</v>
      </c>
      <c r="B471" t="s">
        <v>8825</v>
      </c>
      <c r="C471" t="s">
        <v>74</v>
      </c>
      <c r="D471" t="s">
        <v>74</v>
      </c>
      <c r="E471" t="s">
        <v>74</v>
      </c>
      <c r="F471" t="s">
        <v>8826</v>
      </c>
      <c r="G471" t="s">
        <v>74</v>
      </c>
      <c r="H471" t="s">
        <v>74</v>
      </c>
      <c r="I471" t="s">
        <v>8827</v>
      </c>
      <c r="J471" t="s">
        <v>1083</v>
      </c>
      <c r="K471" t="s">
        <v>74</v>
      </c>
      <c r="L471" t="s">
        <v>74</v>
      </c>
      <c r="M471" t="s">
        <v>78</v>
      </c>
      <c r="N471" t="s">
        <v>1437</v>
      </c>
      <c r="O471" t="s">
        <v>8720</v>
      </c>
      <c r="P471" t="s">
        <v>8721</v>
      </c>
      <c r="Q471" t="s">
        <v>8722</v>
      </c>
      <c r="R471" t="s">
        <v>74</v>
      </c>
      <c r="S471" t="s">
        <v>74</v>
      </c>
      <c r="T471" t="s">
        <v>74</v>
      </c>
      <c r="U471" t="s">
        <v>8828</v>
      </c>
      <c r="V471" t="s">
        <v>8829</v>
      </c>
      <c r="W471" t="s">
        <v>8830</v>
      </c>
      <c r="X471" t="s">
        <v>8831</v>
      </c>
      <c r="Y471" t="s">
        <v>8832</v>
      </c>
      <c r="Z471" t="s">
        <v>8833</v>
      </c>
      <c r="AA471" t="s">
        <v>8834</v>
      </c>
      <c r="AB471" t="s">
        <v>74</v>
      </c>
      <c r="AC471" t="s">
        <v>74</v>
      </c>
      <c r="AD471" t="s">
        <v>74</v>
      </c>
      <c r="AE471" t="s">
        <v>74</v>
      </c>
      <c r="AF471" t="s">
        <v>74</v>
      </c>
      <c r="AG471">
        <v>62</v>
      </c>
      <c r="AH471">
        <v>98</v>
      </c>
      <c r="AI471">
        <v>107</v>
      </c>
      <c r="AJ471">
        <v>1</v>
      </c>
      <c r="AK471">
        <v>71</v>
      </c>
      <c r="AL471" t="s">
        <v>1167</v>
      </c>
      <c r="AM471" t="s">
        <v>1168</v>
      </c>
      <c r="AN471" t="s">
        <v>1169</v>
      </c>
      <c r="AO471" t="s">
        <v>1098</v>
      </c>
      <c r="AP471" t="s">
        <v>1121</v>
      </c>
      <c r="AQ471" t="s">
        <v>74</v>
      </c>
      <c r="AR471" t="s">
        <v>1099</v>
      </c>
      <c r="AS471" t="s">
        <v>1100</v>
      </c>
      <c r="AT471" t="s">
        <v>8540</v>
      </c>
      <c r="AU471">
        <v>2009</v>
      </c>
      <c r="AV471">
        <v>41</v>
      </c>
      <c r="AW471">
        <v>1</v>
      </c>
      <c r="AX471" t="s">
        <v>74</v>
      </c>
      <c r="AY471" t="s">
        <v>74</v>
      </c>
      <c r="AZ471" t="s">
        <v>74</v>
      </c>
      <c r="BA471" t="s">
        <v>74</v>
      </c>
      <c r="BB471">
        <v>103</v>
      </c>
      <c r="BC471">
        <v>111</v>
      </c>
      <c r="BD471" t="s">
        <v>74</v>
      </c>
      <c r="BE471" t="s">
        <v>8835</v>
      </c>
      <c r="BF471" t="str">
        <f>HYPERLINK("http://dx.doi.org/10.1657/1938-4246(08-028)[GARCIA-CAMACHO]2.0.CO;2","http://dx.doi.org/10.1657/1938-4246(08-028)[GARCIA-CAMACHO]2.0.CO;2")</f>
        <v>http://dx.doi.org/10.1657/1938-4246(08-028)[GARCIA-CAMACHO]2.0.CO;2</v>
      </c>
      <c r="BG471" t="s">
        <v>74</v>
      </c>
      <c r="BH471" t="s">
        <v>74</v>
      </c>
      <c r="BI471">
        <v>9</v>
      </c>
      <c r="BJ471" t="s">
        <v>1102</v>
      </c>
      <c r="BK471" t="s">
        <v>1453</v>
      </c>
      <c r="BL471" t="s">
        <v>1104</v>
      </c>
      <c r="BM471" t="s">
        <v>8715</v>
      </c>
      <c r="BN471" t="s">
        <v>74</v>
      </c>
      <c r="BO471" t="s">
        <v>1036</v>
      </c>
      <c r="BP471" t="s">
        <v>74</v>
      </c>
      <c r="BQ471" t="s">
        <v>74</v>
      </c>
      <c r="BR471" t="s">
        <v>103</v>
      </c>
      <c r="BS471" t="s">
        <v>8836</v>
      </c>
      <c r="BT471" t="str">
        <f>HYPERLINK("https%3A%2F%2Fwww.webofscience.com%2Fwos%2Fwoscc%2Ffull-record%2FWOS:000263313000011","View Full Record in Web of Science")</f>
        <v>View Full Record in Web of Science</v>
      </c>
    </row>
    <row r="472" spans="1:72" x14ac:dyDescent="0.15">
      <c r="A472" t="s">
        <v>72</v>
      </c>
      <c r="B472" t="s">
        <v>8837</v>
      </c>
      <c r="C472" t="s">
        <v>74</v>
      </c>
      <c r="D472" t="s">
        <v>74</v>
      </c>
      <c r="E472" t="s">
        <v>74</v>
      </c>
      <c r="F472" t="s">
        <v>8838</v>
      </c>
      <c r="G472" t="s">
        <v>74</v>
      </c>
      <c r="H472" t="s">
        <v>74</v>
      </c>
      <c r="I472" t="s">
        <v>8839</v>
      </c>
      <c r="J472" t="s">
        <v>1083</v>
      </c>
      <c r="K472" t="s">
        <v>74</v>
      </c>
      <c r="L472" t="s">
        <v>74</v>
      </c>
      <c r="M472" t="s">
        <v>78</v>
      </c>
      <c r="N472" t="s">
        <v>1437</v>
      </c>
      <c r="O472" t="s">
        <v>8720</v>
      </c>
      <c r="P472" t="s">
        <v>8721</v>
      </c>
      <c r="Q472" t="s">
        <v>8722</v>
      </c>
      <c r="R472" t="s">
        <v>74</v>
      </c>
      <c r="S472" t="s">
        <v>74</v>
      </c>
      <c r="T472" t="s">
        <v>74</v>
      </c>
      <c r="U472" t="s">
        <v>8840</v>
      </c>
      <c r="V472" t="s">
        <v>8841</v>
      </c>
      <c r="W472" t="s">
        <v>8842</v>
      </c>
      <c r="X472" t="s">
        <v>8843</v>
      </c>
      <c r="Y472" t="s">
        <v>8844</v>
      </c>
      <c r="Z472" t="s">
        <v>8845</v>
      </c>
      <c r="AA472" t="s">
        <v>8846</v>
      </c>
      <c r="AB472" t="s">
        <v>8847</v>
      </c>
      <c r="AC472" t="s">
        <v>74</v>
      </c>
      <c r="AD472" t="s">
        <v>74</v>
      </c>
      <c r="AE472" t="s">
        <v>74</v>
      </c>
      <c r="AF472" t="s">
        <v>74</v>
      </c>
      <c r="AG472">
        <v>34</v>
      </c>
      <c r="AH472">
        <v>29</v>
      </c>
      <c r="AI472">
        <v>34</v>
      </c>
      <c r="AJ472">
        <v>0</v>
      </c>
      <c r="AK472">
        <v>26</v>
      </c>
      <c r="AL472" t="s">
        <v>1095</v>
      </c>
      <c r="AM472" t="s">
        <v>1096</v>
      </c>
      <c r="AN472" t="s">
        <v>1097</v>
      </c>
      <c r="AO472" t="s">
        <v>1098</v>
      </c>
      <c r="AP472" t="s">
        <v>1121</v>
      </c>
      <c r="AQ472" t="s">
        <v>74</v>
      </c>
      <c r="AR472" t="s">
        <v>1099</v>
      </c>
      <c r="AS472" t="s">
        <v>1100</v>
      </c>
      <c r="AT472" t="s">
        <v>8540</v>
      </c>
      <c r="AU472">
        <v>2009</v>
      </c>
      <c r="AV472">
        <v>41</v>
      </c>
      <c r="AW472">
        <v>1</v>
      </c>
      <c r="AX472" t="s">
        <v>74</v>
      </c>
      <c r="AY472" t="s">
        <v>74</v>
      </c>
      <c r="AZ472" t="s">
        <v>74</v>
      </c>
      <c r="BA472" t="s">
        <v>74</v>
      </c>
      <c r="BB472">
        <v>112</v>
      </c>
      <c r="BC472">
        <v>118</v>
      </c>
      <c r="BD472" t="s">
        <v>74</v>
      </c>
      <c r="BE472" t="s">
        <v>8848</v>
      </c>
      <c r="BF472" t="str">
        <f>HYPERLINK("http://dx.doi.org/10.1657/1938-4246(08-021)[HUGHES]2.0.CO;2","http://dx.doi.org/10.1657/1938-4246(08-021)[HUGHES]2.0.CO;2")</f>
        <v>http://dx.doi.org/10.1657/1938-4246(08-021)[HUGHES]2.0.CO;2</v>
      </c>
      <c r="BG472" t="s">
        <v>74</v>
      </c>
      <c r="BH472" t="s">
        <v>74</v>
      </c>
      <c r="BI472">
        <v>7</v>
      </c>
      <c r="BJ472" t="s">
        <v>1102</v>
      </c>
      <c r="BK472" t="s">
        <v>1453</v>
      </c>
      <c r="BL472" t="s">
        <v>1104</v>
      </c>
      <c r="BM472" t="s">
        <v>8715</v>
      </c>
      <c r="BN472" t="s">
        <v>74</v>
      </c>
      <c r="BO472" t="s">
        <v>1106</v>
      </c>
      <c r="BP472" t="s">
        <v>74</v>
      </c>
      <c r="BQ472" t="s">
        <v>74</v>
      </c>
      <c r="BR472" t="s">
        <v>103</v>
      </c>
      <c r="BS472" t="s">
        <v>8849</v>
      </c>
      <c r="BT472" t="str">
        <f>HYPERLINK("https%3A%2F%2Fwww.webofscience.com%2Fwos%2Fwoscc%2Ffull-record%2FWOS:000263313000012","View Full Record in Web of Science")</f>
        <v>View Full Record in Web of Science</v>
      </c>
    </row>
    <row r="473" spans="1:72" x14ac:dyDescent="0.15">
      <c r="A473" t="s">
        <v>72</v>
      </c>
      <c r="B473" t="s">
        <v>8850</v>
      </c>
      <c r="C473" t="s">
        <v>74</v>
      </c>
      <c r="D473" t="s">
        <v>74</v>
      </c>
      <c r="E473" t="s">
        <v>74</v>
      </c>
      <c r="F473" t="s">
        <v>8851</v>
      </c>
      <c r="G473" t="s">
        <v>74</v>
      </c>
      <c r="H473" t="s">
        <v>74</v>
      </c>
      <c r="I473" t="s">
        <v>8852</v>
      </c>
      <c r="J473" t="s">
        <v>1083</v>
      </c>
      <c r="K473" t="s">
        <v>74</v>
      </c>
      <c r="L473" t="s">
        <v>74</v>
      </c>
      <c r="M473" t="s">
        <v>78</v>
      </c>
      <c r="N473" t="s">
        <v>1437</v>
      </c>
      <c r="O473" t="s">
        <v>8720</v>
      </c>
      <c r="P473" t="s">
        <v>8721</v>
      </c>
      <c r="Q473" t="s">
        <v>8722</v>
      </c>
      <c r="R473" t="s">
        <v>74</v>
      </c>
      <c r="S473" t="s">
        <v>74</v>
      </c>
      <c r="T473" t="s">
        <v>74</v>
      </c>
      <c r="U473" t="s">
        <v>8853</v>
      </c>
      <c r="V473" t="s">
        <v>8854</v>
      </c>
      <c r="W473" t="s">
        <v>8855</v>
      </c>
      <c r="X473" t="s">
        <v>8856</v>
      </c>
      <c r="Y473" t="s">
        <v>8857</v>
      </c>
      <c r="Z473" t="s">
        <v>8858</v>
      </c>
      <c r="AA473" t="s">
        <v>74</v>
      </c>
      <c r="AB473" t="s">
        <v>74</v>
      </c>
      <c r="AC473" t="s">
        <v>74</v>
      </c>
      <c r="AD473" t="s">
        <v>74</v>
      </c>
      <c r="AE473" t="s">
        <v>74</v>
      </c>
      <c r="AF473" t="s">
        <v>74</v>
      </c>
      <c r="AG473">
        <v>43</v>
      </c>
      <c r="AH473">
        <v>17</v>
      </c>
      <c r="AI473">
        <v>21</v>
      </c>
      <c r="AJ473">
        <v>1</v>
      </c>
      <c r="AK473">
        <v>26</v>
      </c>
      <c r="AL473" t="s">
        <v>1095</v>
      </c>
      <c r="AM473" t="s">
        <v>1096</v>
      </c>
      <c r="AN473" t="s">
        <v>1097</v>
      </c>
      <c r="AO473" t="s">
        <v>1098</v>
      </c>
      <c r="AP473" t="s">
        <v>74</v>
      </c>
      <c r="AQ473" t="s">
        <v>74</v>
      </c>
      <c r="AR473" t="s">
        <v>1099</v>
      </c>
      <c r="AS473" t="s">
        <v>1100</v>
      </c>
      <c r="AT473" t="s">
        <v>8540</v>
      </c>
      <c r="AU473">
        <v>2009</v>
      </c>
      <c r="AV473">
        <v>41</v>
      </c>
      <c r="AW473">
        <v>1</v>
      </c>
      <c r="AX473" t="s">
        <v>74</v>
      </c>
      <c r="AY473" t="s">
        <v>74</v>
      </c>
      <c r="AZ473" t="s">
        <v>74</v>
      </c>
      <c r="BA473" t="s">
        <v>74</v>
      </c>
      <c r="BB473">
        <v>119</v>
      </c>
      <c r="BC473">
        <v>127</v>
      </c>
      <c r="BD473" t="s">
        <v>74</v>
      </c>
      <c r="BE473" t="s">
        <v>8859</v>
      </c>
      <c r="BF473" t="str">
        <f>HYPERLINK("http://dx.doi.org/10.1657/1938-4246(07-080)[KELLEY]2.0.CO;2","http://dx.doi.org/10.1657/1938-4246(07-080)[KELLEY]2.0.CO;2")</f>
        <v>http://dx.doi.org/10.1657/1938-4246(07-080)[KELLEY]2.0.CO;2</v>
      </c>
      <c r="BG473" t="s">
        <v>74</v>
      </c>
      <c r="BH473" t="s">
        <v>74</v>
      </c>
      <c r="BI473">
        <v>9</v>
      </c>
      <c r="BJ473" t="s">
        <v>1102</v>
      </c>
      <c r="BK473" t="s">
        <v>1453</v>
      </c>
      <c r="BL473" t="s">
        <v>1104</v>
      </c>
      <c r="BM473" t="s">
        <v>8715</v>
      </c>
      <c r="BN473" t="s">
        <v>74</v>
      </c>
      <c r="BO473" t="s">
        <v>1106</v>
      </c>
      <c r="BP473" t="s">
        <v>74</v>
      </c>
      <c r="BQ473" t="s">
        <v>74</v>
      </c>
      <c r="BR473" t="s">
        <v>103</v>
      </c>
      <c r="BS473" t="s">
        <v>8860</v>
      </c>
      <c r="BT473" t="str">
        <f>HYPERLINK("https%3A%2F%2Fwww.webofscience.com%2Fwos%2Fwoscc%2Ffull-record%2FWOS:000263313000013","View Full Record in Web of Science")</f>
        <v>View Full Record in Web of Science</v>
      </c>
    </row>
    <row r="474" spans="1:72" x14ac:dyDescent="0.15">
      <c r="A474" t="s">
        <v>72</v>
      </c>
      <c r="B474" t="s">
        <v>8861</v>
      </c>
      <c r="C474" t="s">
        <v>74</v>
      </c>
      <c r="D474" t="s">
        <v>74</v>
      </c>
      <c r="E474" t="s">
        <v>74</v>
      </c>
      <c r="F474" t="s">
        <v>8862</v>
      </c>
      <c r="G474" t="s">
        <v>74</v>
      </c>
      <c r="H474" t="s">
        <v>74</v>
      </c>
      <c r="I474" t="s">
        <v>8863</v>
      </c>
      <c r="J474" t="s">
        <v>1083</v>
      </c>
      <c r="K474" t="s">
        <v>74</v>
      </c>
      <c r="L474" t="s">
        <v>74</v>
      </c>
      <c r="M474" t="s">
        <v>78</v>
      </c>
      <c r="N474" t="s">
        <v>1437</v>
      </c>
      <c r="O474" t="s">
        <v>8720</v>
      </c>
      <c r="P474" t="s">
        <v>8721</v>
      </c>
      <c r="Q474" t="s">
        <v>8722</v>
      </c>
      <c r="R474" t="s">
        <v>74</v>
      </c>
      <c r="S474" t="s">
        <v>74</v>
      </c>
      <c r="T474" t="s">
        <v>74</v>
      </c>
      <c r="U474" t="s">
        <v>8864</v>
      </c>
      <c r="V474" t="s">
        <v>8865</v>
      </c>
      <c r="W474" t="s">
        <v>8866</v>
      </c>
      <c r="X474" t="s">
        <v>8867</v>
      </c>
      <c r="Y474" t="s">
        <v>8868</v>
      </c>
      <c r="Z474" t="s">
        <v>8869</v>
      </c>
      <c r="AA474" t="s">
        <v>74</v>
      </c>
      <c r="AB474" t="s">
        <v>74</v>
      </c>
      <c r="AC474" t="s">
        <v>74</v>
      </c>
      <c r="AD474" t="s">
        <v>74</v>
      </c>
      <c r="AE474" t="s">
        <v>74</v>
      </c>
      <c r="AF474" t="s">
        <v>74</v>
      </c>
      <c r="AG474">
        <v>75</v>
      </c>
      <c r="AH474">
        <v>16</v>
      </c>
      <c r="AI474">
        <v>17</v>
      </c>
      <c r="AJ474">
        <v>0</v>
      </c>
      <c r="AK474">
        <v>13</v>
      </c>
      <c r="AL474" t="s">
        <v>1167</v>
      </c>
      <c r="AM474" t="s">
        <v>1168</v>
      </c>
      <c r="AN474" t="s">
        <v>1169</v>
      </c>
      <c r="AO474" t="s">
        <v>1098</v>
      </c>
      <c r="AP474" t="s">
        <v>1121</v>
      </c>
      <c r="AQ474" t="s">
        <v>74</v>
      </c>
      <c r="AR474" t="s">
        <v>1099</v>
      </c>
      <c r="AS474" t="s">
        <v>1100</v>
      </c>
      <c r="AT474" t="s">
        <v>8540</v>
      </c>
      <c r="AU474">
        <v>2009</v>
      </c>
      <c r="AV474">
        <v>41</v>
      </c>
      <c r="AW474">
        <v>1</v>
      </c>
      <c r="AX474" t="s">
        <v>74</v>
      </c>
      <c r="AY474" t="s">
        <v>74</v>
      </c>
      <c r="AZ474" t="s">
        <v>74</v>
      </c>
      <c r="BA474" t="s">
        <v>74</v>
      </c>
      <c r="BB474">
        <v>128</v>
      </c>
      <c r="BC474">
        <v>137</v>
      </c>
      <c r="BD474" t="s">
        <v>74</v>
      </c>
      <c r="BE474" t="s">
        <v>8870</v>
      </c>
      <c r="BF474" t="str">
        <f>HYPERLINK("http://dx.doi.org/10.1657/1938-4246(07-065)[PRINCIPATO]2.0.CO;2","http://dx.doi.org/10.1657/1938-4246(07-065)[PRINCIPATO]2.0.CO;2")</f>
        <v>http://dx.doi.org/10.1657/1938-4246(07-065)[PRINCIPATO]2.0.CO;2</v>
      </c>
      <c r="BG474" t="s">
        <v>74</v>
      </c>
      <c r="BH474" t="s">
        <v>74</v>
      </c>
      <c r="BI474">
        <v>10</v>
      </c>
      <c r="BJ474" t="s">
        <v>1102</v>
      </c>
      <c r="BK474" t="s">
        <v>1453</v>
      </c>
      <c r="BL474" t="s">
        <v>1104</v>
      </c>
      <c r="BM474" t="s">
        <v>8715</v>
      </c>
      <c r="BN474" t="s">
        <v>74</v>
      </c>
      <c r="BO474" t="s">
        <v>1106</v>
      </c>
      <c r="BP474" t="s">
        <v>74</v>
      </c>
      <c r="BQ474" t="s">
        <v>74</v>
      </c>
      <c r="BR474" t="s">
        <v>103</v>
      </c>
      <c r="BS474" t="s">
        <v>8871</v>
      </c>
      <c r="BT474" t="str">
        <f>HYPERLINK("https%3A%2F%2Fwww.webofscience.com%2Fwos%2Fwoscc%2Ffull-record%2FWOS:000263313000014","View Full Record in Web of Science")</f>
        <v>View Full Record in Web of Science</v>
      </c>
    </row>
    <row r="475" spans="1:72" x14ac:dyDescent="0.15">
      <c r="A475" t="s">
        <v>72</v>
      </c>
      <c r="B475" t="s">
        <v>8872</v>
      </c>
      <c r="C475" t="s">
        <v>74</v>
      </c>
      <c r="D475" t="s">
        <v>74</v>
      </c>
      <c r="E475" t="s">
        <v>74</v>
      </c>
      <c r="F475" t="s">
        <v>8873</v>
      </c>
      <c r="G475" t="s">
        <v>74</v>
      </c>
      <c r="H475" t="s">
        <v>74</v>
      </c>
      <c r="I475" t="s">
        <v>8874</v>
      </c>
      <c r="J475" t="s">
        <v>1083</v>
      </c>
      <c r="K475" t="s">
        <v>74</v>
      </c>
      <c r="L475" t="s">
        <v>74</v>
      </c>
      <c r="M475" t="s">
        <v>78</v>
      </c>
      <c r="N475" t="s">
        <v>1437</v>
      </c>
      <c r="O475" t="s">
        <v>8720</v>
      </c>
      <c r="P475" t="s">
        <v>8721</v>
      </c>
      <c r="Q475" t="s">
        <v>8722</v>
      </c>
      <c r="R475" t="s">
        <v>74</v>
      </c>
      <c r="S475" t="s">
        <v>74</v>
      </c>
      <c r="T475" t="s">
        <v>74</v>
      </c>
      <c r="U475" t="s">
        <v>8875</v>
      </c>
      <c r="V475" t="s">
        <v>8876</v>
      </c>
      <c r="W475" t="s">
        <v>8877</v>
      </c>
      <c r="X475" t="s">
        <v>8878</v>
      </c>
      <c r="Y475" t="s">
        <v>8879</v>
      </c>
      <c r="Z475" t="s">
        <v>8880</v>
      </c>
      <c r="AA475" t="s">
        <v>8881</v>
      </c>
      <c r="AB475" t="s">
        <v>74</v>
      </c>
      <c r="AC475" t="s">
        <v>74</v>
      </c>
      <c r="AD475" t="s">
        <v>74</v>
      </c>
      <c r="AE475" t="s">
        <v>74</v>
      </c>
      <c r="AF475" t="s">
        <v>74</v>
      </c>
      <c r="AG475">
        <v>58</v>
      </c>
      <c r="AH475">
        <v>20</v>
      </c>
      <c r="AI475">
        <v>33</v>
      </c>
      <c r="AJ475">
        <v>0</v>
      </c>
      <c r="AK475">
        <v>12</v>
      </c>
      <c r="AL475" t="s">
        <v>1167</v>
      </c>
      <c r="AM475" t="s">
        <v>1168</v>
      </c>
      <c r="AN475" t="s">
        <v>1169</v>
      </c>
      <c r="AO475" t="s">
        <v>1098</v>
      </c>
      <c r="AP475" t="s">
        <v>1121</v>
      </c>
      <c r="AQ475" t="s">
        <v>74</v>
      </c>
      <c r="AR475" t="s">
        <v>1099</v>
      </c>
      <c r="AS475" t="s">
        <v>1100</v>
      </c>
      <c r="AT475" t="s">
        <v>8540</v>
      </c>
      <c r="AU475">
        <v>2009</v>
      </c>
      <c r="AV475">
        <v>41</v>
      </c>
      <c r="AW475">
        <v>1</v>
      </c>
      <c r="AX475" t="s">
        <v>74</v>
      </c>
      <c r="AY475" t="s">
        <v>74</v>
      </c>
      <c r="AZ475" t="s">
        <v>74</v>
      </c>
      <c r="BA475" t="s">
        <v>74</v>
      </c>
      <c r="BB475">
        <v>138</v>
      </c>
      <c r="BC475">
        <v>150</v>
      </c>
      <c r="BD475" t="s">
        <v>74</v>
      </c>
      <c r="BE475" t="s">
        <v>8882</v>
      </c>
      <c r="BF475" t="str">
        <f>HYPERLINK("http://dx.doi.org/10.1657/1938-4246(07-078)[SIKORSKI]2.0.CO;2","http://dx.doi.org/10.1657/1938-4246(07-078)[SIKORSKI]2.0.CO;2")</f>
        <v>http://dx.doi.org/10.1657/1938-4246(07-078)[SIKORSKI]2.0.CO;2</v>
      </c>
      <c r="BG475" t="s">
        <v>74</v>
      </c>
      <c r="BH475" t="s">
        <v>74</v>
      </c>
      <c r="BI475">
        <v>13</v>
      </c>
      <c r="BJ475" t="s">
        <v>1102</v>
      </c>
      <c r="BK475" t="s">
        <v>1453</v>
      </c>
      <c r="BL475" t="s">
        <v>1104</v>
      </c>
      <c r="BM475" t="s">
        <v>8715</v>
      </c>
      <c r="BN475" t="s">
        <v>74</v>
      </c>
      <c r="BO475" t="s">
        <v>1106</v>
      </c>
      <c r="BP475" t="s">
        <v>74</v>
      </c>
      <c r="BQ475" t="s">
        <v>74</v>
      </c>
      <c r="BR475" t="s">
        <v>103</v>
      </c>
      <c r="BS475" t="s">
        <v>8883</v>
      </c>
      <c r="BT475" t="str">
        <f>HYPERLINK("https%3A%2F%2Fwww.webofscience.com%2Fwos%2Fwoscc%2Ffull-record%2FWOS:000263313000015","View Full Record in Web of Science")</f>
        <v>View Full Record in Web of Science</v>
      </c>
    </row>
    <row r="476" spans="1:72" x14ac:dyDescent="0.15">
      <c r="A476" t="s">
        <v>72</v>
      </c>
      <c r="B476" t="s">
        <v>8884</v>
      </c>
      <c r="C476" t="s">
        <v>74</v>
      </c>
      <c r="D476" t="s">
        <v>74</v>
      </c>
      <c r="E476" t="s">
        <v>74</v>
      </c>
      <c r="F476" t="s">
        <v>8885</v>
      </c>
      <c r="G476" t="s">
        <v>74</v>
      </c>
      <c r="H476" t="s">
        <v>74</v>
      </c>
      <c r="I476" t="s">
        <v>8886</v>
      </c>
      <c r="J476" t="s">
        <v>1083</v>
      </c>
      <c r="K476" t="s">
        <v>74</v>
      </c>
      <c r="L476" t="s">
        <v>74</v>
      </c>
      <c r="M476" t="s">
        <v>78</v>
      </c>
      <c r="N476" t="s">
        <v>934</v>
      </c>
      <c r="O476" t="s">
        <v>74</v>
      </c>
      <c r="P476" t="s">
        <v>74</v>
      </c>
      <c r="Q476" t="s">
        <v>74</v>
      </c>
      <c r="R476" t="s">
        <v>74</v>
      </c>
      <c r="S476" t="s">
        <v>74</v>
      </c>
      <c r="T476" t="s">
        <v>74</v>
      </c>
      <c r="U476" t="s">
        <v>74</v>
      </c>
      <c r="V476" t="s">
        <v>74</v>
      </c>
      <c r="W476" t="s">
        <v>8887</v>
      </c>
      <c r="X476" t="s">
        <v>5012</v>
      </c>
      <c r="Y476" t="s">
        <v>8888</v>
      </c>
      <c r="Z476" t="s">
        <v>8889</v>
      </c>
      <c r="AA476" t="s">
        <v>74</v>
      </c>
      <c r="AB476" t="s">
        <v>74</v>
      </c>
      <c r="AC476" t="s">
        <v>74</v>
      </c>
      <c r="AD476" t="s">
        <v>74</v>
      </c>
      <c r="AE476" t="s">
        <v>74</v>
      </c>
      <c r="AF476" t="s">
        <v>74</v>
      </c>
      <c r="AG476">
        <v>6</v>
      </c>
      <c r="AH476">
        <v>4</v>
      </c>
      <c r="AI476">
        <v>5</v>
      </c>
      <c r="AJ476">
        <v>0</v>
      </c>
      <c r="AK476">
        <v>11</v>
      </c>
      <c r="AL476" t="s">
        <v>1095</v>
      </c>
      <c r="AM476" t="s">
        <v>1096</v>
      </c>
      <c r="AN476" t="s">
        <v>1097</v>
      </c>
      <c r="AO476" t="s">
        <v>1098</v>
      </c>
      <c r="AP476" t="s">
        <v>74</v>
      </c>
      <c r="AQ476" t="s">
        <v>74</v>
      </c>
      <c r="AR476" t="s">
        <v>1099</v>
      </c>
      <c r="AS476" t="s">
        <v>1100</v>
      </c>
      <c r="AT476" t="s">
        <v>8540</v>
      </c>
      <c r="AU476">
        <v>2009</v>
      </c>
      <c r="AV476">
        <v>41</v>
      </c>
      <c r="AW476">
        <v>1</v>
      </c>
      <c r="AX476" t="s">
        <v>74</v>
      </c>
      <c r="AY476" t="s">
        <v>74</v>
      </c>
      <c r="AZ476" t="s">
        <v>74</v>
      </c>
      <c r="BA476" t="s">
        <v>74</v>
      </c>
      <c r="BB476">
        <v>151</v>
      </c>
      <c r="BC476">
        <v>151</v>
      </c>
      <c r="BD476" t="s">
        <v>74</v>
      </c>
      <c r="BE476" t="s">
        <v>8890</v>
      </c>
      <c r="BF476" t="str">
        <f>HYPERLINK("http://dx.doi.org/10.1657/1938-4246(2008-1)[COMMENT]2.0.CO;2","http://dx.doi.org/10.1657/1938-4246(2008-1)[COMMENT]2.0.CO;2")</f>
        <v>http://dx.doi.org/10.1657/1938-4246(2008-1)[COMMENT]2.0.CO;2</v>
      </c>
      <c r="BG476" t="s">
        <v>74</v>
      </c>
      <c r="BH476" t="s">
        <v>74</v>
      </c>
      <c r="BI476">
        <v>1</v>
      </c>
      <c r="BJ476" t="s">
        <v>1102</v>
      </c>
      <c r="BK476" t="s">
        <v>100</v>
      </c>
      <c r="BL476" t="s">
        <v>1104</v>
      </c>
      <c r="BM476" t="s">
        <v>8715</v>
      </c>
      <c r="BN476" t="s">
        <v>74</v>
      </c>
      <c r="BO476" t="s">
        <v>1106</v>
      </c>
      <c r="BP476" t="s">
        <v>74</v>
      </c>
      <c r="BQ476" t="s">
        <v>74</v>
      </c>
      <c r="BR476" t="s">
        <v>103</v>
      </c>
      <c r="BS476" t="s">
        <v>8891</v>
      </c>
      <c r="BT476" t="str">
        <f>HYPERLINK("https%3A%2F%2Fwww.webofscience.com%2Fwos%2Fwoscc%2Ffull-record%2FWOS:000263313000016","View Full Record in Web of Science")</f>
        <v>View Full Record in Web of Science</v>
      </c>
    </row>
    <row r="477" spans="1:72" x14ac:dyDescent="0.15">
      <c r="A477" t="s">
        <v>72</v>
      </c>
      <c r="B477" t="s">
        <v>8892</v>
      </c>
      <c r="C477" t="s">
        <v>74</v>
      </c>
      <c r="D477" t="s">
        <v>74</v>
      </c>
      <c r="E477" t="s">
        <v>74</v>
      </c>
      <c r="F477" t="s">
        <v>8893</v>
      </c>
      <c r="G477" t="s">
        <v>74</v>
      </c>
      <c r="H477" t="s">
        <v>74</v>
      </c>
      <c r="I477" t="s">
        <v>8894</v>
      </c>
      <c r="J477" t="s">
        <v>1083</v>
      </c>
      <c r="K477" t="s">
        <v>74</v>
      </c>
      <c r="L477" t="s">
        <v>74</v>
      </c>
      <c r="M477" t="s">
        <v>78</v>
      </c>
      <c r="N477" t="s">
        <v>934</v>
      </c>
      <c r="O477" t="s">
        <v>74</v>
      </c>
      <c r="P477" t="s">
        <v>74</v>
      </c>
      <c r="Q477" t="s">
        <v>74</v>
      </c>
      <c r="R477" t="s">
        <v>74</v>
      </c>
      <c r="S477" t="s">
        <v>74</v>
      </c>
      <c r="T477" t="s">
        <v>74</v>
      </c>
      <c r="U477" t="s">
        <v>74</v>
      </c>
      <c r="V477" t="s">
        <v>74</v>
      </c>
      <c r="W477" t="s">
        <v>8895</v>
      </c>
      <c r="X477" t="s">
        <v>8896</v>
      </c>
      <c r="Y477" t="s">
        <v>8897</v>
      </c>
      <c r="Z477" t="s">
        <v>8898</v>
      </c>
      <c r="AA477" t="s">
        <v>74</v>
      </c>
      <c r="AB477" t="s">
        <v>74</v>
      </c>
      <c r="AC477" t="s">
        <v>74</v>
      </c>
      <c r="AD477" t="s">
        <v>74</v>
      </c>
      <c r="AE477" t="s">
        <v>74</v>
      </c>
      <c r="AF477" t="s">
        <v>74</v>
      </c>
      <c r="AG477">
        <v>6</v>
      </c>
      <c r="AH477">
        <v>1</v>
      </c>
      <c r="AI477">
        <v>2</v>
      </c>
      <c r="AJ477">
        <v>0</v>
      </c>
      <c r="AK477">
        <v>11</v>
      </c>
      <c r="AL477" t="s">
        <v>1095</v>
      </c>
      <c r="AM477" t="s">
        <v>1096</v>
      </c>
      <c r="AN477" t="s">
        <v>1097</v>
      </c>
      <c r="AO477" t="s">
        <v>1098</v>
      </c>
      <c r="AP477" t="s">
        <v>74</v>
      </c>
      <c r="AQ477" t="s">
        <v>74</v>
      </c>
      <c r="AR477" t="s">
        <v>1099</v>
      </c>
      <c r="AS477" t="s">
        <v>1100</v>
      </c>
      <c r="AT477" t="s">
        <v>8540</v>
      </c>
      <c r="AU477">
        <v>2009</v>
      </c>
      <c r="AV477">
        <v>41</v>
      </c>
      <c r="AW477">
        <v>1</v>
      </c>
      <c r="AX477" t="s">
        <v>74</v>
      </c>
      <c r="AY477" t="s">
        <v>74</v>
      </c>
      <c r="AZ477" t="s">
        <v>74</v>
      </c>
      <c r="BA477" t="s">
        <v>74</v>
      </c>
      <c r="BB477">
        <v>152</v>
      </c>
      <c r="BC477">
        <v>152</v>
      </c>
      <c r="BD477" t="s">
        <v>74</v>
      </c>
      <c r="BE477" t="s">
        <v>8899</v>
      </c>
      <c r="BF477" t="str">
        <f>HYPERLINK("http://dx.doi.org/10.1657/1938-4246(2008-1)[REPLY]2.0.CO;2","http://dx.doi.org/10.1657/1938-4246(2008-1)[REPLY]2.0.CO;2")</f>
        <v>http://dx.doi.org/10.1657/1938-4246(2008-1)[REPLY]2.0.CO;2</v>
      </c>
      <c r="BG477" t="s">
        <v>74</v>
      </c>
      <c r="BH477" t="s">
        <v>74</v>
      </c>
      <c r="BI477">
        <v>1</v>
      </c>
      <c r="BJ477" t="s">
        <v>1102</v>
      </c>
      <c r="BK477" t="s">
        <v>100</v>
      </c>
      <c r="BL477" t="s">
        <v>1104</v>
      </c>
      <c r="BM477" t="s">
        <v>8715</v>
      </c>
      <c r="BN477" t="s">
        <v>74</v>
      </c>
      <c r="BO477" t="s">
        <v>1036</v>
      </c>
      <c r="BP477" t="s">
        <v>74</v>
      </c>
      <c r="BQ477" t="s">
        <v>74</v>
      </c>
      <c r="BR477" t="s">
        <v>103</v>
      </c>
      <c r="BS477" t="s">
        <v>8900</v>
      </c>
      <c r="BT477" t="str">
        <f>HYPERLINK("https%3A%2F%2Fwww.webofscience.com%2Fwos%2Fwoscc%2Ffull-record%2FWOS:000263313000017","View Full Record in Web of Science")</f>
        <v>View Full Record in Web of Science</v>
      </c>
    </row>
    <row r="478" spans="1:72" x14ac:dyDescent="0.15">
      <c r="A478" t="s">
        <v>72</v>
      </c>
      <c r="B478" t="s">
        <v>8901</v>
      </c>
      <c r="C478" t="s">
        <v>74</v>
      </c>
      <c r="D478" t="s">
        <v>74</v>
      </c>
      <c r="E478" t="s">
        <v>74</v>
      </c>
      <c r="F478" t="s">
        <v>8902</v>
      </c>
      <c r="G478" t="s">
        <v>74</v>
      </c>
      <c r="H478" t="s">
        <v>74</v>
      </c>
      <c r="I478" t="s">
        <v>8903</v>
      </c>
      <c r="J478" t="s">
        <v>1305</v>
      </c>
      <c r="K478" t="s">
        <v>74</v>
      </c>
      <c r="L478" t="s">
        <v>74</v>
      </c>
      <c r="M478" t="s">
        <v>78</v>
      </c>
      <c r="N478" t="s">
        <v>79</v>
      </c>
      <c r="O478" t="s">
        <v>74</v>
      </c>
      <c r="P478" t="s">
        <v>74</v>
      </c>
      <c r="Q478" t="s">
        <v>74</v>
      </c>
      <c r="R478" t="s">
        <v>74</v>
      </c>
      <c r="S478" t="s">
        <v>74</v>
      </c>
      <c r="T478" t="s">
        <v>8904</v>
      </c>
      <c r="U478" t="s">
        <v>8905</v>
      </c>
      <c r="V478" t="s">
        <v>8906</v>
      </c>
      <c r="W478" t="s">
        <v>8907</v>
      </c>
      <c r="X478" t="s">
        <v>8908</v>
      </c>
      <c r="Y478" t="s">
        <v>8909</v>
      </c>
      <c r="Z478" t="s">
        <v>8910</v>
      </c>
      <c r="AA478" t="s">
        <v>8911</v>
      </c>
      <c r="AB478" t="s">
        <v>8912</v>
      </c>
      <c r="AC478" t="s">
        <v>8913</v>
      </c>
      <c r="AD478" t="s">
        <v>8914</v>
      </c>
      <c r="AE478" t="s">
        <v>8915</v>
      </c>
      <c r="AF478" t="s">
        <v>74</v>
      </c>
      <c r="AG478">
        <v>47</v>
      </c>
      <c r="AH478">
        <v>34</v>
      </c>
      <c r="AI478">
        <v>39</v>
      </c>
      <c r="AJ478">
        <v>0</v>
      </c>
      <c r="AK478">
        <v>21</v>
      </c>
      <c r="AL478" t="s">
        <v>303</v>
      </c>
      <c r="AM478" t="s">
        <v>304</v>
      </c>
      <c r="AN478" t="s">
        <v>305</v>
      </c>
      <c r="AO478" t="s">
        <v>1316</v>
      </c>
      <c r="AP478" t="s">
        <v>1317</v>
      </c>
      <c r="AQ478" t="s">
        <v>74</v>
      </c>
      <c r="AR478" t="s">
        <v>1318</v>
      </c>
      <c r="AS478" t="s">
        <v>1319</v>
      </c>
      <c r="AT478" t="s">
        <v>8540</v>
      </c>
      <c r="AU478">
        <v>2009</v>
      </c>
      <c r="AV478">
        <v>43</v>
      </c>
      <c r="AW478">
        <v>5</v>
      </c>
      <c r="AX478" t="s">
        <v>74</v>
      </c>
      <c r="AY478" t="s">
        <v>74</v>
      </c>
      <c r="AZ478" t="s">
        <v>2297</v>
      </c>
      <c r="BA478" t="s">
        <v>74</v>
      </c>
      <c r="BB478">
        <v>1051</v>
      </c>
      <c r="BC478">
        <v>1058</v>
      </c>
      <c r="BD478" t="s">
        <v>74</v>
      </c>
      <c r="BE478" t="s">
        <v>8916</v>
      </c>
      <c r="BF478" t="str">
        <f>HYPERLINK("http://dx.doi.org/10.1016/j.atmosenv.2008.11.015","http://dx.doi.org/10.1016/j.atmosenv.2008.11.015")</f>
        <v>http://dx.doi.org/10.1016/j.atmosenv.2008.11.015</v>
      </c>
      <c r="BG478" t="s">
        <v>74</v>
      </c>
      <c r="BH478" t="s">
        <v>74</v>
      </c>
      <c r="BI478">
        <v>8</v>
      </c>
      <c r="BJ478" t="s">
        <v>1321</v>
      </c>
      <c r="BK478" t="s">
        <v>100</v>
      </c>
      <c r="BL478" t="s">
        <v>1322</v>
      </c>
      <c r="BM478" t="s">
        <v>8917</v>
      </c>
      <c r="BN478" t="s">
        <v>74</v>
      </c>
      <c r="BO478" t="s">
        <v>74</v>
      </c>
      <c r="BP478" t="s">
        <v>74</v>
      </c>
      <c r="BQ478" t="s">
        <v>74</v>
      </c>
      <c r="BR478" t="s">
        <v>103</v>
      </c>
      <c r="BS478" t="s">
        <v>8918</v>
      </c>
      <c r="BT478" t="str">
        <f>HYPERLINK("https%3A%2F%2Fwww.webofscience.com%2Fwos%2Fwoscc%2Ffull-record%2FWOS:000263426300010","View Full Record in Web of Science")</f>
        <v>View Full Record in Web of Science</v>
      </c>
    </row>
    <row r="479" spans="1:72" x14ac:dyDescent="0.15">
      <c r="A479" t="s">
        <v>72</v>
      </c>
      <c r="B479" t="s">
        <v>8919</v>
      </c>
      <c r="C479" t="s">
        <v>74</v>
      </c>
      <c r="D479" t="s">
        <v>74</v>
      </c>
      <c r="E479" t="s">
        <v>74</v>
      </c>
      <c r="F479" t="s">
        <v>8920</v>
      </c>
      <c r="G479" t="s">
        <v>74</v>
      </c>
      <c r="H479" t="s">
        <v>74</v>
      </c>
      <c r="I479" t="s">
        <v>8921</v>
      </c>
      <c r="J479" t="s">
        <v>8922</v>
      </c>
      <c r="K479" t="s">
        <v>74</v>
      </c>
      <c r="L479" t="s">
        <v>74</v>
      </c>
      <c r="M479" t="s">
        <v>78</v>
      </c>
      <c r="N479" t="s">
        <v>79</v>
      </c>
      <c r="O479" t="s">
        <v>74</v>
      </c>
      <c r="P479" t="s">
        <v>74</v>
      </c>
      <c r="Q479" t="s">
        <v>74</v>
      </c>
      <c r="R479" t="s">
        <v>74</v>
      </c>
      <c r="S479" t="s">
        <v>74</v>
      </c>
      <c r="T479" t="s">
        <v>8923</v>
      </c>
      <c r="U479" t="s">
        <v>8924</v>
      </c>
      <c r="V479" t="s">
        <v>8925</v>
      </c>
      <c r="W479" t="s">
        <v>8926</v>
      </c>
      <c r="X479" t="s">
        <v>8927</v>
      </c>
      <c r="Y479" t="s">
        <v>8928</v>
      </c>
      <c r="Z479" t="s">
        <v>8929</v>
      </c>
      <c r="AA479" t="s">
        <v>8930</v>
      </c>
      <c r="AB479" t="s">
        <v>8931</v>
      </c>
      <c r="AC479" t="s">
        <v>8932</v>
      </c>
      <c r="AD479" t="s">
        <v>8933</v>
      </c>
      <c r="AE479" t="s">
        <v>8934</v>
      </c>
      <c r="AF479" t="s">
        <v>74</v>
      </c>
      <c r="AG479">
        <v>41</v>
      </c>
      <c r="AH479">
        <v>44</v>
      </c>
      <c r="AI479">
        <v>48</v>
      </c>
      <c r="AJ479">
        <v>0</v>
      </c>
      <c r="AK479">
        <v>43</v>
      </c>
      <c r="AL479" t="s">
        <v>91</v>
      </c>
      <c r="AM479" t="s">
        <v>92</v>
      </c>
      <c r="AN479" t="s">
        <v>137</v>
      </c>
      <c r="AO479" t="s">
        <v>8935</v>
      </c>
      <c r="AP479" t="s">
        <v>8936</v>
      </c>
      <c r="AQ479" t="s">
        <v>74</v>
      </c>
      <c r="AR479" t="s">
        <v>8937</v>
      </c>
      <c r="AS479" t="s">
        <v>8938</v>
      </c>
      <c r="AT479" t="s">
        <v>8540</v>
      </c>
      <c r="AU479">
        <v>2009</v>
      </c>
      <c r="AV479">
        <v>63</v>
      </c>
      <c r="AW479">
        <v>4</v>
      </c>
      <c r="AX479" t="s">
        <v>74</v>
      </c>
      <c r="AY479" t="s">
        <v>74</v>
      </c>
      <c r="AZ479" t="s">
        <v>74</v>
      </c>
      <c r="BA479" t="s">
        <v>74</v>
      </c>
      <c r="BB479">
        <v>537</v>
      </c>
      <c r="BC479">
        <v>542</v>
      </c>
      <c r="BD479" t="s">
        <v>74</v>
      </c>
      <c r="BE479" t="s">
        <v>8939</v>
      </c>
      <c r="BF479" t="str">
        <f>HYPERLINK("http://dx.doi.org/10.1007/s00265-008-0688-z","http://dx.doi.org/10.1007/s00265-008-0688-z")</f>
        <v>http://dx.doi.org/10.1007/s00265-008-0688-z</v>
      </c>
      <c r="BG479" t="s">
        <v>74</v>
      </c>
      <c r="BH479" t="s">
        <v>74</v>
      </c>
      <c r="BI479">
        <v>6</v>
      </c>
      <c r="BJ479" t="s">
        <v>8940</v>
      </c>
      <c r="BK479" t="s">
        <v>100</v>
      </c>
      <c r="BL479" t="s">
        <v>8941</v>
      </c>
      <c r="BM479" t="s">
        <v>8942</v>
      </c>
      <c r="BN479" t="s">
        <v>74</v>
      </c>
      <c r="BO479" t="s">
        <v>1106</v>
      </c>
      <c r="BP479" t="s">
        <v>74</v>
      </c>
      <c r="BQ479" t="s">
        <v>74</v>
      </c>
      <c r="BR479" t="s">
        <v>103</v>
      </c>
      <c r="BS479" t="s">
        <v>8943</v>
      </c>
      <c r="BT479" t="str">
        <f>HYPERLINK("https%3A%2F%2Fwww.webofscience.com%2Fwos%2Fwoscc%2Ffull-record%2FWOS:000262669000007","View Full Record in Web of Science")</f>
        <v>View Full Record in Web of Science</v>
      </c>
    </row>
    <row r="480" spans="1:72" x14ac:dyDescent="0.15">
      <c r="A480" t="s">
        <v>72</v>
      </c>
      <c r="B480" t="s">
        <v>8944</v>
      </c>
      <c r="C480" t="s">
        <v>74</v>
      </c>
      <c r="D480" t="s">
        <v>74</v>
      </c>
      <c r="E480" t="s">
        <v>74</v>
      </c>
      <c r="F480" t="s">
        <v>8945</v>
      </c>
      <c r="G480" t="s">
        <v>74</v>
      </c>
      <c r="H480" t="s">
        <v>74</v>
      </c>
      <c r="I480" t="s">
        <v>8946</v>
      </c>
      <c r="J480" t="s">
        <v>8947</v>
      </c>
      <c r="K480" t="s">
        <v>74</v>
      </c>
      <c r="L480" t="s">
        <v>74</v>
      </c>
      <c r="M480" t="s">
        <v>78</v>
      </c>
      <c r="N480" t="s">
        <v>79</v>
      </c>
      <c r="O480" t="s">
        <v>74</v>
      </c>
      <c r="P480" t="s">
        <v>74</v>
      </c>
      <c r="Q480" t="s">
        <v>74</v>
      </c>
      <c r="R480" t="s">
        <v>74</v>
      </c>
      <c r="S480" t="s">
        <v>74</v>
      </c>
      <c r="T480" t="s">
        <v>8948</v>
      </c>
      <c r="U480" t="s">
        <v>8949</v>
      </c>
      <c r="V480" t="s">
        <v>8950</v>
      </c>
      <c r="W480" t="s">
        <v>8951</v>
      </c>
      <c r="X480" t="s">
        <v>8952</v>
      </c>
      <c r="Y480" t="s">
        <v>8953</v>
      </c>
      <c r="Z480" t="s">
        <v>8954</v>
      </c>
      <c r="AA480" t="s">
        <v>8955</v>
      </c>
      <c r="AB480" t="s">
        <v>8956</v>
      </c>
      <c r="AC480" t="s">
        <v>8957</v>
      </c>
      <c r="AD480" t="s">
        <v>8957</v>
      </c>
      <c r="AE480" t="s">
        <v>8958</v>
      </c>
      <c r="AF480" t="s">
        <v>74</v>
      </c>
      <c r="AG480">
        <v>61</v>
      </c>
      <c r="AH480">
        <v>42</v>
      </c>
      <c r="AI480">
        <v>43</v>
      </c>
      <c r="AJ480">
        <v>0</v>
      </c>
      <c r="AK480">
        <v>14</v>
      </c>
      <c r="AL480" t="s">
        <v>553</v>
      </c>
      <c r="AM480" t="s">
        <v>252</v>
      </c>
      <c r="AN480" t="s">
        <v>554</v>
      </c>
      <c r="AO480" t="s">
        <v>8959</v>
      </c>
      <c r="AP480" t="s">
        <v>8960</v>
      </c>
      <c r="AQ480" t="s">
        <v>74</v>
      </c>
      <c r="AR480" t="s">
        <v>8961</v>
      </c>
      <c r="AS480" t="s">
        <v>8962</v>
      </c>
      <c r="AT480" t="s">
        <v>8540</v>
      </c>
      <c r="AU480">
        <v>2009</v>
      </c>
      <c r="AV480">
        <v>1794</v>
      </c>
      <c r="AW480">
        <v>2</v>
      </c>
      <c r="AX480" t="s">
        <v>74</v>
      </c>
      <c r="AY480" t="s">
        <v>74</v>
      </c>
      <c r="AZ480" t="s">
        <v>74</v>
      </c>
      <c r="BA480" t="s">
        <v>74</v>
      </c>
      <c r="BB480">
        <v>297</v>
      </c>
      <c r="BC480">
        <v>308</v>
      </c>
      <c r="BD480" t="s">
        <v>74</v>
      </c>
      <c r="BE480" t="s">
        <v>8963</v>
      </c>
      <c r="BF480" t="str">
        <f>HYPERLINK("http://dx.doi.org/10.1016/j.bbapap.2008.09.020","http://dx.doi.org/10.1016/j.bbapap.2008.09.020")</f>
        <v>http://dx.doi.org/10.1016/j.bbapap.2008.09.020</v>
      </c>
      <c r="BG480" t="s">
        <v>74</v>
      </c>
      <c r="BH480" t="s">
        <v>74</v>
      </c>
      <c r="BI480">
        <v>12</v>
      </c>
      <c r="BJ480" t="s">
        <v>3607</v>
      </c>
      <c r="BK480" t="s">
        <v>100</v>
      </c>
      <c r="BL480" t="s">
        <v>3607</v>
      </c>
      <c r="BM480" t="s">
        <v>8964</v>
      </c>
      <c r="BN480">
        <v>18977465</v>
      </c>
      <c r="BO480" t="s">
        <v>74</v>
      </c>
      <c r="BP480" t="s">
        <v>74</v>
      </c>
      <c r="BQ480" t="s">
        <v>74</v>
      </c>
      <c r="BR480" t="s">
        <v>103</v>
      </c>
      <c r="BS480" t="s">
        <v>8965</v>
      </c>
      <c r="BT480" t="str">
        <f>HYPERLINK("https%3A%2F%2Fwww.webofscience.com%2Fwos%2Fwoscc%2Ffull-record%2FWOS:000262952600017","View Full Record in Web of Science")</f>
        <v>View Full Record in Web of Science</v>
      </c>
    </row>
    <row r="481" spans="1:72" x14ac:dyDescent="0.15">
      <c r="A481" t="s">
        <v>72</v>
      </c>
      <c r="B481" t="s">
        <v>8966</v>
      </c>
      <c r="C481" t="s">
        <v>74</v>
      </c>
      <c r="D481" t="s">
        <v>74</v>
      </c>
      <c r="E481" t="s">
        <v>74</v>
      </c>
      <c r="F481" t="s">
        <v>8967</v>
      </c>
      <c r="G481" t="s">
        <v>74</v>
      </c>
      <c r="H481" t="s">
        <v>74</v>
      </c>
      <c r="I481" t="s">
        <v>8968</v>
      </c>
      <c r="J481" t="s">
        <v>8947</v>
      </c>
      <c r="K481" t="s">
        <v>74</v>
      </c>
      <c r="L481" t="s">
        <v>74</v>
      </c>
      <c r="M481" t="s">
        <v>78</v>
      </c>
      <c r="N481" t="s">
        <v>79</v>
      </c>
      <c r="O481" t="s">
        <v>74</v>
      </c>
      <c r="P481" t="s">
        <v>74</v>
      </c>
      <c r="Q481" t="s">
        <v>74</v>
      </c>
      <c r="R481" t="s">
        <v>74</v>
      </c>
      <c r="S481" t="s">
        <v>74</v>
      </c>
      <c r="T481" t="s">
        <v>8969</v>
      </c>
      <c r="U481" t="s">
        <v>8970</v>
      </c>
      <c r="V481" t="s">
        <v>8971</v>
      </c>
      <c r="W481" t="s">
        <v>8972</v>
      </c>
      <c r="X481" t="s">
        <v>8973</v>
      </c>
      <c r="Y481" t="s">
        <v>8974</v>
      </c>
      <c r="Z481" t="s">
        <v>8975</v>
      </c>
      <c r="AA481" t="s">
        <v>74</v>
      </c>
      <c r="AB481" t="s">
        <v>74</v>
      </c>
      <c r="AC481" t="s">
        <v>8976</v>
      </c>
      <c r="AD481" t="s">
        <v>8977</v>
      </c>
      <c r="AE481" t="s">
        <v>8978</v>
      </c>
      <c r="AF481" t="s">
        <v>74</v>
      </c>
      <c r="AG481">
        <v>48</v>
      </c>
      <c r="AH481">
        <v>26</v>
      </c>
      <c r="AI481">
        <v>43</v>
      </c>
      <c r="AJ481">
        <v>0</v>
      </c>
      <c r="AK481">
        <v>32</v>
      </c>
      <c r="AL481" t="s">
        <v>553</v>
      </c>
      <c r="AM481" t="s">
        <v>252</v>
      </c>
      <c r="AN481" t="s">
        <v>554</v>
      </c>
      <c r="AO481" t="s">
        <v>8959</v>
      </c>
      <c r="AP481" t="s">
        <v>8960</v>
      </c>
      <c r="AQ481" t="s">
        <v>74</v>
      </c>
      <c r="AR481" t="s">
        <v>8961</v>
      </c>
      <c r="AS481" t="s">
        <v>8962</v>
      </c>
      <c r="AT481" t="s">
        <v>8540</v>
      </c>
      <c r="AU481">
        <v>2009</v>
      </c>
      <c r="AV481">
        <v>1794</v>
      </c>
      <c r="AW481">
        <v>2</v>
      </c>
      <c r="AX481" t="s">
        <v>74</v>
      </c>
      <c r="AY481" t="s">
        <v>74</v>
      </c>
      <c r="AZ481" t="s">
        <v>74</v>
      </c>
      <c r="BA481" t="s">
        <v>74</v>
      </c>
      <c r="BB481">
        <v>341</v>
      </c>
      <c r="BC481">
        <v>346</v>
      </c>
      <c r="BD481" t="s">
        <v>74</v>
      </c>
      <c r="BE481" t="s">
        <v>8979</v>
      </c>
      <c r="BF481" t="str">
        <f>HYPERLINK("http://dx.doi.org/10.1016/j.bbapap.2008.10.011","http://dx.doi.org/10.1016/j.bbapap.2008.10.011")</f>
        <v>http://dx.doi.org/10.1016/j.bbapap.2008.10.011</v>
      </c>
      <c r="BG481" t="s">
        <v>74</v>
      </c>
      <c r="BH481" t="s">
        <v>74</v>
      </c>
      <c r="BI481">
        <v>6</v>
      </c>
      <c r="BJ481" t="s">
        <v>3607</v>
      </c>
      <c r="BK481" t="s">
        <v>100</v>
      </c>
      <c r="BL481" t="s">
        <v>3607</v>
      </c>
      <c r="BM481" t="s">
        <v>8964</v>
      </c>
      <c r="BN481">
        <v>19038370</v>
      </c>
      <c r="BO481" t="s">
        <v>1012</v>
      </c>
      <c r="BP481" t="s">
        <v>74</v>
      </c>
      <c r="BQ481" t="s">
        <v>74</v>
      </c>
      <c r="BR481" t="s">
        <v>103</v>
      </c>
      <c r="BS481" t="s">
        <v>8980</v>
      </c>
      <c r="BT481" t="str">
        <f>HYPERLINK("https%3A%2F%2Fwww.webofscience.com%2Fwos%2Fwoscc%2Ffull-record%2FWOS:000262952600022","View Full Record in Web of Science")</f>
        <v>View Full Record in Web of Science</v>
      </c>
    </row>
    <row r="482" spans="1:72" x14ac:dyDescent="0.15">
      <c r="A482" t="s">
        <v>72</v>
      </c>
      <c r="B482" t="s">
        <v>8981</v>
      </c>
      <c r="C482" t="s">
        <v>74</v>
      </c>
      <c r="D482" t="s">
        <v>74</v>
      </c>
      <c r="E482" t="s">
        <v>74</v>
      </c>
      <c r="F482" t="s">
        <v>8982</v>
      </c>
      <c r="G482" t="s">
        <v>74</v>
      </c>
      <c r="H482" t="s">
        <v>74</v>
      </c>
      <c r="I482" t="s">
        <v>8983</v>
      </c>
      <c r="J482" t="s">
        <v>8984</v>
      </c>
      <c r="K482" t="s">
        <v>74</v>
      </c>
      <c r="L482" t="s">
        <v>74</v>
      </c>
      <c r="M482" t="s">
        <v>78</v>
      </c>
      <c r="N482" t="s">
        <v>172</v>
      </c>
      <c r="O482" t="s">
        <v>74</v>
      </c>
      <c r="P482" t="s">
        <v>74</v>
      </c>
      <c r="Q482" t="s">
        <v>74</v>
      </c>
      <c r="R482" t="s">
        <v>74</v>
      </c>
      <c r="S482" t="s">
        <v>74</v>
      </c>
      <c r="T482" t="s">
        <v>8985</v>
      </c>
      <c r="U482" t="s">
        <v>8986</v>
      </c>
      <c r="V482" t="s">
        <v>8987</v>
      </c>
      <c r="W482" t="s">
        <v>8988</v>
      </c>
      <c r="X482" t="s">
        <v>8989</v>
      </c>
      <c r="Y482" t="s">
        <v>8990</v>
      </c>
      <c r="Z482" t="s">
        <v>8991</v>
      </c>
      <c r="AA482" t="s">
        <v>74</v>
      </c>
      <c r="AB482" t="s">
        <v>74</v>
      </c>
      <c r="AC482" t="s">
        <v>74</v>
      </c>
      <c r="AD482" t="s">
        <v>74</v>
      </c>
      <c r="AE482" t="s">
        <v>74</v>
      </c>
      <c r="AF482" t="s">
        <v>74</v>
      </c>
      <c r="AG482">
        <v>138</v>
      </c>
      <c r="AH482">
        <v>5</v>
      </c>
      <c r="AI482">
        <v>5</v>
      </c>
      <c r="AJ482">
        <v>0</v>
      </c>
      <c r="AK482">
        <v>6</v>
      </c>
      <c r="AL482" t="s">
        <v>1739</v>
      </c>
      <c r="AM482" t="s">
        <v>304</v>
      </c>
      <c r="AN482" t="s">
        <v>1740</v>
      </c>
      <c r="AO482" t="s">
        <v>8992</v>
      </c>
      <c r="AP482" t="s">
        <v>8993</v>
      </c>
      <c r="AQ482" t="s">
        <v>74</v>
      </c>
      <c r="AR482" t="s">
        <v>8994</v>
      </c>
      <c r="AS482" t="s">
        <v>8995</v>
      </c>
      <c r="AT482" t="s">
        <v>8540</v>
      </c>
      <c r="AU482">
        <v>2009</v>
      </c>
      <c r="AV482">
        <v>96</v>
      </c>
      <c r="AW482">
        <v>2</v>
      </c>
      <c r="AX482" t="s">
        <v>74</v>
      </c>
      <c r="AY482" t="s">
        <v>74</v>
      </c>
      <c r="AZ482" t="s">
        <v>74</v>
      </c>
      <c r="BA482" t="s">
        <v>74</v>
      </c>
      <c r="BB482">
        <v>462</v>
      </c>
      <c r="BC482">
        <v>481</v>
      </c>
      <c r="BD482" t="s">
        <v>74</v>
      </c>
      <c r="BE482" t="s">
        <v>8996</v>
      </c>
      <c r="BF482" t="str">
        <f>HYPERLINK("http://dx.doi.org/10.1111/j.1095-8312.2008.01142.x","http://dx.doi.org/10.1111/j.1095-8312.2008.01142.x")</f>
        <v>http://dx.doi.org/10.1111/j.1095-8312.2008.01142.x</v>
      </c>
      <c r="BG482" t="s">
        <v>74</v>
      </c>
      <c r="BH482" t="s">
        <v>74</v>
      </c>
      <c r="BI482">
        <v>20</v>
      </c>
      <c r="BJ482" t="s">
        <v>8997</v>
      </c>
      <c r="BK482" t="s">
        <v>100</v>
      </c>
      <c r="BL482" t="s">
        <v>8997</v>
      </c>
      <c r="BM482" t="s">
        <v>8998</v>
      </c>
      <c r="BN482" t="s">
        <v>74</v>
      </c>
      <c r="BO482" t="s">
        <v>74</v>
      </c>
      <c r="BP482" t="s">
        <v>74</v>
      </c>
      <c r="BQ482" t="s">
        <v>74</v>
      </c>
      <c r="BR482" t="s">
        <v>103</v>
      </c>
      <c r="BS482" t="s">
        <v>8999</v>
      </c>
      <c r="BT482" t="str">
        <f>HYPERLINK("https%3A%2F%2Fwww.webofscience.com%2Fwos%2Fwoscc%2Ffull-record%2FWOS:000262635000019","View Full Record in Web of Science")</f>
        <v>View Full Record in Web of Science</v>
      </c>
    </row>
    <row r="483" spans="1:72" x14ac:dyDescent="0.15">
      <c r="A483" t="s">
        <v>72</v>
      </c>
      <c r="B483" t="s">
        <v>9000</v>
      </c>
      <c r="C483" t="s">
        <v>74</v>
      </c>
      <c r="D483" t="s">
        <v>74</v>
      </c>
      <c r="E483" t="s">
        <v>74</v>
      </c>
      <c r="F483" t="s">
        <v>9001</v>
      </c>
      <c r="G483" t="s">
        <v>74</v>
      </c>
      <c r="H483" t="s">
        <v>74</v>
      </c>
      <c r="I483" t="s">
        <v>9002</v>
      </c>
      <c r="J483" t="s">
        <v>8116</v>
      </c>
      <c r="K483" t="s">
        <v>74</v>
      </c>
      <c r="L483" t="s">
        <v>74</v>
      </c>
      <c r="M483" t="s">
        <v>78</v>
      </c>
      <c r="N483" t="s">
        <v>52</v>
      </c>
      <c r="O483" t="s">
        <v>74</v>
      </c>
      <c r="P483" t="s">
        <v>74</v>
      </c>
      <c r="Q483" t="s">
        <v>74</v>
      </c>
      <c r="R483" t="s">
        <v>74</v>
      </c>
      <c r="S483" t="s">
        <v>74</v>
      </c>
      <c r="T483" t="s">
        <v>74</v>
      </c>
      <c r="U483" t="s">
        <v>74</v>
      </c>
      <c r="V483" t="s">
        <v>74</v>
      </c>
      <c r="W483" t="s">
        <v>9003</v>
      </c>
      <c r="X483" t="s">
        <v>9004</v>
      </c>
      <c r="Y483" t="s">
        <v>74</v>
      </c>
      <c r="Z483" t="s">
        <v>74</v>
      </c>
      <c r="AA483" t="s">
        <v>74</v>
      </c>
      <c r="AB483" t="s">
        <v>74</v>
      </c>
      <c r="AC483" t="s">
        <v>74</v>
      </c>
      <c r="AD483" t="s">
        <v>74</v>
      </c>
      <c r="AE483" t="s">
        <v>74</v>
      </c>
      <c r="AF483" t="s">
        <v>74</v>
      </c>
      <c r="AG483">
        <v>0</v>
      </c>
      <c r="AH483">
        <v>0</v>
      </c>
      <c r="AI483">
        <v>0</v>
      </c>
      <c r="AJ483">
        <v>0</v>
      </c>
      <c r="AK483">
        <v>1</v>
      </c>
      <c r="AL483" t="s">
        <v>8125</v>
      </c>
      <c r="AM483" t="s">
        <v>5833</v>
      </c>
      <c r="AN483" t="s">
        <v>8126</v>
      </c>
      <c r="AO483" t="s">
        <v>8127</v>
      </c>
      <c r="AP483" t="s">
        <v>8128</v>
      </c>
      <c r="AQ483" t="s">
        <v>74</v>
      </c>
      <c r="AR483" t="s">
        <v>8129</v>
      </c>
      <c r="AS483" t="s">
        <v>8130</v>
      </c>
      <c r="AT483" t="s">
        <v>8540</v>
      </c>
      <c r="AU483">
        <v>2009</v>
      </c>
      <c r="AV483">
        <v>96</v>
      </c>
      <c r="AW483">
        <v>3</v>
      </c>
      <c r="AX483" t="s">
        <v>74</v>
      </c>
      <c r="AY483">
        <v>1</v>
      </c>
      <c r="AZ483" t="s">
        <v>74</v>
      </c>
      <c r="BA483" t="s">
        <v>9005</v>
      </c>
      <c r="BB483" t="s">
        <v>9006</v>
      </c>
      <c r="BC483" t="s">
        <v>9006</v>
      </c>
      <c r="BD483" t="s">
        <v>74</v>
      </c>
      <c r="BE483" t="s">
        <v>9007</v>
      </c>
      <c r="BF483" t="str">
        <f>HYPERLINK("http://dx.doi.org/10.1016/j.bpj.2008.12.3461","http://dx.doi.org/10.1016/j.bpj.2008.12.3461")</f>
        <v>http://dx.doi.org/10.1016/j.bpj.2008.12.3461</v>
      </c>
      <c r="BG483" t="s">
        <v>74</v>
      </c>
      <c r="BH483" t="s">
        <v>74</v>
      </c>
      <c r="BI483">
        <v>1</v>
      </c>
      <c r="BJ483" t="s">
        <v>8132</v>
      </c>
      <c r="BK483" t="s">
        <v>100</v>
      </c>
      <c r="BL483" t="s">
        <v>8132</v>
      </c>
      <c r="BM483" t="s">
        <v>9008</v>
      </c>
      <c r="BN483" t="s">
        <v>74</v>
      </c>
      <c r="BO483" t="s">
        <v>262</v>
      </c>
      <c r="BP483" t="s">
        <v>74</v>
      </c>
      <c r="BQ483" t="s">
        <v>74</v>
      </c>
      <c r="BR483" t="s">
        <v>103</v>
      </c>
      <c r="BS483" t="s">
        <v>9009</v>
      </c>
      <c r="BT483" t="str">
        <f>HYPERLINK("https%3A%2F%2Fwww.webofscience.com%2Fwos%2Fwoscc%2Ffull-record%2FWOS:000426362200471","View Full Record in Web of Science")</f>
        <v>View Full Record in Web of Science</v>
      </c>
    </row>
    <row r="484" spans="1:72" x14ac:dyDescent="0.15">
      <c r="A484" t="s">
        <v>72</v>
      </c>
      <c r="B484" t="s">
        <v>9010</v>
      </c>
      <c r="C484" t="s">
        <v>74</v>
      </c>
      <c r="D484" t="s">
        <v>74</v>
      </c>
      <c r="E484" t="s">
        <v>74</v>
      </c>
      <c r="F484" t="s">
        <v>9011</v>
      </c>
      <c r="G484" t="s">
        <v>74</v>
      </c>
      <c r="H484" t="s">
        <v>74</v>
      </c>
      <c r="I484" t="s">
        <v>9012</v>
      </c>
      <c r="J484" t="s">
        <v>1436</v>
      </c>
      <c r="K484" t="s">
        <v>74</v>
      </c>
      <c r="L484" t="s">
        <v>74</v>
      </c>
      <c r="M484" t="s">
        <v>78</v>
      </c>
      <c r="N484" t="s">
        <v>79</v>
      </c>
      <c r="O484" t="s">
        <v>74</v>
      </c>
      <c r="P484" t="s">
        <v>74</v>
      </c>
      <c r="Q484" t="s">
        <v>74</v>
      </c>
      <c r="R484" t="s">
        <v>74</v>
      </c>
      <c r="S484" t="s">
        <v>74</v>
      </c>
      <c r="T484" t="s">
        <v>74</v>
      </c>
      <c r="U484" t="s">
        <v>9013</v>
      </c>
      <c r="V484" t="s">
        <v>9014</v>
      </c>
      <c r="W484" t="s">
        <v>9015</v>
      </c>
      <c r="X484" t="s">
        <v>9016</v>
      </c>
      <c r="Y484" t="s">
        <v>9017</v>
      </c>
      <c r="Z484" t="s">
        <v>9018</v>
      </c>
      <c r="AA484" t="s">
        <v>74</v>
      </c>
      <c r="AB484" t="s">
        <v>74</v>
      </c>
      <c r="AC484" t="s">
        <v>74</v>
      </c>
      <c r="AD484" t="s">
        <v>74</v>
      </c>
      <c r="AE484" t="s">
        <v>74</v>
      </c>
      <c r="AF484" t="s">
        <v>74</v>
      </c>
      <c r="AG484">
        <v>47</v>
      </c>
      <c r="AH484">
        <v>45</v>
      </c>
      <c r="AI484">
        <v>46</v>
      </c>
      <c r="AJ484">
        <v>0</v>
      </c>
      <c r="AK484">
        <v>26</v>
      </c>
      <c r="AL484" t="s">
        <v>91</v>
      </c>
      <c r="AM484" t="s">
        <v>374</v>
      </c>
      <c r="AN484" t="s">
        <v>375</v>
      </c>
      <c r="AO484" t="s">
        <v>1449</v>
      </c>
      <c r="AP484" t="s">
        <v>1450</v>
      </c>
      <c r="AQ484" t="s">
        <v>74</v>
      </c>
      <c r="AR484" t="s">
        <v>1436</v>
      </c>
      <c r="AS484" t="s">
        <v>1451</v>
      </c>
      <c r="AT484" t="s">
        <v>8540</v>
      </c>
      <c r="AU484">
        <v>2009</v>
      </c>
      <c r="AV484">
        <v>92</v>
      </c>
      <c r="AW484" t="s">
        <v>3346</v>
      </c>
      <c r="AX484" t="s">
        <v>74</v>
      </c>
      <c r="AY484" t="s">
        <v>74</v>
      </c>
      <c r="AZ484" t="s">
        <v>74</v>
      </c>
      <c r="BA484" t="s">
        <v>74</v>
      </c>
      <c r="BB484">
        <v>461</v>
      </c>
      <c r="BC484">
        <v>493</v>
      </c>
      <c r="BD484" t="s">
        <v>74</v>
      </c>
      <c r="BE484" t="s">
        <v>9019</v>
      </c>
      <c r="BF484" t="str">
        <f>HYPERLINK("http://dx.doi.org/10.1007/s10584-008-9473-2","http://dx.doi.org/10.1007/s10584-008-9473-2")</f>
        <v>http://dx.doi.org/10.1007/s10584-008-9473-2</v>
      </c>
      <c r="BG484" t="s">
        <v>74</v>
      </c>
      <c r="BH484" t="s">
        <v>74</v>
      </c>
      <c r="BI484">
        <v>33</v>
      </c>
      <c r="BJ484" t="s">
        <v>1321</v>
      </c>
      <c r="BK484" t="s">
        <v>100</v>
      </c>
      <c r="BL484" t="s">
        <v>1322</v>
      </c>
      <c r="BM484" t="s">
        <v>9020</v>
      </c>
      <c r="BN484" t="s">
        <v>74</v>
      </c>
      <c r="BO484" t="s">
        <v>74</v>
      </c>
      <c r="BP484" t="s">
        <v>74</v>
      </c>
      <c r="BQ484" t="s">
        <v>74</v>
      </c>
      <c r="BR484" t="s">
        <v>103</v>
      </c>
      <c r="BS484" t="s">
        <v>9021</v>
      </c>
      <c r="BT484" t="str">
        <f>HYPERLINK("https%3A%2F%2Fwww.webofscience.com%2Fwos%2Fwoscc%2Ffull-record%2FWOS:000262649900009","View Full Record in Web of Science")</f>
        <v>View Full Record in Web of Science</v>
      </c>
    </row>
    <row r="485" spans="1:72" x14ac:dyDescent="0.15">
      <c r="A485" t="s">
        <v>72</v>
      </c>
      <c r="B485" t="s">
        <v>9022</v>
      </c>
      <c r="C485" t="s">
        <v>74</v>
      </c>
      <c r="D485" t="s">
        <v>74</v>
      </c>
      <c r="E485" t="s">
        <v>74</v>
      </c>
      <c r="F485" t="s">
        <v>9023</v>
      </c>
      <c r="G485" t="s">
        <v>74</v>
      </c>
      <c r="H485" t="s">
        <v>74</v>
      </c>
      <c r="I485" t="s">
        <v>9024</v>
      </c>
      <c r="J485" t="s">
        <v>3957</v>
      </c>
      <c r="K485" t="s">
        <v>74</v>
      </c>
      <c r="L485" t="s">
        <v>74</v>
      </c>
      <c r="M485" t="s">
        <v>78</v>
      </c>
      <c r="N485" t="s">
        <v>79</v>
      </c>
      <c r="O485" t="s">
        <v>74</v>
      </c>
      <c r="P485" t="s">
        <v>74</v>
      </c>
      <c r="Q485" t="s">
        <v>74</v>
      </c>
      <c r="R485" t="s">
        <v>74</v>
      </c>
      <c r="S485" t="s">
        <v>74</v>
      </c>
      <c r="T485" t="s">
        <v>9025</v>
      </c>
      <c r="U485" t="s">
        <v>9026</v>
      </c>
      <c r="V485" t="s">
        <v>9027</v>
      </c>
      <c r="W485" t="s">
        <v>9028</v>
      </c>
      <c r="X485" t="s">
        <v>6607</v>
      </c>
      <c r="Y485" t="s">
        <v>9029</v>
      </c>
      <c r="Z485" t="s">
        <v>9030</v>
      </c>
      <c r="AA485" t="s">
        <v>74</v>
      </c>
      <c r="AB485" t="s">
        <v>9031</v>
      </c>
      <c r="AC485" t="s">
        <v>9032</v>
      </c>
      <c r="AD485" t="s">
        <v>9033</v>
      </c>
      <c r="AE485" t="s">
        <v>9034</v>
      </c>
      <c r="AF485" t="s">
        <v>74</v>
      </c>
      <c r="AG485">
        <v>42</v>
      </c>
      <c r="AH485">
        <v>46</v>
      </c>
      <c r="AI485">
        <v>58</v>
      </c>
      <c r="AJ485">
        <v>0</v>
      </c>
      <c r="AK485">
        <v>11</v>
      </c>
      <c r="AL485" t="s">
        <v>3964</v>
      </c>
      <c r="AM485" t="s">
        <v>92</v>
      </c>
      <c r="AN485" t="s">
        <v>9035</v>
      </c>
      <c r="AO485" t="s">
        <v>3966</v>
      </c>
      <c r="AP485" t="s">
        <v>3967</v>
      </c>
      <c r="AQ485" t="s">
        <v>74</v>
      </c>
      <c r="AR485" t="s">
        <v>3968</v>
      </c>
      <c r="AS485" t="s">
        <v>3969</v>
      </c>
      <c r="AT485" t="s">
        <v>8540</v>
      </c>
      <c r="AU485">
        <v>2009</v>
      </c>
      <c r="AV485">
        <v>152</v>
      </c>
      <c r="AW485">
        <v>2</v>
      </c>
      <c r="AX485" t="s">
        <v>74</v>
      </c>
      <c r="AY485" t="s">
        <v>74</v>
      </c>
      <c r="AZ485" t="s">
        <v>74</v>
      </c>
      <c r="BA485" t="s">
        <v>74</v>
      </c>
      <c r="BB485">
        <v>207</v>
      </c>
      <c r="BC485">
        <v>213</v>
      </c>
      <c r="BD485" t="s">
        <v>74</v>
      </c>
      <c r="BE485" t="s">
        <v>9036</v>
      </c>
      <c r="BF485" t="str">
        <f>HYPERLINK("http://dx.doi.org/10.1016/j.cbpa.2008.09.028","http://dx.doi.org/10.1016/j.cbpa.2008.09.028")</f>
        <v>http://dx.doi.org/10.1016/j.cbpa.2008.09.028</v>
      </c>
      <c r="BG485" t="s">
        <v>74</v>
      </c>
      <c r="BH485" t="s">
        <v>74</v>
      </c>
      <c r="BI485">
        <v>7</v>
      </c>
      <c r="BJ485" t="s">
        <v>3971</v>
      </c>
      <c r="BK485" t="s">
        <v>100</v>
      </c>
      <c r="BL485" t="s">
        <v>3971</v>
      </c>
      <c r="BM485" t="s">
        <v>9037</v>
      </c>
      <c r="BN485">
        <v>18930833</v>
      </c>
      <c r="BO485" t="s">
        <v>74</v>
      </c>
      <c r="BP485" t="s">
        <v>74</v>
      </c>
      <c r="BQ485" t="s">
        <v>74</v>
      </c>
      <c r="BR485" t="s">
        <v>103</v>
      </c>
      <c r="BS485" t="s">
        <v>9038</v>
      </c>
      <c r="BT485" t="str">
        <f>HYPERLINK("https%3A%2F%2Fwww.webofscience.com%2Fwos%2Fwoscc%2Ffull-record%2FWOS:000262873100012","View Full Record in Web of Science")</f>
        <v>View Full Record in Web of Science</v>
      </c>
    </row>
    <row r="486" spans="1:72" x14ac:dyDescent="0.15">
      <c r="A486" t="s">
        <v>72</v>
      </c>
      <c r="B486" t="s">
        <v>9039</v>
      </c>
      <c r="C486" t="s">
        <v>74</v>
      </c>
      <c r="D486" t="s">
        <v>74</v>
      </c>
      <c r="E486" t="s">
        <v>74</v>
      </c>
      <c r="F486" t="s">
        <v>9040</v>
      </c>
      <c r="G486" t="s">
        <v>74</v>
      </c>
      <c r="H486" t="s">
        <v>74</v>
      </c>
      <c r="I486" t="s">
        <v>9041</v>
      </c>
      <c r="J486" t="s">
        <v>9042</v>
      </c>
      <c r="K486" t="s">
        <v>74</v>
      </c>
      <c r="L486" t="s">
        <v>74</v>
      </c>
      <c r="M486" t="s">
        <v>78</v>
      </c>
      <c r="N486" t="s">
        <v>79</v>
      </c>
      <c r="O486" t="s">
        <v>74</v>
      </c>
      <c r="P486" t="s">
        <v>74</v>
      </c>
      <c r="Q486" t="s">
        <v>74</v>
      </c>
      <c r="R486" t="s">
        <v>74</v>
      </c>
      <c r="S486" t="s">
        <v>74</v>
      </c>
      <c r="T486" t="s">
        <v>74</v>
      </c>
      <c r="U486" t="s">
        <v>9043</v>
      </c>
      <c r="V486" t="s">
        <v>74</v>
      </c>
      <c r="W486" t="s">
        <v>9044</v>
      </c>
      <c r="X486" t="s">
        <v>9045</v>
      </c>
      <c r="Y486" t="s">
        <v>9046</v>
      </c>
      <c r="Z486" t="s">
        <v>74</v>
      </c>
      <c r="AA486" t="s">
        <v>74</v>
      </c>
      <c r="AB486" t="s">
        <v>74</v>
      </c>
      <c r="AC486" t="s">
        <v>74</v>
      </c>
      <c r="AD486" t="s">
        <v>74</v>
      </c>
      <c r="AE486" t="s">
        <v>74</v>
      </c>
      <c r="AF486" t="s">
        <v>74</v>
      </c>
      <c r="AG486">
        <v>14</v>
      </c>
      <c r="AH486">
        <v>0</v>
      </c>
      <c r="AI486">
        <v>0</v>
      </c>
      <c r="AJ486">
        <v>0</v>
      </c>
      <c r="AK486">
        <v>0</v>
      </c>
      <c r="AL486" t="s">
        <v>2834</v>
      </c>
      <c r="AM486" t="s">
        <v>92</v>
      </c>
      <c r="AN486" t="s">
        <v>2835</v>
      </c>
      <c r="AO486" t="s">
        <v>9047</v>
      </c>
      <c r="AP486" t="s">
        <v>74</v>
      </c>
      <c r="AQ486" t="s">
        <v>74</v>
      </c>
      <c r="AR486" t="s">
        <v>9048</v>
      </c>
      <c r="AS486" t="s">
        <v>9049</v>
      </c>
      <c r="AT486" t="s">
        <v>8540</v>
      </c>
      <c r="AU486">
        <v>2009</v>
      </c>
      <c r="AV486">
        <v>424</v>
      </c>
      <c r="AW486">
        <v>1</v>
      </c>
      <c r="AX486" t="s">
        <v>74</v>
      </c>
      <c r="AY486" t="s">
        <v>74</v>
      </c>
      <c r="AZ486" t="s">
        <v>74</v>
      </c>
      <c r="BA486" t="s">
        <v>74</v>
      </c>
      <c r="BB486">
        <v>99</v>
      </c>
      <c r="BC486">
        <v>104</v>
      </c>
      <c r="BD486" t="s">
        <v>74</v>
      </c>
      <c r="BE486" t="s">
        <v>9050</v>
      </c>
      <c r="BF486" t="str">
        <f>HYPERLINK("http://dx.doi.org/10.1134/S1028334X09010218","http://dx.doi.org/10.1134/S1028334X09010218")</f>
        <v>http://dx.doi.org/10.1134/S1028334X09010218</v>
      </c>
      <c r="BG486" t="s">
        <v>74</v>
      </c>
      <c r="BH486" t="s">
        <v>74</v>
      </c>
      <c r="BI486">
        <v>6</v>
      </c>
      <c r="BJ486" t="s">
        <v>496</v>
      </c>
      <c r="BK486" t="s">
        <v>100</v>
      </c>
      <c r="BL486" t="s">
        <v>497</v>
      </c>
      <c r="BM486" t="s">
        <v>9051</v>
      </c>
      <c r="BN486" t="s">
        <v>74</v>
      </c>
      <c r="BO486" t="s">
        <v>74</v>
      </c>
      <c r="BP486" t="s">
        <v>74</v>
      </c>
      <c r="BQ486" t="s">
        <v>74</v>
      </c>
      <c r="BR486" t="s">
        <v>103</v>
      </c>
      <c r="BS486" t="s">
        <v>9052</v>
      </c>
      <c r="BT486" t="str">
        <f>HYPERLINK("https%3A%2F%2Fwww.webofscience.com%2Fwos%2Fwoscc%2Ffull-record%2FWOS:000266161400021","View Full Record in Web of Science")</f>
        <v>View Full Record in Web of Science</v>
      </c>
    </row>
    <row r="487" spans="1:72" x14ac:dyDescent="0.15">
      <c r="A487" t="s">
        <v>72</v>
      </c>
      <c r="B487" t="s">
        <v>9053</v>
      </c>
      <c r="C487" t="s">
        <v>74</v>
      </c>
      <c r="D487" t="s">
        <v>74</v>
      </c>
      <c r="E487" t="s">
        <v>74</v>
      </c>
      <c r="F487" t="s">
        <v>9053</v>
      </c>
      <c r="G487" t="s">
        <v>74</v>
      </c>
      <c r="H487" t="s">
        <v>74</v>
      </c>
      <c r="I487" t="s">
        <v>9054</v>
      </c>
      <c r="J487" t="s">
        <v>9055</v>
      </c>
      <c r="K487" t="s">
        <v>74</v>
      </c>
      <c r="L487" t="s">
        <v>74</v>
      </c>
      <c r="M487" t="s">
        <v>78</v>
      </c>
      <c r="N487" t="s">
        <v>79</v>
      </c>
      <c r="O487" t="s">
        <v>74</v>
      </c>
      <c r="P487" t="s">
        <v>74</v>
      </c>
      <c r="Q487" t="s">
        <v>74</v>
      </c>
      <c r="R487" t="s">
        <v>74</v>
      </c>
      <c r="S487" t="s">
        <v>74</v>
      </c>
      <c r="T487" t="s">
        <v>9056</v>
      </c>
      <c r="U487" t="s">
        <v>74</v>
      </c>
      <c r="V487" t="s">
        <v>9057</v>
      </c>
      <c r="W487" t="s">
        <v>74</v>
      </c>
      <c r="X487" t="s">
        <v>74</v>
      </c>
      <c r="Y487" t="s">
        <v>74</v>
      </c>
      <c r="Z487" t="s">
        <v>74</v>
      </c>
      <c r="AA487" t="s">
        <v>74</v>
      </c>
      <c r="AB487" t="s">
        <v>74</v>
      </c>
      <c r="AC487" t="s">
        <v>74</v>
      </c>
      <c r="AD487" t="s">
        <v>74</v>
      </c>
      <c r="AE487" t="s">
        <v>74</v>
      </c>
      <c r="AF487" t="s">
        <v>74</v>
      </c>
      <c r="AG487">
        <v>14</v>
      </c>
      <c r="AH487">
        <v>0</v>
      </c>
      <c r="AI487">
        <v>0</v>
      </c>
      <c r="AJ487">
        <v>0</v>
      </c>
      <c r="AK487">
        <v>1</v>
      </c>
      <c r="AL487" t="s">
        <v>9058</v>
      </c>
      <c r="AM487" t="s">
        <v>9059</v>
      </c>
      <c r="AN487" t="s">
        <v>9060</v>
      </c>
      <c r="AO487" t="s">
        <v>9061</v>
      </c>
      <c r="AP487" t="s">
        <v>74</v>
      </c>
      <c r="AQ487" t="s">
        <v>74</v>
      </c>
      <c r="AR487" t="s">
        <v>9062</v>
      </c>
      <c r="AS487" t="s">
        <v>9063</v>
      </c>
      <c r="AT487" t="s">
        <v>8540</v>
      </c>
      <c r="AU487">
        <v>2009</v>
      </c>
      <c r="AV487">
        <v>7</v>
      </c>
      <c r="AW487">
        <v>2</v>
      </c>
      <c r="AX487" t="s">
        <v>74</v>
      </c>
      <c r="AY487" t="s">
        <v>74</v>
      </c>
      <c r="AZ487" t="s">
        <v>74</v>
      </c>
      <c r="BA487" t="s">
        <v>74</v>
      </c>
      <c r="BB487" t="s">
        <v>74</v>
      </c>
      <c r="BC487" t="s">
        <v>74</v>
      </c>
      <c r="BD487" t="s">
        <v>74</v>
      </c>
      <c r="BE487" t="s">
        <v>9064</v>
      </c>
      <c r="BF487" t="str">
        <f>HYPERLINK("http://dx.doi.org/10.2903/j.efsa.2009.938","http://dx.doi.org/10.2903/j.efsa.2009.938")</f>
        <v>http://dx.doi.org/10.2903/j.efsa.2009.938</v>
      </c>
      <c r="BG487" t="s">
        <v>74</v>
      </c>
      <c r="BH487" t="s">
        <v>74</v>
      </c>
      <c r="BI487">
        <v>17</v>
      </c>
      <c r="BJ487" t="s">
        <v>2002</v>
      </c>
      <c r="BK487" t="s">
        <v>2781</v>
      </c>
      <c r="BL487" t="s">
        <v>2002</v>
      </c>
      <c r="BM487" t="s">
        <v>9065</v>
      </c>
      <c r="BN487" t="s">
        <v>74</v>
      </c>
      <c r="BO487" t="s">
        <v>74</v>
      </c>
      <c r="BP487" t="s">
        <v>74</v>
      </c>
      <c r="BQ487" t="s">
        <v>74</v>
      </c>
      <c r="BR487" t="s">
        <v>103</v>
      </c>
      <c r="BS487" t="s">
        <v>9066</v>
      </c>
      <c r="BT487" t="str">
        <f>HYPERLINK("https%3A%2F%2Fwww.webofscience.com%2Fwos%2Fwoscc%2Ffull-record%2FWOS:000422262700014","View Full Record in Web of Science")</f>
        <v>View Full Record in Web of Science</v>
      </c>
    </row>
    <row r="488" spans="1:72" x14ac:dyDescent="0.15">
      <c r="A488" t="s">
        <v>72</v>
      </c>
      <c r="B488" t="s">
        <v>9067</v>
      </c>
      <c r="C488" t="s">
        <v>74</v>
      </c>
      <c r="D488" t="s">
        <v>74</v>
      </c>
      <c r="E488" t="s">
        <v>74</v>
      </c>
      <c r="F488" t="s">
        <v>9068</v>
      </c>
      <c r="G488" t="s">
        <v>74</v>
      </c>
      <c r="H488" t="s">
        <v>74</v>
      </c>
      <c r="I488" t="s">
        <v>9069</v>
      </c>
      <c r="J488" t="s">
        <v>6270</v>
      </c>
      <c r="K488" t="s">
        <v>74</v>
      </c>
      <c r="L488" t="s">
        <v>74</v>
      </c>
      <c r="M488" t="s">
        <v>78</v>
      </c>
      <c r="N488" t="s">
        <v>79</v>
      </c>
      <c r="O488" t="s">
        <v>74</v>
      </c>
      <c r="P488" t="s">
        <v>74</v>
      </c>
      <c r="Q488" t="s">
        <v>74</v>
      </c>
      <c r="R488" t="s">
        <v>74</v>
      </c>
      <c r="S488" t="s">
        <v>74</v>
      </c>
      <c r="T488" t="s">
        <v>74</v>
      </c>
      <c r="U488" t="s">
        <v>9070</v>
      </c>
      <c r="V488" t="s">
        <v>9071</v>
      </c>
      <c r="W488" t="s">
        <v>9072</v>
      </c>
      <c r="X488" t="s">
        <v>9073</v>
      </c>
      <c r="Y488" t="s">
        <v>9074</v>
      </c>
      <c r="Z488" t="s">
        <v>9075</v>
      </c>
      <c r="AA488" t="s">
        <v>9076</v>
      </c>
      <c r="AB488" t="s">
        <v>9077</v>
      </c>
      <c r="AC488" t="s">
        <v>9078</v>
      </c>
      <c r="AD488" t="s">
        <v>9079</v>
      </c>
      <c r="AE488" t="s">
        <v>9080</v>
      </c>
      <c r="AF488" t="s">
        <v>74</v>
      </c>
      <c r="AG488">
        <v>49</v>
      </c>
      <c r="AH488">
        <v>42</v>
      </c>
      <c r="AI488">
        <v>45</v>
      </c>
      <c r="AJ488">
        <v>0</v>
      </c>
      <c r="AK488">
        <v>16</v>
      </c>
      <c r="AL488" t="s">
        <v>1847</v>
      </c>
      <c r="AM488" t="s">
        <v>1848</v>
      </c>
      <c r="AN488" t="s">
        <v>1849</v>
      </c>
      <c r="AO488" t="s">
        <v>6282</v>
      </c>
      <c r="AP488" t="s">
        <v>74</v>
      </c>
      <c r="AQ488" t="s">
        <v>74</v>
      </c>
      <c r="AR488" t="s">
        <v>6284</v>
      </c>
      <c r="AS488" t="s">
        <v>6285</v>
      </c>
      <c r="AT488" t="s">
        <v>8540</v>
      </c>
      <c r="AU488">
        <v>2009</v>
      </c>
      <c r="AV488">
        <v>11</v>
      </c>
      <c r="AW488">
        <v>2</v>
      </c>
      <c r="AX488" t="s">
        <v>74</v>
      </c>
      <c r="AY488" t="s">
        <v>74</v>
      </c>
      <c r="AZ488" t="s">
        <v>74</v>
      </c>
      <c r="BA488" t="s">
        <v>74</v>
      </c>
      <c r="BB488">
        <v>397</v>
      </c>
      <c r="BC488">
        <v>408</v>
      </c>
      <c r="BD488" t="s">
        <v>74</v>
      </c>
      <c r="BE488" t="s">
        <v>9081</v>
      </c>
      <c r="BF488" t="str">
        <f>HYPERLINK("http://dx.doi.org/10.1111/j.1462-2920.2008.01779.x","http://dx.doi.org/10.1111/j.1462-2920.2008.01779.x")</f>
        <v>http://dx.doi.org/10.1111/j.1462-2920.2008.01779.x</v>
      </c>
      <c r="BG488" t="s">
        <v>74</v>
      </c>
      <c r="BH488" t="s">
        <v>74</v>
      </c>
      <c r="BI488">
        <v>12</v>
      </c>
      <c r="BJ488" t="s">
        <v>2749</v>
      </c>
      <c r="BK488" t="s">
        <v>100</v>
      </c>
      <c r="BL488" t="s">
        <v>2749</v>
      </c>
      <c r="BM488" t="s">
        <v>9082</v>
      </c>
      <c r="BN488">
        <v>19196271</v>
      </c>
      <c r="BO488" t="s">
        <v>74</v>
      </c>
      <c r="BP488" t="s">
        <v>74</v>
      </c>
      <c r="BQ488" t="s">
        <v>74</v>
      </c>
      <c r="BR488" t="s">
        <v>103</v>
      </c>
      <c r="BS488" t="s">
        <v>9083</v>
      </c>
      <c r="BT488" t="str">
        <f>HYPERLINK("https%3A%2F%2Fwww.webofscience.com%2Fwos%2Fwoscc%2Ffull-record%2FWOS:000262515800010","View Full Record in Web of Science")</f>
        <v>View Full Record in Web of Science</v>
      </c>
    </row>
    <row r="489" spans="1:72" x14ac:dyDescent="0.15">
      <c r="A489" t="s">
        <v>72</v>
      </c>
      <c r="B489" t="s">
        <v>9084</v>
      </c>
      <c r="C489" t="s">
        <v>74</v>
      </c>
      <c r="D489" t="s">
        <v>74</v>
      </c>
      <c r="E489" t="s">
        <v>74</v>
      </c>
      <c r="F489" t="s">
        <v>9085</v>
      </c>
      <c r="G489" t="s">
        <v>74</v>
      </c>
      <c r="H489" t="s">
        <v>74</v>
      </c>
      <c r="I489" t="s">
        <v>9086</v>
      </c>
      <c r="J489" t="s">
        <v>9087</v>
      </c>
      <c r="K489" t="s">
        <v>74</v>
      </c>
      <c r="L489" t="s">
        <v>74</v>
      </c>
      <c r="M489" t="s">
        <v>78</v>
      </c>
      <c r="N489" t="s">
        <v>79</v>
      </c>
      <c r="O489" t="s">
        <v>74</v>
      </c>
      <c r="P489" t="s">
        <v>74</v>
      </c>
      <c r="Q489" t="s">
        <v>74</v>
      </c>
      <c r="R489" t="s">
        <v>74</v>
      </c>
      <c r="S489" t="s">
        <v>74</v>
      </c>
      <c r="T489" t="s">
        <v>9088</v>
      </c>
      <c r="U489" t="s">
        <v>9089</v>
      </c>
      <c r="V489" t="s">
        <v>9090</v>
      </c>
      <c r="W489" t="s">
        <v>9091</v>
      </c>
      <c r="X489" t="s">
        <v>9092</v>
      </c>
      <c r="Y489" t="s">
        <v>9093</v>
      </c>
      <c r="Z489" t="s">
        <v>9094</v>
      </c>
      <c r="AA489" t="s">
        <v>9095</v>
      </c>
      <c r="AB489" t="s">
        <v>9096</v>
      </c>
      <c r="AC489" t="s">
        <v>248</v>
      </c>
      <c r="AD489" t="s">
        <v>249</v>
      </c>
      <c r="AE489" t="s">
        <v>9097</v>
      </c>
      <c r="AF489" t="s">
        <v>74</v>
      </c>
      <c r="AG489">
        <v>33</v>
      </c>
      <c r="AH489">
        <v>14</v>
      </c>
      <c r="AI489">
        <v>17</v>
      </c>
      <c r="AJ489">
        <v>0</v>
      </c>
      <c r="AK489">
        <v>7</v>
      </c>
      <c r="AL489" t="s">
        <v>91</v>
      </c>
      <c r="AM489" t="s">
        <v>374</v>
      </c>
      <c r="AN489" t="s">
        <v>375</v>
      </c>
      <c r="AO489" t="s">
        <v>9098</v>
      </c>
      <c r="AP489" t="s">
        <v>9099</v>
      </c>
      <c r="AQ489" t="s">
        <v>74</v>
      </c>
      <c r="AR489" t="s">
        <v>9100</v>
      </c>
      <c r="AS489" t="s">
        <v>9101</v>
      </c>
      <c r="AT489" t="s">
        <v>8540</v>
      </c>
      <c r="AU489">
        <v>2009</v>
      </c>
      <c r="AV489">
        <v>149</v>
      </c>
      <c r="AW489" t="s">
        <v>532</v>
      </c>
      <c r="AX489" t="s">
        <v>74</v>
      </c>
      <c r="AY489" t="s">
        <v>74</v>
      </c>
      <c r="AZ489" t="s">
        <v>74</v>
      </c>
      <c r="BA489" t="s">
        <v>74</v>
      </c>
      <c r="BB489">
        <v>377</v>
      </c>
      <c r="BC489">
        <v>383</v>
      </c>
      <c r="BD489" t="s">
        <v>74</v>
      </c>
      <c r="BE489" t="s">
        <v>9102</v>
      </c>
      <c r="BF489" t="str">
        <f>HYPERLINK("http://dx.doi.org/10.1007/s10661-008-0212-y","http://dx.doi.org/10.1007/s10661-008-0212-y")</f>
        <v>http://dx.doi.org/10.1007/s10661-008-0212-y</v>
      </c>
      <c r="BG489" t="s">
        <v>74</v>
      </c>
      <c r="BH489" t="s">
        <v>74</v>
      </c>
      <c r="BI489">
        <v>7</v>
      </c>
      <c r="BJ489" t="s">
        <v>423</v>
      </c>
      <c r="BK489" t="s">
        <v>100</v>
      </c>
      <c r="BL489" t="s">
        <v>424</v>
      </c>
      <c r="BM489" t="s">
        <v>9103</v>
      </c>
      <c r="BN489">
        <v>18301999</v>
      </c>
      <c r="BO489" t="s">
        <v>74</v>
      </c>
      <c r="BP489" t="s">
        <v>74</v>
      </c>
      <c r="BQ489" t="s">
        <v>74</v>
      </c>
      <c r="BR489" t="s">
        <v>103</v>
      </c>
      <c r="BS489" t="s">
        <v>9104</v>
      </c>
      <c r="BT489" t="str">
        <f>HYPERLINK("https%3A%2F%2Fwww.webofscience.com%2Fwos%2Fwoscc%2Ffull-record%2FWOS:000263159800035","View Full Record in Web of Science")</f>
        <v>View Full Record in Web of Science</v>
      </c>
    </row>
    <row r="490" spans="1:72" x14ac:dyDescent="0.15">
      <c r="A490" t="s">
        <v>72</v>
      </c>
      <c r="B490" t="s">
        <v>9105</v>
      </c>
      <c r="C490" t="s">
        <v>74</v>
      </c>
      <c r="D490" t="s">
        <v>74</v>
      </c>
      <c r="E490" t="s">
        <v>74</v>
      </c>
      <c r="F490" t="s">
        <v>9106</v>
      </c>
      <c r="G490" t="s">
        <v>74</v>
      </c>
      <c r="H490" t="s">
        <v>74</v>
      </c>
      <c r="I490" t="s">
        <v>9107</v>
      </c>
      <c r="J490" t="s">
        <v>4104</v>
      </c>
      <c r="K490" t="s">
        <v>74</v>
      </c>
      <c r="L490" t="s">
        <v>74</v>
      </c>
      <c r="M490" t="s">
        <v>78</v>
      </c>
      <c r="N490" t="s">
        <v>79</v>
      </c>
      <c r="O490" t="s">
        <v>74</v>
      </c>
      <c r="P490" t="s">
        <v>74</v>
      </c>
      <c r="Q490" t="s">
        <v>74</v>
      </c>
      <c r="R490" t="s">
        <v>74</v>
      </c>
      <c r="S490" t="s">
        <v>74</v>
      </c>
      <c r="T490" t="s">
        <v>9108</v>
      </c>
      <c r="U490" t="s">
        <v>9109</v>
      </c>
      <c r="V490" t="s">
        <v>9110</v>
      </c>
      <c r="W490" t="s">
        <v>9111</v>
      </c>
      <c r="X490" t="s">
        <v>9112</v>
      </c>
      <c r="Y490" t="s">
        <v>9113</v>
      </c>
      <c r="Z490" t="s">
        <v>9114</v>
      </c>
      <c r="AA490" t="s">
        <v>9115</v>
      </c>
      <c r="AB490" t="s">
        <v>9116</v>
      </c>
      <c r="AC490" t="s">
        <v>9117</v>
      </c>
      <c r="AD490" t="s">
        <v>9118</v>
      </c>
      <c r="AE490" t="s">
        <v>9119</v>
      </c>
      <c r="AF490" t="s">
        <v>74</v>
      </c>
      <c r="AG490">
        <v>56</v>
      </c>
      <c r="AH490">
        <v>33</v>
      </c>
      <c r="AI490">
        <v>36</v>
      </c>
      <c r="AJ490">
        <v>2</v>
      </c>
      <c r="AK490">
        <v>33</v>
      </c>
      <c r="AL490" t="s">
        <v>489</v>
      </c>
      <c r="AM490" t="s">
        <v>490</v>
      </c>
      <c r="AN490" t="s">
        <v>491</v>
      </c>
      <c r="AO490" t="s">
        <v>4117</v>
      </c>
      <c r="AP490" t="s">
        <v>4118</v>
      </c>
      <c r="AQ490" t="s">
        <v>74</v>
      </c>
      <c r="AR490" t="s">
        <v>4119</v>
      </c>
      <c r="AS490" t="s">
        <v>4120</v>
      </c>
      <c r="AT490" t="s">
        <v>8540</v>
      </c>
      <c r="AU490">
        <v>2009</v>
      </c>
      <c r="AV490">
        <v>28</v>
      </c>
      <c r="AW490">
        <v>2</v>
      </c>
      <c r="AX490" t="s">
        <v>74</v>
      </c>
      <c r="AY490" t="s">
        <v>74</v>
      </c>
      <c r="AZ490" t="s">
        <v>74</v>
      </c>
      <c r="BA490" t="s">
        <v>74</v>
      </c>
      <c r="BB490">
        <v>409</v>
      </c>
      <c r="BC490">
        <v>417</v>
      </c>
      <c r="BD490" t="s">
        <v>74</v>
      </c>
      <c r="BE490" t="s">
        <v>9120</v>
      </c>
      <c r="BF490" t="str">
        <f>HYPERLINK("http://dx.doi.org/10.1897/08-328.1","http://dx.doi.org/10.1897/08-328.1")</f>
        <v>http://dx.doi.org/10.1897/08-328.1</v>
      </c>
      <c r="BG490" t="s">
        <v>74</v>
      </c>
      <c r="BH490" t="s">
        <v>74</v>
      </c>
      <c r="BI490">
        <v>9</v>
      </c>
      <c r="BJ490" t="s">
        <v>4122</v>
      </c>
      <c r="BK490" t="s">
        <v>100</v>
      </c>
      <c r="BL490" t="s">
        <v>4123</v>
      </c>
      <c r="BM490" t="s">
        <v>9121</v>
      </c>
      <c r="BN490">
        <v>18808214</v>
      </c>
      <c r="BO490" t="s">
        <v>74</v>
      </c>
      <c r="BP490" t="s">
        <v>74</v>
      </c>
      <c r="BQ490" t="s">
        <v>74</v>
      </c>
      <c r="BR490" t="s">
        <v>103</v>
      </c>
      <c r="BS490" t="s">
        <v>9122</v>
      </c>
      <c r="BT490" t="str">
        <f>HYPERLINK("https%3A%2F%2Fwww.webofscience.com%2Fwos%2Fwoscc%2Ffull-record%2FWOS:000262723300024","View Full Record in Web of Science")</f>
        <v>View Full Record in Web of Science</v>
      </c>
    </row>
    <row r="491" spans="1:72" x14ac:dyDescent="0.15">
      <c r="A491" t="s">
        <v>72</v>
      </c>
      <c r="B491" t="s">
        <v>9123</v>
      </c>
      <c r="C491" t="s">
        <v>74</v>
      </c>
      <c r="D491" t="s">
        <v>74</v>
      </c>
      <c r="E491" t="s">
        <v>74</v>
      </c>
      <c r="F491" t="s">
        <v>9124</v>
      </c>
      <c r="G491" t="s">
        <v>74</v>
      </c>
      <c r="H491" t="s">
        <v>74</v>
      </c>
      <c r="I491" t="s">
        <v>9125</v>
      </c>
      <c r="J491" t="s">
        <v>9126</v>
      </c>
      <c r="K491" t="s">
        <v>74</v>
      </c>
      <c r="L491" t="s">
        <v>74</v>
      </c>
      <c r="M491" t="s">
        <v>78</v>
      </c>
      <c r="N491" t="s">
        <v>79</v>
      </c>
      <c r="O491" t="s">
        <v>74</v>
      </c>
      <c r="P491" t="s">
        <v>74</v>
      </c>
      <c r="Q491" t="s">
        <v>74</v>
      </c>
      <c r="R491" t="s">
        <v>74</v>
      </c>
      <c r="S491" t="s">
        <v>74</v>
      </c>
      <c r="T491" t="s">
        <v>9127</v>
      </c>
      <c r="U491" t="s">
        <v>9128</v>
      </c>
      <c r="V491" t="s">
        <v>9129</v>
      </c>
      <c r="W491" t="s">
        <v>9130</v>
      </c>
      <c r="X491" t="s">
        <v>9131</v>
      </c>
      <c r="Y491" t="s">
        <v>9132</v>
      </c>
      <c r="Z491" t="s">
        <v>9133</v>
      </c>
      <c r="AA491" t="s">
        <v>74</v>
      </c>
      <c r="AB491" t="s">
        <v>74</v>
      </c>
      <c r="AC491" t="s">
        <v>9134</v>
      </c>
      <c r="AD491" t="s">
        <v>9135</v>
      </c>
      <c r="AE491" t="s">
        <v>9136</v>
      </c>
      <c r="AF491" t="s">
        <v>74</v>
      </c>
      <c r="AG491">
        <v>28</v>
      </c>
      <c r="AH491">
        <v>1</v>
      </c>
      <c r="AI491">
        <v>1</v>
      </c>
      <c r="AJ491">
        <v>0</v>
      </c>
      <c r="AK491">
        <v>8</v>
      </c>
      <c r="AL491" t="s">
        <v>2124</v>
      </c>
      <c r="AM491" t="s">
        <v>490</v>
      </c>
      <c r="AN491" t="s">
        <v>491</v>
      </c>
      <c r="AO491" t="s">
        <v>9137</v>
      </c>
      <c r="AP491" t="s">
        <v>9138</v>
      </c>
      <c r="AQ491" t="s">
        <v>74</v>
      </c>
      <c r="AR491" t="s">
        <v>9126</v>
      </c>
      <c r="AS491" t="s">
        <v>9139</v>
      </c>
      <c r="AT491" t="s">
        <v>8540</v>
      </c>
      <c r="AU491">
        <v>2009</v>
      </c>
      <c r="AV491">
        <v>20</v>
      </c>
      <c r="AW491">
        <v>1</v>
      </c>
      <c r="AX491" t="s">
        <v>74</v>
      </c>
      <c r="AY491" t="s">
        <v>74</v>
      </c>
      <c r="AZ491" t="s">
        <v>74</v>
      </c>
      <c r="BA491" t="s">
        <v>74</v>
      </c>
      <c r="BB491">
        <v>68</v>
      </c>
      <c r="BC491">
        <v>85</v>
      </c>
      <c r="BD491" t="s">
        <v>74</v>
      </c>
      <c r="BE491" t="s">
        <v>9140</v>
      </c>
      <c r="BF491" t="str">
        <f>HYPERLINK("http://dx.doi.org/10.1002/env.912","http://dx.doi.org/10.1002/env.912")</f>
        <v>http://dx.doi.org/10.1002/env.912</v>
      </c>
      <c r="BG491" t="s">
        <v>74</v>
      </c>
      <c r="BH491" t="s">
        <v>74</v>
      </c>
      <c r="BI491">
        <v>18</v>
      </c>
      <c r="BJ491" t="s">
        <v>9141</v>
      </c>
      <c r="BK491" t="s">
        <v>100</v>
      </c>
      <c r="BL491" t="s">
        <v>9142</v>
      </c>
      <c r="BM491" t="s">
        <v>9143</v>
      </c>
      <c r="BN491" t="s">
        <v>74</v>
      </c>
      <c r="BO491" t="s">
        <v>74</v>
      </c>
      <c r="BP491" t="s">
        <v>74</v>
      </c>
      <c r="BQ491" t="s">
        <v>74</v>
      </c>
      <c r="BR491" t="s">
        <v>103</v>
      </c>
      <c r="BS491" t="s">
        <v>9144</v>
      </c>
      <c r="BT491" t="str">
        <f>HYPERLINK("https%3A%2F%2Fwww.webofscience.com%2Fwos%2Fwoscc%2Ffull-record%2FWOS:000267408200005","View Full Record in Web of Science")</f>
        <v>View Full Record in Web of Science</v>
      </c>
    </row>
    <row r="492" spans="1:72" x14ac:dyDescent="0.15">
      <c r="A492" t="s">
        <v>72</v>
      </c>
      <c r="B492" t="s">
        <v>9145</v>
      </c>
      <c r="C492" t="s">
        <v>74</v>
      </c>
      <c r="D492" t="s">
        <v>74</v>
      </c>
      <c r="E492" t="s">
        <v>74</v>
      </c>
      <c r="F492" t="s">
        <v>9146</v>
      </c>
      <c r="G492" t="s">
        <v>74</v>
      </c>
      <c r="H492" t="s">
        <v>74</v>
      </c>
      <c r="I492" t="s">
        <v>9147</v>
      </c>
      <c r="J492" t="s">
        <v>9148</v>
      </c>
      <c r="K492" t="s">
        <v>74</v>
      </c>
      <c r="L492" t="s">
        <v>74</v>
      </c>
      <c r="M492" t="s">
        <v>78</v>
      </c>
      <c r="N492" t="s">
        <v>79</v>
      </c>
      <c r="O492" t="s">
        <v>74</v>
      </c>
      <c r="P492" t="s">
        <v>74</v>
      </c>
      <c r="Q492" t="s">
        <v>74</v>
      </c>
      <c r="R492" t="s">
        <v>74</v>
      </c>
      <c r="S492" t="s">
        <v>74</v>
      </c>
      <c r="T492" t="s">
        <v>9149</v>
      </c>
      <c r="U492" t="s">
        <v>9150</v>
      </c>
      <c r="V492" t="s">
        <v>9151</v>
      </c>
      <c r="W492" t="s">
        <v>9152</v>
      </c>
      <c r="X492" t="s">
        <v>8354</v>
      </c>
      <c r="Y492" t="s">
        <v>9153</v>
      </c>
      <c r="Z492" t="s">
        <v>9154</v>
      </c>
      <c r="AA492" t="s">
        <v>74</v>
      </c>
      <c r="AB492" t="s">
        <v>9155</v>
      </c>
      <c r="AC492" t="s">
        <v>9156</v>
      </c>
      <c r="AD492" t="s">
        <v>9157</v>
      </c>
      <c r="AE492" t="s">
        <v>9158</v>
      </c>
      <c r="AF492" t="s">
        <v>74</v>
      </c>
      <c r="AG492">
        <v>58</v>
      </c>
      <c r="AH492">
        <v>21</v>
      </c>
      <c r="AI492">
        <v>27</v>
      </c>
      <c r="AJ492">
        <v>1</v>
      </c>
      <c r="AK492">
        <v>13</v>
      </c>
      <c r="AL492" t="s">
        <v>1739</v>
      </c>
      <c r="AM492" t="s">
        <v>304</v>
      </c>
      <c r="AN492" t="s">
        <v>1740</v>
      </c>
      <c r="AO492" t="s">
        <v>9159</v>
      </c>
      <c r="AP492" t="s">
        <v>9160</v>
      </c>
      <c r="AQ492" t="s">
        <v>74</v>
      </c>
      <c r="AR492" t="s">
        <v>9161</v>
      </c>
      <c r="AS492" t="s">
        <v>9162</v>
      </c>
      <c r="AT492" t="s">
        <v>8540</v>
      </c>
      <c r="AU492">
        <v>2009</v>
      </c>
      <c r="AV492">
        <v>67</v>
      </c>
      <c r="AW492">
        <v>2</v>
      </c>
      <c r="AX492" t="s">
        <v>74</v>
      </c>
      <c r="AY492" t="s">
        <v>74</v>
      </c>
      <c r="AZ492" t="s">
        <v>74</v>
      </c>
      <c r="BA492" t="s">
        <v>74</v>
      </c>
      <c r="BB492">
        <v>279</v>
      </c>
      <c r="BC492">
        <v>292</v>
      </c>
      <c r="BD492" t="s">
        <v>74</v>
      </c>
      <c r="BE492" t="s">
        <v>9163</v>
      </c>
      <c r="BF492" t="str">
        <f>HYPERLINK("http://dx.doi.org/10.1111/j.1574-6941.2008.00621.x","http://dx.doi.org/10.1111/j.1574-6941.2008.00621.x")</f>
        <v>http://dx.doi.org/10.1111/j.1574-6941.2008.00621.x</v>
      </c>
      <c r="BG492" t="s">
        <v>74</v>
      </c>
      <c r="BH492" t="s">
        <v>74</v>
      </c>
      <c r="BI492">
        <v>14</v>
      </c>
      <c r="BJ492" t="s">
        <v>2749</v>
      </c>
      <c r="BK492" t="s">
        <v>100</v>
      </c>
      <c r="BL492" t="s">
        <v>2749</v>
      </c>
      <c r="BM492" t="s">
        <v>9164</v>
      </c>
      <c r="BN492">
        <v>19120468</v>
      </c>
      <c r="BO492" t="s">
        <v>499</v>
      </c>
      <c r="BP492" t="s">
        <v>74</v>
      </c>
      <c r="BQ492" t="s">
        <v>74</v>
      </c>
      <c r="BR492" t="s">
        <v>103</v>
      </c>
      <c r="BS492" t="s">
        <v>9165</v>
      </c>
      <c r="BT492" t="str">
        <f>HYPERLINK("https%3A%2F%2Fwww.webofscience.com%2Fwos%2Fwoscc%2Ffull-record%2FWOS:000261961900010","View Full Record in Web of Science")</f>
        <v>View Full Record in Web of Science</v>
      </c>
    </row>
    <row r="493" spans="1:72" x14ac:dyDescent="0.15">
      <c r="A493" t="s">
        <v>72</v>
      </c>
      <c r="B493" t="s">
        <v>9166</v>
      </c>
      <c r="C493" t="s">
        <v>74</v>
      </c>
      <c r="D493" t="s">
        <v>74</v>
      </c>
      <c r="E493" t="s">
        <v>74</v>
      </c>
      <c r="F493" t="s">
        <v>9167</v>
      </c>
      <c r="G493" t="s">
        <v>74</v>
      </c>
      <c r="H493" t="s">
        <v>74</v>
      </c>
      <c r="I493" t="s">
        <v>9168</v>
      </c>
      <c r="J493" t="s">
        <v>1660</v>
      </c>
      <c r="K493" t="s">
        <v>74</v>
      </c>
      <c r="L493" t="s">
        <v>74</v>
      </c>
      <c r="M493" t="s">
        <v>78</v>
      </c>
      <c r="N493" t="s">
        <v>172</v>
      </c>
      <c r="O493" t="s">
        <v>74</v>
      </c>
      <c r="P493" t="s">
        <v>74</v>
      </c>
      <c r="Q493" t="s">
        <v>74</v>
      </c>
      <c r="R493" t="s">
        <v>74</v>
      </c>
      <c r="S493" t="s">
        <v>74</v>
      </c>
      <c r="T493" t="s">
        <v>9169</v>
      </c>
      <c r="U493" t="s">
        <v>9170</v>
      </c>
      <c r="V493" t="s">
        <v>9171</v>
      </c>
      <c r="W493" t="s">
        <v>9172</v>
      </c>
      <c r="X493" t="s">
        <v>9173</v>
      </c>
      <c r="Y493" t="s">
        <v>9174</v>
      </c>
      <c r="Z493" t="s">
        <v>9175</v>
      </c>
      <c r="AA493" t="s">
        <v>9176</v>
      </c>
      <c r="AB493" t="s">
        <v>74</v>
      </c>
      <c r="AC493" t="s">
        <v>9177</v>
      </c>
      <c r="AD493" t="s">
        <v>9178</v>
      </c>
      <c r="AE493" t="s">
        <v>9179</v>
      </c>
      <c r="AF493" t="s">
        <v>74</v>
      </c>
      <c r="AG493">
        <v>72</v>
      </c>
      <c r="AH493">
        <v>156</v>
      </c>
      <c r="AI493">
        <v>173</v>
      </c>
      <c r="AJ493">
        <v>11</v>
      </c>
      <c r="AK493">
        <v>158</v>
      </c>
      <c r="AL493" t="s">
        <v>1671</v>
      </c>
      <c r="AM493" t="s">
        <v>304</v>
      </c>
      <c r="AN493" t="s">
        <v>1672</v>
      </c>
      <c r="AO493" t="s">
        <v>1673</v>
      </c>
      <c r="AP493" t="s">
        <v>1674</v>
      </c>
      <c r="AQ493" t="s">
        <v>74</v>
      </c>
      <c r="AR493" t="s">
        <v>1675</v>
      </c>
      <c r="AS493" t="s">
        <v>1676</v>
      </c>
      <c r="AT493" t="s">
        <v>8540</v>
      </c>
      <c r="AU493">
        <v>2009</v>
      </c>
      <c r="AV493">
        <v>2</v>
      </c>
      <c r="AW493" t="s">
        <v>74</v>
      </c>
      <c r="AX493">
        <v>1</v>
      </c>
      <c r="AY493" t="s">
        <v>74</v>
      </c>
      <c r="AZ493" t="s">
        <v>74</v>
      </c>
      <c r="BA493" t="s">
        <v>74</v>
      </c>
      <c r="BB493">
        <v>10</v>
      </c>
      <c r="BC493">
        <v>20</v>
      </c>
      <c r="BD493" t="s">
        <v>74</v>
      </c>
      <c r="BE493" t="s">
        <v>9180</v>
      </c>
      <c r="BF493" t="str">
        <f>HYPERLINK("http://dx.doi.org/10.1016/j.funeco.2008.10.005","http://dx.doi.org/10.1016/j.funeco.2008.10.005")</f>
        <v>http://dx.doi.org/10.1016/j.funeco.2008.10.005</v>
      </c>
      <c r="BG493" t="s">
        <v>74</v>
      </c>
      <c r="BH493" t="s">
        <v>74</v>
      </c>
      <c r="BI493">
        <v>11</v>
      </c>
      <c r="BJ493" t="s">
        <v>1678</v>
      </c>
      <c r="BK493" t="s">
        <v>100</v>
      </c>
      <c r="BL493" t="s">
        <v>1679</v>
      </c>
      <c r="BM493" t="s">
        <v>9181</v>
      </c>
      <c r="BN493" t="s">
        <v>74</v>
      </c>
      <c r="BO493" t="s">
        <v>1012</v>
      </c>
      <c r="BP493" t="s">
        <v>74</v>
      </c>
      <c r="BQ493" t="s">
        <v>74</v>
      </c>
      <c r="BR493" t="s">
        <v>103</v>
      </c>
      <c r="BS493" t="s">
        <v>9182</v>
      </c>
      <c r="BT493" t="str">
        <f>HYPERLINK("https%3A%2F%2Fwww.webofscience.com%2Fwos%2Fwoscc%2Ffull-record%2FWOS:000265946600002","View Full Record in Web of Science")</f>
        <v>View Full Record in Web of Science</v>
      </c>
    </row>
    <row r="494" spans="1:72" x14ac:dyDescent="0.15">
      <c r="A494" t="s">
        <v>72</v>
      </c>
      <c r="B494" t="s">
        <v>9183</v>
      </c>
      <c r="C494" t="s">
        <v>74</v>
      </c>
      <c r="D494" t="s">
        <v>74</v>
      </c>
      <c r="E494" t="s">
        <v>74</v>
      </c>
      <c r="F494" t="s">
        <v>9184</v>
      </c>
      <c r="G494" t="s">
        <v>74</v>
      </c>
      <c r="H494" t="s">
        <v>74</v>
      </c>
      <c r="I494" t="s">
        <v>9185</v>
      </c>
      <c r="J494" t="s">
        <v>9186</v>
      </c>
      <c r="K494" t="s">
        <v>74</v>
      </c>
      <c r="L494" t="s">
        <v>74</v>
      </c>
      <c r="M494" t="s">
        <v>78</v>
      </c>
      <c r="N494" t="s">
        <v>79</v>
      </c>
      <c r="O494" t="s">
        <v>74</v>
      </c>
      <c r="P494" t="s">
        <v>74</v>
      </c>
      <c r="Q494" t="s">
        <v>74</v>
      </c>
      <c r="R494" t="s">
        <v>74</v>
      </c>
      <c r="S494" t="s">
        <v>74</v>
      </c>
      <c r="T494" t="s">
        <v>9187</v>
      </c>
      <c r="U494" t="s">
        <v>9188</v>
      </c>
      <c r="V494" t="s">
        <v>9189</v>
      </c>
      <c r="W494" t="s">
        <v>9190</v>
      </c>
      <c r="X494" t="s">
        <v>9191</v>
      </c>
      <c r="Y494" t="s">
        <v>9192</v>
      </c>
      <c r="Z494" t="s">
        <v>9193</v>
      </c>
      <c r="AA494" t="s">
        <v>9194</v>
      </c>
      <c r="AB494" t="s">
        <v>9195</v>
      </c>
      <c r="AC494" t="s">
        <v>9196</v>
      </c>
      <c r="AD494" t="s">
        <v>9197</v>
      </c>
      <c r="AE494" t="s">
        <v>9198</v>
      </c>
      <c r="AF494" t="s">
        <v>74</v>
      </c>
      <c r="AG494">
        <v>77</v>
      </c>
      <c r="AH494">
        <v>22</v>
      </c>
      <c r="AI494">
        <v>24</v>
      </c>
      <c r="AJ494">
        <v>0</v>
      </c>
      <c r="AK494">
        <v>9</v>
      </c>
      <c r="AL494" t="s">
        <v>9199</v>
      </c>
      <c r="AM494" t="s">
        <v>9200</v>
      </c>
      <c r="AN494" t="s">
        <v>9201</v>
      </c>
      <c r="AO494" t="s">
        <v>9202</v>
      </c>
      <c r="AP494" t="s">
        <v>9203</v>
      </c>
      <c r="AQ494" t="s">
        <v>74</v>
      </c>
      <c r="AR494" t="s">
        <v>9204</v>
      </c>
      <c r="AS494" t="s">
        <v>9205</v>
      </c>
      <c r="AT494" t="s">
        <v>8540</v>
      </c>
      <c r="AU494">
        <v>2009</v>
      </c>
      <c r="AV494">
        <v>60</v>
      </c>
      <c r="AW494">
        <v>1</v>
      </c>
      <c r="AX494" t="s">
        <v>74</v>
      </c>
      <c r="AY494" t="s">
        <v>74</v>
      </c>
      <c r="AZ494" t="s">
        <v>74</v>
      </c>
      <c r="BA494" t="s">
        <v>74</v>
      </c>
      <c r="BB494">
        <v>15</v>
      </c>
      <c r="BC494">
        <v>33</v>
      </c>
      <c r="BD494" t="s">
        <v>74</v>
      </c>
      <c r="BE494" t="s">
        <v>9206</v>
      </c>
      <c r="BF494" t="str">
        <f>HYPERLINK("http://dx.doi.org/10.2478/v10096-009-0001-8","http://dx.doi.org/10.2478/v10096-009-0001-8")</f>
        <v>http://dx.doi.org/10.2478/v10096-009-0001-8</v>
      </c>
      <c r="BG494" t="s">
        <v>74</v>
      </c>
      <c r="BH494" t="s">
        <v>74</v>
      </c>
      <c r="BI494">
        <v>19</v>
      </c>
      <c r="BJ494" t="s">
        <v>496</v>
      </c>
      <c r="BK494" t="s">
        <v>100</v>
      </c>
      <c r="BL494" t="s">
        <v>497</v>
      </c>
      <c r="BM494" t="s">
        <v>9207</v>
      </c>
      <c r="BN494" t="s">
        <v>74</v>
      </c>
      <c r="BO494" t="s">
        <v>7315</v>
      </c>
      <c r="BP494" t="s">
        <v>74</v>
      </c>
      <c r="BQ494" t="s">
        <v>74</v>
      </c>
      <c r="BR494" t="s">
        <v>103</v>
      </c>
      <c r="BS494" t="s">
        <v>9208</v>
      </c>
      <c r="BT494" t="str">
        <f>HYPERLINK("https%3A%2F%2Fwww.webofscience.com%2Fwos%2Fwoscc%2Ffull-record%2FWOS:000264292000002","View Full Record in Web of Science")</f>
        <v>View Full Record in Web of Science</v>
      </c>
    </row>
    <row r="495" spans="1:72" x14ac:dyDescent="0.15">
      <c r="A495" t="s">
        <v>72</v>
      </c>
      <c r="B495" t="s">
        <v>9209</v>
      </c>
      <c r="C495" t="s">
        <v>74</v>
      </c>
      <c r="D495" t="s">
        <v>74</v>
      </c>
      <c r="E495" t="s">
        <v>74</v>
      </c>
      <c r="F495" t="s">
        <v>9210</v>
      </c>
      <c r="G495" t="s">
        <v>74</v>
      </c>
      <c r="H495" t="s">
        <v>74</v>
      </c>
      <c r="I495" t="s">
        <v>9211</v>
      </c>
      <c r="J495" t="s">
        <v>1728</v>
      </c>
      <c r="K495" t="s">
        <v>74</v>
      </c>
      <c r="L495" t="s">
        <v>74</v>
      </c>
      <c r="M495" t="s">
        <v>78</v>
      </c>
      <c r="N495" t="s">
        <v>79</v>
      </c>
      <c r="O495" t="s">
        <v>74</v>
      </c>
      <c r="P495" t="s">
        <v>74</v>
      </c>
      <c r="Q495" t="s">
        <v>74</v>
      </c>
      <c r="R495" t="s">
        <v>74</v>
      </c>
      <c r="S495" t="s">
        <v>74</v>
      </c>
      <c r="T495" t="s">
        <v>9212</v>
      </c>
      <c r="U495" t="s">
        <v>9213</v>
      </c>
      <c r="V495" t="s">
        <v>9214</v>
      </c>
      <c r="W495" t="s">
        <v>9215</v>
      </c>
      <c r="X495" t="s">
        <v>9216</v>
      </c>
      <c r="Y495" t="s">
        <v>9217</v>
      </c>
      <c r="Z495" t="s">
        <v>9218</v>
      </c>
      <c r="AA495" t="s">
        <v>9219</v>
      </c>
      <c r="AB495" t="s">
        <v>9220</v>
      </c>
      <c r="AC495" t="s">
        <v>9221</v>
      </c>
      <c r="AD495" t="s">
        <v>9222</v>
      </c>
      <c r="AE495" t="s">
        <v>9223</v>
      </c>
      <c r="AF495" t="s">
        <v>74</v>
      </c>
      <c r="AG495">
        <v>35</v>
      </c>
      <c r="AH495">
        <v>13</v>
      </c>
      <c r="AI495">
        <v>13</v>
      </c>
      <c r="AJ495">
        <v>1</v>
      </c>
      <c r="AK495">
        <v>6</v>
      </c>
      <c r="AL495" t="s">
        <v>1739</v>
      </c>
      <c r="AM495" t="s">
        <v>304</v>
      </c>
      <c r="AN495" t="s">
        <v>1740</v>
      </c>
      <c r="AO495" t="s">
        <v>1741</v>
      </c>
      <c r="AP495" t="s">
        <v>1742</v>
      </c>
      <c r="AQ495" t="s">
        <v>74</v>
      </c>
      <c r="AR495" t="s">
        <v>1743</v>
      </c>
      <c r="AS495" t="s">
        <v>1744</v>
      </c>
      <c r="AT495" t="s">
        <v>8540</v>
      </c>
      <c r="AU495">
        <v>2009</v>
      </c>
      <c r="AV495">
        <v>176</v>
      </c>
      <c r="AW495">
        <v>2</v>
      </c>
      <c r="AX495" t="s">
        <v>74</v>
      </c>
      <c r="AY495" t="s">
        <v>74</v>
      </c>
      <c r="AZ495" t="s">
        <v>74</v>
      </c>
      <c r="BA495" t="s">
        <v>74</v>
      </c>
      <c r="BB495">
        <v>478</v>
      </c>
      <c r="BC495">
        <v>490</v>
      </c>
      <c r="BD495" t="s">
        <v>74</v>
      </c>
      <c r="BE495" t="s">
        <v>9224</v>
      </c>
      <c r="BF495" t="str">
        <f>HYPERLINK("http://dx.doi.org/10.1111/j.1365-246X.2008.04007.x","http://dx.doi.org/10.1111/j.1365-246X.2008.04007.x")</f>
        <v>http://dx.doi.org/10.1111/j.1365-246X.2008.04007.x</v>
      </c>
      <c r="BG495" t="s">
        <v>74</v>
      </c>
      <c r="BH495" t="s">
        <v>74</v>
      </c>
      <c r="BI495">
        <v>13</v>
      </c>
      <c r="BJ495" t="s">
        <v>534</v>
      </c>
      <c r="BK495" t="s">
        <v>100</v>
      </c>
      <c r="BL495" t="s">
        <v>534</v>
      </c>
      <c r="BM495" t="s">
        <v>9225</v>
      </c>
      <c r="BN495" t="s">
        <v>74</v>
      </c>
      <c r="BO495" t="s">
        <v>499</v>
      </c>
      <c r="BP495" t="s">
        <v>74</v>
      </c>
      <c r="BQ495" t="s">
        <v>74</v>
      </c>
      <c r="BR495" t="s">
        <v>103</v>
      </c>
      <c r="BS495" t="s">
        <v>9226</v>
      </c>
      <c r="BT495" t="str">
        <f>HYPERLINK("https%3A%2F%2Fwww.webofscience.com%2Fwos%2Fwoscc%2Ffull-record%2FWOS:000262470500011","View Full Record in Web of Science")</f>
        <v>View Full Record in Web of Science</v>
      </c>
    </row>
    <row r="496" spans="1:72" x14ac:dyDescent="0.15">
      <c r="A496" t="s">
        <v>72</v>
      </c>
      <c r="B496" t="s">
        <v>9227</v>
      </c>
      <c r="C496" t="s">
        <v>74</v>
      </c>
      <c r="D496" t="s">
        <v>74</v>
      </c>
      <c r="E496" t="s">
        <v>74</v>
      </c>
      <c r="F496" t="s">
        <v>9228</v>
      </c>
      <c r="G496" t="s">
        <v>74</v>
      </c>
      <c r="H496" t="s">
        <v>74</v>
      </c>
      <c r="I496" t="s">
        <v>9229</v>
      </c>
      <c r="J496" t="s">
        <v>9230</v>
      </c>
      <c r="K496" t="s">
        <v>74</v>
      </c>
      <c r="L496" t="s">
        <v>74</v>
      </c>
      <c r="M496" t="s">
        <v>78</v>
      </c>
      <c r="N496" t="s">
        <v>172</v>
      </c>
      <c r="O496" t="s">
        <v>74</v>
      </c>
      <c r="P496" t="s">
        <v>74</v>
      </c>
      <c r="Q496" t="s">
        <v>74</v>
      </c>
      <c r="R496" t="s">
        <v>74</v>
      </c>
      <c r="S496" t="s">
        <v>74</v>
      </c>
      <c r="T496" t="s">
        <v>74</v>
      </c>
      <c r="U496" t="s">
        <v>9231</v>
      </c>
      <c r="V496" t="s">
        <v>9232</v>
      </c>
      <c r="W496" t="s">
        <v>9233</v>
      </c>
      <c r="X496" t="s">
        <v>9234</v>
      </c>
      <c r="Y496" t="s">
        <v>9235</v>
      </c>
      <c r="Z496" t="s">
        <v>74</v>
      </c>
      <c r="AA496" t="s">
        <v>9236</v>
      </c>
      <c r="AB496" t="s">
        <v>9237</v>
      </c>
      <c r="AC496" t="s">
        <v>9238</v>
      </c>
      <c r="AD496" t="s">
        <v>9239</v>
      </c>
      <c r="AE496" t="s">
        <v>9240</v>
      </c>
      <c r="AF496" t="s">
        <v>74</v>
      </c>
      <c r="AG496">
        <v>199</v>
      </c>
      <c r="AH496">
        <v>473</v>
      </c>
      <c r="AI496">
        <v>532</v>
      </c>
      <c r="AJ496">
        <v>0</v>
      </c>
      <c r="AK496">
        <v>78</v>
      </c>
      <c r="AL496" t="s">
        <v>1696</v>
      </c>
      <c r="AM496" t="s">
        <v>1096</v>
      </c>
      <c r="AN496" t="s">
        <v>1697</v>
      </c>
      <c r="AO496" t="s">
        <v>9241</v>
      </c>
      <c r="AP496" t="s">
        <v>74</v>
      </c>
      <c r="AQ496" t="s">
        <v>74</v>
      </c>
      <c r="AR496" t="s">
        <v>9230</v>
      </c>
      <c r="AS496" t="s">
        <v>9242</v>
      </c>
      <c r="AT496" t="s">
        <v>8540</v>
      </c>
      <c r="AU496">
        <v>2009</v>
      </c>
      <c r="AV496">
        <v>5</v>
      </c>
      <c r="AW496">
        <v>1</v>
      </c>
      <c r="AX496" t="s">
        <v>74</v>
      </c>
      <c r="AY496" t="s">
        <v>74</v>
      </c>
      <c r="AZ496" t="s">
        <v>74</v>
      </c>
      <c r="BA496" t="s">
        <v>74</v>
      </c>
      <c r="BB496">
        <v>23</v>
      </c>
      <c r="BC496">
        <v>50</v>
      </c>
      <c r="BD496" t="s">
        <v>74</v>
      </c>
      <c r="BE496" t="s">
        <v>9243</v>
      </c>
      <c r="BF496" t="str">
        <f>HYPERLINK("http://dx.doi.org/10.1130/GES00179.1","http://dx.doi.org/10.1130/GES00179.1")</f>
        <v>http://dx.doi.org/10.1130/GES00179.1</v>
      </c>
      <c r="BG496" t="s">
        <v>74</v>
      </c>
      <c r="BH496" t="s">
        <v>74</v>
      </c>
      <c r="BI496">
        <v>28</v>
      </c>
      <c r="BJ496" t="s">
        <v>496</v>
      </c>
      <c r="BK496" t="s">
        <v>100</v>
      </c>
      <c r="BL496" t="s">
        <v>497</v>
      </c>
      <c r="BM496" t="s">
        <v>9244</v>
      </c>
      <c r="BN496" t="s">
        <v>74</v>
      </c>
      <c r="BO496" t="s">
        <v>499</v>
      </c>
      <c r="BP496" t="s">
        <v>74</v>
      </c>
      <c r="BQ496" t="s">
        <v>74</v>
      </c>
      <c r="BR496" t="s">
        <v>103</v>
      </c>
      <c r="BS496" t="s">
        <v>9245</v>
      </c>
      <c r="BT496" t="str">
        <f>HYPERLINK("https%3A%2F%2Fwww.webofscience.com%2Fwos%2Fwoscc%2Ffull-record%2FWOS:000263327400002","View Full Record in Web of Science")</f>
        <v>View Full Record in Web of Science</v>
      </c>
    </row>
    <row r="497" spans="1:72" x14ac:dyDescent="0.15">
      <c r="A497" t="s">
        <v>72</v>
      </c>
      <c r="B497" t="s">
        <v>9246</v>
      </c>
      <c r="C497" t="s">
        <v>74</v>
      </c>
      <c r="D497" t="s">
        <v>74</v>
      </c>
      <c r="E497" t="s">
        <v>74</v>
      </c>
      <c r="F497" t="s">
        <v>9247</v>
      </c>
      <c r="G497" t="s">
        <v>74</v>
      </c>
      <c r="H497" t="s">
        <v>74</v>
      </c>
      <c r="I497" t="s">
        <v>9248</v>
      </c>
      <c r="J497" t="s">
        <v>9249</v>
      </c>
      <c r="K497" t="s">
        <v>74</v>
      </c>
      <c r="L497" t="s">
        <v>74</v>
      </c>
      <c r="M497" t="s">
        <v>78</v>
      </c>
      <c r="N497" t="s">
        <v>79</v>
      </c>
      <c r="O497" t="s">
        <v>74</v>
      </c>
      <c r="P497" t="s">
        <v>74</v>
      </c>
      <c r="Q497" t="s">
        <v>74</v>
      </c>
      <c r="R497" t="s">
        <v>74</v>
      </c>
      <c r="S497" t="s">
        <v>74</v>
      </c>
      <c r="T497" t="s">
        <v>9250</v>
      </c>
      <c r="U497" t="s">
        <v>9251</v>
      </c>
      <c r="V497" t="s">
        <v>9252</v>
      </c>
      <c r="W497" t="s">
        <v>9253</v>
      </c>
      <c r="X497" t="s">
        <v>8622</v>
      </c>
      <c r="Y497" t="s">
        <v>9254</v>
      </c>
      <c r="Z497" t="s">
        <v>9255</v>
      </c>
      <c r="AA497" t="s">
        <v>9256</v>
      </c>
      <c r="AB497" t="s">
        <v>9257</v>
      </c>
      <c r="AC497" t="s">
        <v>9258</v>
      </c>
      <c r="AD497" t="s">
        <v>9258</v>
      </c>
      <c r="AE497" t="s">
        <v>9259</v>
      </c>
      <c r="AF497" t="s">
        <v>74</v>
      </c>
      <c r="AG497">
        <v>47</v>
      </c>
      <c r="AH497">
        <v>38</v>
      </c>
      <c r="AI497">
        <v>39</v>
      </c>
      <c r="AJ497">
        <v>0</v>
      </c>
      <c r="AK497">
        <v>21</v>
      </c>
      <c r="AL497" t="s">
        <v>489</v>
      </c>
      <c r="AM497" t="s">
        <v>490</v>
      </c>
      <c r="AN497" t="s">
        <v>491</v>
      </c>
      <c r="AO497" t="s">
        <v>9260</v>
      </c>
      <c r="AP497" t="s">
        <v>9261</v>
      </c>
      <c r="AQ497" t="s">
        <v>74</v>
      </c>
      <c r="AR497" t="s">
        <v>9262</v>
      </c>
      <c r="AS497" t="s">
        <v>9263</v>
      </c>
      <c r="AT497" t="s">
        <v>8540</v>
      </c>
      <c r="AU497">
        <v>2009</v>
      </c>
      <c r="AV497">
        <v>15</v>
      </c>
      <c r="AW497">
        <v>2</v>
      </c>
      <c r="AX497" t="s">
        <v>74</v>
      </c>
      <c r="AY497" t="s">
        <v>74</v>
      </c>
      <c r="AZ497" t="s">
        <v>74</v>
      </c>
      <c r="BA497" t="s">
        <v>74</v>
      </c>
      <c r="BB497">
        <v>319</v>
      </c>
      <c r="BC497">
        <v>329</v>
      </c>
      <c r="BD497" t="s">
        <v>74</v>
      </c>
      <c r="BE497" t="s">
        <v>9264</v>
      </c>
      <c r="BF497" t="str">
        <f>HYPERLINK("http://dx.doi.org/10.1111/j.1365-2486.2008.01739.x","http://dx.doi.org/10.1111/j.1365-2486.2008.01739.x")</f>
        <v>http://dx.doi.org/10.1111/j.1365-2486.2008.01739.x</v>
      </c>
      <c r="BG497" t="s">
        <v>74</v>
      </c>
      <c r="BH497" t="s">
        <v>74</v>
      </c>
      <c r="BI497">
        <v>11</v>
      </c>
      <c r="BJ497" t="s">
        <v>9265</v>
      </c>
      <c r="BK497" t="s">
        <v>100</v>
      </c>
      <c r="BL497" t="s">
        <v>101</v>
      </c>
      <c r="BM497" t="s">
        <v>9266</v>
      </c>
      <c r="BN497" t="s">
        <v>74</v>
      </c>
      <c r="BO497" t="s">
        <v>74</v>
      </c>
      <c r="BP497" t="s">
        <v>74</v>
      </c>
      <c r="BQ497" t="s">
        <v>74</v>
      </c>
      <c r="BR497" t="s">
        <v>103</v>
      </c>
      <c r="BS497" t="s">
        <v>9267</v>
      </c>
      <c r="BT497" t="str">
        <f>HYPERLINK("https%3A%2F%2Fwww.webofscience.com%2Fwos%2Fwoscc%2Ffull-record%2FWOS:000262510500003","View Full Record in Web of Science")</f>
        <v>View Full Record in Web of Science</v>
      </c>
    </row>
    <row r="498" spans="1:72" x14ac:dyDescent="0.15">
      <c r="A498" t="s">
        <v>72</v>
      </c>
      <c r="B498" t="s">
        <v>9268</v>
      </c>
      <c r="C498" t="s">
        <v>74</v>
      </c>
      <c r="D498" t="s">
        <v>74</v>
      </c>
      <c r="E498" t="s">
        <v>74</v>
      </c>
      <c r="F498" t="s">
        <v>9269</v>
      </c>
      <c r="G498" t="s">
        <v>74</v>
      </c>
      <c r="H498" t="s">
        <v>74</v>
      </c>
      <c r="I498" t="s">
        <v>9270</v>
      </c>
      <c r="J498" t="s">
        <v>9271</v>
      </c>
      <c r="K498" t="s">
        <v>74</v>
      </c>
      <c r="L498" t="s">
        <v>74</v>
      </c>
      <c r="M498" t="s">
        <v>78</v>
      </c>
      <c r="N498" t="s">
        <v>79</v>
      </c>
      <c r="O498" t="s">
        <v>74</v>
      </c>
      <c r="P498" t="s">
        <v>74</v>
      </c>
      <c r="Q498" t="s">
        <v>74</v>
      </c>
      <c r="R498" t="s">
        <v>74</v>
      </c>
      <c r="S498" t="s">
        <v>74</v>
      </c>
      <c r="T498" t="s">
        <v>9272</v>
      </c>
      <c r="U498" t="s">
        <v>9273</v>
      </c>
      <c r="V498" t="s">
        <v>9274</v>
      </c>
      <c r="W498" t="s">
        <v>9275</v>
      </c>
      <c r="X498" t="s">
        <v>9276</v>
      </c>
      <c r="Y498" t="s">
        <v>9277</v>
      </c>
      <c r="Z498" t="s">
        <v>9278</v>
      </c>
      <c r="AA498" t="s">
        <v>9279</v>
      </c>
      <c r="AB498" t="s">
        <v>9280</v>
      </c>
      <c r="AC498" t="s">
        <v>9281</v>
      </c>
      <c r="AD498" t="s">
        <v>9281</v>
      </c>
      <c r="AE498" t="s">
        <v>9282</v>
      </c>
      <c r="AF498" t="s">
        <v>74</v>
      </c>
      <c r="AG498">
        <v>64</v>
      </c>
      <c r="AH498">
        <v>36</v>
      </c>
      <c r="AI498">
        <v>40</v>
      </c>
      <c r="AJ498">
        <v>2</v>
      </c>
      <c r="AK498">
        <v>29</v>
      </c>
      <c r="AL498" t="s">
        <v>3225</v>
      </c>
      <c r="AM498" t="s">
        <v>2924</v>
      </c>
      <c r="AN498" t="s">
        <v>3226</v>
      </c>
      <c r="AO498" t="s">
        <v>9283</v>
      </c>
      <c r="AP498" t="s">
        <v>74</v>
      </c>
      <c r="AQ498" t="s">
        <v>74</v>
      </c>
      <c r="AR498" t="s">
        <v>9271</v>
      </c>
      <c r="AS498" t="s">
        <v>9284</v>
      </c>
      <c r="AT498" t="s">
        <v>8540</v>
      </c>
      <c r="AU498">
        <v>2009</v>
      </c>
      <c r="AV498">
        <v>102</v>
      </c>
      <c r="AW498">
        <v>2</v>
      </c>
      <c r="AX498" t="s">
        <v>74</v>
      </c>
      <c r="AY498" t="s">
        <v>74</v>
      </c>
      <c r="AZ498" t="s">
        <v>74</v>
      </c>
      <c r="BA498" t="s">
        <v>74</v>
      </c>
      <c r="BB498">
        <v>199</v>
      </c>
      <c r="BC498">
        <v>210</v>
      </c>
      <c r="BD498" t="s">
        <v>74</v>
      </c>
      <c r="BE498" t="s">
        <v>9285</v>
      </c>
      <c r="BF498" t="str">
        <f>HYPERLINK("http://dx.doi.org/10.1038/hdy.2008.111","http://dx.doi.org/10.1038/hdy.2008.111")</f>
        <v>http://dx.doi.org/10.1038/hdy.2008.111</v>
      </c>
      <c r="BG498" t="s">
        <v>74</v>
      </c>
      <c r="BH498" t="s">
        <v>74</v>
      </c>
      <c r="BI498">
        <v>12</v>
      </c>
      <c r="BJ498" t="s">
        <v>9286</v>
      </c>
      <c r="BK498" t="s">
        <v>100</v>
      </c>
      <c r="BL498" t="s">
        <v>9287</v>
      </c>
      <c r="BM498" t="s">
        <v>9288</v>
      </c>
      <c r="BN498">
        <v>19002206</v>
      </c>
      <c r="BO498" t="s">
        <v>499</v>
      </c>
      <c r="BP498" t="s">
        <v>74</v>
      </c>
      <c r="BQ498" t="s">
        <v>74</v>
      </c>
      <c r="BR498" t="s">
        <v>103</v>
      </c>
      <c r="BS498" t="s">
        <v>9289</v>
      </c>
      <c r="BT498" t="str">
        <f>HYPERLINK("https%3A%2F%2Fwww.webofscience.com%2Fwos%2Fwoscc%2Ffull-record%2FWOS:000262550500013","View Full Record in Web of Science")</f>
        <v>View Full Record in Web of Science</v>
      </c>
    </row>
    <row r="499" spans="1:72" x14ac:dyDescent="0.15">
      <c r="A499" t="s">
        <v>72</v>
      </c>
      <c r="B499" t="s">
        <v>9290</v>
      </c>
      <c r="C499" t="s">
        <v>74</v>
      </c>
      <c r="D499" t="s">
        <v>74</v>
      </c>
      <c r="E499" t="s">
        <v>74</v>
      </c>
      <c r="F499" t="s">
        <v>9291</v>
      </c>
      <c r="G499" t="s">
        <v>74</v>
      </c>
      <c r="H499" t="s">
        <v>74</v>
      </c>
      <c r="I499" t="s">
        <v>9292</v>
      </c>
      <c r="J499" t="s">
        <v>9293</v>
      </c>
      <c r="K499" t="s">
        <v>74</v>
      </c>
      <c r="L499" t="s">
        <v>74</v>
      </c>
      <c r="M499" t="s">
        <v>78</v>
      </c>
      <c r="N499" t="s">
        <v>172</v>
      </c>
      <c r="O499" t="s">
        <v>74</v>
      </c>
      <c r="P499" t="s">
        <v>74</v>
      </c>
      <c r="Q499" t="s">
        <v>74</v>
      </c>
      <c r="R499" t="s">
        <v>74</v>
      </c>
      <c r="S499" t="s">
        <v>74</v>
      </c>
      <c r="T499" t="s">
        <v>9294</v>
      </c>
      <c r="U499" t="s">
        <v>9295</v>
      </c>
      <c r="V499" t="s">
        <v>9296</v>
      </c>
      <c r="W499" t="s">
        <v>9297</v>
      </c>
      <c r="X499" t="s">
        <v>9298</v>
      </c>
      <c r="Y499" t="s">
        <v>9299</v>
      </c>
      <c r="Z499" t="s">
        <v>9300</v>
      </c>
      <c r="AA499" t="s">
        <v>9301</v>
      </c>
      <c r="AB499" t="s">
        <v>9302</v>
      </c>
      <c r="AC499" t="s">
        <v>9303</v>
      </c>
      <c r="AD499" t="s">
        <v>9304</v>
      </c>
      <c r="AE499" t="s">
        <v>9305</v>
      </c>
      <c r="AF499" t="s">
        <v>74</v>
      </c>
      <c r="AG499">
        <v>512</v>
      </c>
      <c r="AH499">
        <v>500</v>
      </c>
      <c r="AI499">
        <v>574</v>
      </c>
      <c r="AJ499">
        <v>8</v>
      </c>
      <c r="AK499">
        <v>382</v>
      </c>
      <c r="AL499" t="s">
        <v>9306</v>
      </c>
      <c r="AM499" t="s">
        <v>2924</v>
      </c>
      <c r="AN499" t="s">
        <v>9307</v>
      </c>
      <c r="AO499" t="s">
        <v>9308</v>
      </c>
      <c r="AP499" t="s">
        <v>9309</v>
      </c>
      <c r="AQ499" t="s">
        <v>74</v>
      </c>
      <c r="AR499" t="s">
        <v>9293</v>
      </c>
      <c r="AS499" t="s">
        <v>9310</v>
      </c>
      <c r="AT499" t="s">
        <v>8540</v>
      </c>
      <c r="AU499">
        <v>2009</v>
      </c>
      <c r="AV499">
        <v>19</v>
      </c>
      <c r="AW499">
        <v>1</v>
      </c>
      <c r="AX499" t="s">
        <v>74</v>
      </c>
      <c r="AY499" t="s">
        <v>74</v>
      </c>
      <c r="AZ499" t="s">
        <v>74</v>
      </c>
      <c r="BA499" t="s">
        <v>74</v>
      </c>
      <c r="BB499">
        <v>3</v>
      </c>
      <c r="BC499">
        <v>49</v>
      </c>
      <c r="BD499" t="s">
        <v>74</v>
      </c>
      <c r="BE499" t="s">
        <v>9311</v>
      </c>
      <c r="BF499" t="str">
        <f>HYPERLINK("http://dx.doi.org/10.1177/0959683608098952","http://dx.doi.org/10.1177/0959683608098952")</f>
        <v>http://dx.doi.org/10.1177/0959683608098952</v>
      </c>
      <c r="BG499" t="s">
        <v>74</v>
      </c>
      <c r="BH499" t="s">
        <v>74</v>
      </c>
      <c r="BI499">
        <v>47</v>
      </c>
      <c r="BJ499" t="s">
        <v>312</v>
      </c>
      <c r="BK499" t="s">
        <v>100</v>
      </c>
      <c r="BL499" t="s">
        <v>313</v>
      </c>
      <c r="BM499" t="s">
        <v>9312</v>
      </c>
      <c r="BN499" t="s">
        <v>74</v>
      </c>
      <c r="BO499" t="s">
        <v>1012</v>
      </c>
      <c r="BP499" t="s">
        <v>74</v>
      </c>
      <c r="BQ499" t="s">
        <v>74</v>
      </c>
      <c r="BR499" t="s">
        <v>103</v>
      </c>
      <c r="BS499" t="s">
        <v>9313</v>
      </c>
      <c r="BT499" t="str">
        <f>HYPERLINK("https%3A%2F%2Fwww.webofscience.com%2Fwos%2Fwoscc%2Ffull-record%2FWOS:000262812600001","View Full Record in Web of Science")</f>
        <v>View Full Record in Web of Science</v>
      </c>
    </row>
    <row r="500" spans="1:72" x14ac:dyDescent="0.15">
      <c r="A500" t="s">
        <v>72</v>
      </c>
      <c r="B500" t="s">
        <v>9314</v>
      </c>
      <c r="C500" t="s">
        <v>74</v>
      </c>
      <c r="D500" t="s">
        <v>74</v>
      </c>
      <c r="E500" t="s">
        <v>74</v>
      </c>
      <c r="F500" t="s">
        <v>9315</v>
      </c>
      <c r="G500" t="s">
        <v>74</v>
      </c>
      <c r="H500" t="s">
        <v>74</v>
      </c>
      <c r="I500" t="s">
        <v>9316</v>
      </c>
      <c r="J500" t="s">
        <v>9293</v>
      </c>
      <c r="K500" t="s">
        <v>74</v>
      </c>
      <c r="L500" t="s">
        <v>74</v>
      </c>
      <c r="M500" t="s">
        <v>78</v>
      </c>
      <c r="N500" t="s">
        <v>172</v>
      </c>
      <c r="O500" t="s">
        <v>74</v>
      </c>
      <c r="P500" t="s">
        <v>74</v>
      </c>
      <c r="Q500" t="s">
        <v>74</v>
      </c>
      <c r="R500" t="s">
        <v>74</v>
      </c>
      <c r="S500" t="s">
        <v>74</v>
      </c>
      <c r="T500" t="s">
        <v>9317</v>
      </c>
      <c r="U500" t="s">
        <v>9318</v>
      </c>
      <c r="V500" t="s">
        <v>9319</v>
      </c>
      <c r="W500" t="s">
        <v>9320</v>
      </c>
      <c r="X500" t="s">
        <v>9321</v>
      </c>
      <c r="Y500" t="s">
        <v>9322</v>
      </c>
      <c r="Z500" t="s">
        <v>9323</v>
      </c>
      <c r="AA500" t="s">
        <v>9324</v>
      </c>
      <c r="AB500" t="s">
        <v>9325</v>
      </c>
      <c r="AC500" t="s">
        <v>9326</v>
      </c>
      <c r="AD500" t="s">
        <v>9327</v>
      </c>
      <c r="AE500" t="s">
        <v>9328</v>
      </c>
      <c r="AF500" t="s">
        <v>74</v>
      </c>
      <c r="AG500">
        <v>163</v>
      </c>
      <c r="AH500">
        <v>154</v>
      </c>
      <c r="AI500">
        <v>169</v>
      </c>
      <c r="AJ500">
        <v>1</v>
      </c>
      <c r="AK500">
        <v>54</v>
      </c>
      <c r="AL500" t="s">
        <v>9306</v>
      </c>
      <c r="AM500" t="s">
        <v>2924</v>
      </c>
      <c r="AN500" t="s">
        <v>9307</v>
      </c>
      <c r="AO500" t="s">
        <v>9308</v>
      </c>
      <c r="AP500" t="s">
        <v>9309</v>
      </c>
      <c r="AQ500" t="s">
        <v>74</v>
      </c>
      <c r="AR500" t="s">
        <v>9293</v>
      </c>
      <c r="AS500" t="s">
        <v>9310</v>
      </c>
      <c r="AT500" t="s">
        <v>8540</v>
      </c>
      <c r="AU500">
        <v>2009</v>
      </c>
      <c r="AV500">
        <v>19</v>
      </c>
      <c r="AW500">
        <v>1</v>
      </c>
      <c r="AX500" t="s">
        <v>74</v>
      </c>
      <c r="AY500" t="s">
        <v>74</v>
      </c>
      <c r="AZ500" t="s">
        <v>74</v>
      </c>
      <c r="BA500" t="s">
        <v>74</v>
      </c>
      <c r="BB500">
        <v>51</v>
      </c>
      <c r="BC500">
        <v>69</v>
      </c>
      <c r="BD500" t="s">
        <v>74</v>
      </c>
      <c r="BE500" t="s">
        <v>9329</v>
      </c>
      <c r="BF500" t="str">
        <f>HYPERLINK("http://dx.doi.org/10.1177/0959683608096603","http://dx.doi.org/10.1177/0959683608096603")</f>
        <v>http://dx.doi.org/10.1177/0959683608096603</v>
      </c>
      <c r="BG500" t="s">
        <v>74</v>
      </c>
      <c r="BH500" t="s">
        <v>74</v>
      </c>
      <c r="BI500">
        <v>19</v>
      </c>
      <c r="BJ500" t="s">
        <v>312</v>
      </c>
      <c r="BK500" t="s">
        <v>100</v>
      </c>
      <c r="BL500" t="s">
        <v>313</v>
      </c>
      <c r="BM500" t="s">
        <v>9312</v>
      </c>
      <c r="BN500" t="s">
        <v>74</v>
      </c>
      <c r="BO500" t="s">
        <v>1012</v>
      </c>
      <c r="BP500" t="s">
        <v>74</v>
      </c>
      <c r="BQ500" t="s">
        <v>74</v>
      </c>
      <c r="BR500" t="s">
        <v>103</v>
      </c>
      <c r="BS500" t="s">
        <v>9330</v>
      </c>
      <c r="BT500" t="str">
        <f>HYPERLINK("https%3A%2F%2Fwww.webofscience.com%2Fwos%2Fwoscc%2Ffull-record%2FWOS:000262812600002","View Full Record in Web of Science")</f>
        <v>View Full Record in Web of Science</v>
      </c>
    </row>
    <row r="501" spans="1:72" x14ac:dyDescent="0.15">
      <c r="A501" t="s">
        <v>72</v>
      </c>
      <c r="B501" t="s">
        <v>9331</v>
      </c>
      <c r="C501" t="s">
        <v>74</v>
      </c>
      <c r="D501" t="s">
        <v>74</v>
      </c>
      <c r="E501" t="s">
        <v>74</v>
      </c>
      <c r="F501" t="s">
        <v>9332</v>
      </c>
      <c r="G501" t="s">
        <v>74</v>
      </c>
      <c r="H501" t="s">
        <v>74</v>
      </c>
      <c r="I501" t="s">
        <v>9333</v>
      </c>
      <c r="J501" t="s">
        <v>6656</v>
      </c>
      <c r="K501" t="s">
        <v>74</v>
      </c>
      <c r="L501" t="s">
        <v>74</v>
      </c>
      <c r="M501" t="s">
        <v>78</v>
      </c>
      <c r="N501" t="s">
        <v>79</v>
      </c>
      <c r="O501" t="s">
        <v>74</v>
      </c>
      <c r="P501" t="s">
        <v>74</v>
      </c>
      <c r="Q501" t="s">
        <v>74</v>
      </c>
      <c r="R501" t="s">
        <v>74</v>
      </c>
      <c r="S501" t="s">
        <v>74</v>
      </c>
      <c r="T501" t="s">
        <v>9334</v>
      </c>
      <c r="U501" t="s">
        <v>9335</v>
      </c>
      <c r="V501" t="s">
        <v>9336</v>
      </c>
      <c r="W501" t="s">
        <v>9337</v>
      </c>
      <c r="X501" t="s">
        <v>9338</v>
      </c>
      <c r="Y501" t="s">
        <v>9339</v>
      </c>
      <c r="Z501" t="s">
        <v>9340</v>
      </c>
      <c r="AA501" t="s">
        <v>74</v>
      </c>
      <c r="AB501" t="s">
        <v>9341</v>
      </c>
      <c r="AC501" t="s">
        <v>9342</v>
      </c>
      <c r="AD501" t="s">
        <v>9343</v>
      </c>
      <c r="AE501" t="s">
        <v>9344</v>
      </c>
      <c r="AF501" t="s">
        <v>74</v>
      </c>
      <c r="AG501">
        <v>41</v>
      </c>
      <c r="AH501">
        <v>10</v>
      </c>
      <c r="AI501">
        <v>10</v>
      </c>
      <c r="AJ501">
        <v>8</v>
      </c>
      <c r="AK501">
        <v>32</v>
      </c>
      <c r="AL501" t="s">
        <v>91</v>
      </c>
      <c r="AM501" t="s">
        <v>374</v>
      </c>
      <c r="AN501" t="s">
        <v>375</v>
      </c>
      <c r="AO501" t="s">
        <v>6668</v>
      </c>
      <c r="AP501" t="s">
        <v>9345</v>
      </c>
      <c r="AQ501" t="s">
        <v>74</v>
      </c>
      <c r="AR501" t="s">
        <v>6656</v>
      </c>
      <c r="AS501" t="s">
        <v>6669</v>
      </c>
      <c r="AT501" t="s">
        <v>8540</v>
      </c>
      <c r="AU501">
        <v>2009</v>
      </c>
      <c r="AV501">
        <v>619</v>
      </c>
      <c r="AW501" t="s">
        <v>74</v>
      </c>
      <c r="AX501" t="s">
        <v>74</v>
      </c>
      <c r="AY501" t="s">
        <v>74</v>
      </c>
      <c r="AZ501" t="s">
        <v>74</v>
      </c>
      <c r="BA501" t="s">
        <v>74</v>
      </c>
      <c r="BB501">
        <v>155</v>
      </c>
      <c r="BC501">
        <v>166</v>
      </c>
      <c r="BD501" t="s">
        <v>74</v>
      </c>
      <c r="BE501" t="s">
        <v>9346</v>
      </c>
      <c r="BF501" t="str">
        <f>HYPERLINK("http://dx.doi.org/10.1007/s10750-008-9608-5","http://dx.doi.org/10.1007/s10750-008-9608-5")</f>
        <v>http://dx.doi.org/10.1007/s10750-008-9608-5</v>
      </c>
      <c r="BG501" t="s">
        <v>74</v>
      </c>
      <c r="BH501" t="s">
        <v>74</v>
      </c>
      <c r="BI501">
        <v>12</v>
      </c>
      <c r="BJ501" t="s">
        <v>448</v>
      </c>
      <c r="BK501" t="s">
        <v>100</v>
      </c>
      <c r="BL501" t="s">
        <v>448</v>
      </c>
      <c r="BM501" t="s">
        <v>9347</v>
      </c>
      <c r="BN501" t="s">
        <v>74</v>
      </c>
      <c r="BO501" t="s">
        <v>74</v>
      </c>
      <c r="BP501" t="s">
        <v>74</v>
      </c>
      <c r="BQ501" t="s">
        <v>74</v>
      </c>
      <c r="BR501" t="s">
        <v>103</v>
      </c>
      <c r="BS501" t="s">
        <v>9348</v>
      </c>
      <c r="BT501" t="str">
        <f>HYPERLINK("https%3A%2F%2Fwww.webofscience.com%2Fwos%2Fwoscc%2Ffull-record%2FWOS:000261751000012","View Full Record in Web of Science")</f>
        <v>View Full Record in Web of Science</v>
      </c>
    </row>
    <row r="502" spans="1:72" x14ac:dyDescent="0.15">
      <c r="A502" t="s">
        <v>72</v>
      </c>
      <c r="B502" t="s">
        <v>9349</v>
      </c>
      <c r="C502" t="s">
        <v>74</v>
      </c>
      <c r="D502" t="s">
        <v>74</v>
      </c>
      <c r="E502" t="s">
        <v>74</v>
      </c>
      <c r="F502" t="s">
        <v>9350</v>
      </c>
      <c r="G502" t="s">
        <v>74</v>
      </c>
      <c r="H502" t="s">
        <v>74</v>
      </c>
      <c r="I502" t="s">
        <v>9351</v>
      </c>
      <c r="J502" t="s">
        <v>9352</v>
      </c>
      <c r="K502" t="s">
        <v>74</v>
      </c>
      <c r="L502" t="s">
        <v>74</v>
      </c>
      <c r="M502" t="s">
        <v>78</v>
      </c>
      <c r="N502" t="s">
        <v>52</v>
      </c>
      <c r="O502" t="s">
        <v>9353</v>
      </c>
      <c r="P502" t="s">
        <v>9354</v>
      </c>
      <c r="Q502" t="s">
        <v>9355</v>
      </c>
      <c r="R502" t="s">
        <v>74</v>
      </c>
      <c r="S502" t="s">
        <v>74</v>
      </c>
      <c r="T502" t="s">
        <v>74</v>
      </c>
      <c r="U502" t="s">
        <v>74</v>
      </c>
      <c r="V502" t="s">
        <v>74</v>
      </c>
      <c r="W502" t="s">
        <v>9356</v>
      </c>
      <c r="X502" t="s">
        <v>9357</v>
      </c>
      <c r="Y502" t="s">
        <v>74</v>
      </c>
      <c r="Z502" t="s">
        <v>9358</v>
      </c>
      <c r="AA502" t="s">
        <v>74</v>
      </c>
      <c r="AB502" t="s">
        <v>74</v>
      </c>
      <c r="AC502" t="s">
        <v>74</v>
      </c>
      <c r="AD502" t="s">
        <v>74</v>
      </c>
      <c r="AE502" t="s">
        <v>74</v>
      </c>
      <c r="AF502" t="s">
        <v>74</v>
      </c>
      <c r="AG502">
        <v>0</v>
      </c>
      <c r="AH502">
        <v>1</v>
      </c>
      <c r="AI502">
        <v>1</v>
      </c>
      <c r="AJ502">
        <v>0</v>
      </c>
      <c r="AK502">
        <v>1</v>
      </c>
      <c r="AL502" t="s">
        <v>1341</v>
      </c>
      <c r="AM502" t="s">
        <v>1342</v>
      </c>
      <c r="AN502" t="s">
        <v>1343</v>
      </c>
      <c r="AO502" t="s">
        <v>9359</v>
      </c>
      <c r="AP502" t="s">
        <v>74</v>
      </c>
      <c r="AQ502" t="s">
        <v>74</v>
      </c>
      <c r="AR502" t="s">
        <v>9360</v>
      </c>
      <c r="AS502" t="s">
        <v>9361</v>
      </c>
      <c r="AT502" t="s">
        <v>8540</v>
      </c>
      <c r="AU502">
        <v>2009</v>
      </c>
      <c r="AV502">
        <v>49</v>
      </c>
      <c r="AW502" t="s">
        <v>74</v>
      </c>
      <c r="AX502" t="s">
        <v>74</v>
      </c>
      <c r="AY502" t="s">
        <v>74</v>
      </c>
      <c r="AZ502" t="s">
        <v>74</v>
      </c>
      <c r="BA502" t="s">
        <v>74</v>
      </c>
      <c r="BB502" t="s">
        <v>9362</v>
      </c>
      <c r="BC502" t="s">
        <v>9362</v>
      </c>
      <c r="BD502" t="s">
        <v>74</v>
      </c>
      <c r="BE502" t="s">
        <v>74</v>
      </c>
      <c r="BF502" t="s">
        <v>74</v>
      </c>
      <c r="BG502" t="s">
        <v>74</v>
      </c>
      <c r="BH502" t="s">
        <v>74</v>
      </c>
      <c r="BI502">
        <v>1</v>
      </c>
      <c r="BJ502" t="s">
        <v>908</v>
      </c>
      <c r="BK502" t="s">
        <v>100</v>
      </c>
      <c r="BL502" t="s">
        <v>908</v>
      </c>
      <c r="BM502" t="s">
        <v>9363</v>
      </c>
      <c r="BN502" t="s">
        <v>74</v>
      </c>
      <c r="BO502" t="s">
        <v>74</v>
      </c>
      <c r="BP502" t="s">
        <v>74</v>
      </c>
      <c r="BQ502" t="s">
        <v>74</v>
      </c>
      <c r="BR502" t="s">
        <v>103</v>
      </c>
      <c r="BS502" t="s">
        <v>9364</v>
      </c>
      <c r="BT502" t="str">
        <f>HYPERLINK("https%3A%2F%2Fwww.webofscience.com%2Fwos%2Fwoscc%2Ffull-record%2FWOS:000268808800787","View Full Record in Web of Science")</f>
        <v>View Full Record in Web of Science</v>
      </c>
    </row>
    <row r="503" spans="1:72" x14ac:dyDescent="0.15">
      <c r="A503" t="s">
        <v>72</v>
      </c>
      <c r="B503" t="s">
        <v>9365</v>
      </c>
      <c r="C503" t="s">
        <v>74</v>
      </c>
      <c r="D503" t="s">
        <v>74</v>
      </c>
      <c r="E503" t="s">
        <v>74</v>
      </c>
      <c r="F503" t="s">
        <v>9366</v>
      </c>
      <c r="G503" t="s">
        <v>74</v>
      </c>
      <c r="H503" t="s">
        <v>74</v>
      </c>
      <c r="I503" t="s">
        <v>9367</v>
      </c>
      <c r="J503" t="s">
        <v>9352</v>
      </c>
      <c r="K503" t="s">
        <v>74</v>
      </c>
      <c r="L503" t="s">
        <v>74</v>
      </c>
      <c r="M503" t="s">
        <v>78</v>
      </c>
      <c r="N503" t="s">
        <v>52</v>
      </c>
      <c r="O503" t="s">
        <v>9353</v>
      </c>
      <c r="P503" t="s">
        <v>9354</v>
      </c>
      <c r="Q503" t="s">
        <v>9355</v>
      </c>
      <c r="R503" t="s">
        <v>74</v>
      </c>
      <c r="S503" t="s">
        <v>74</v>
      </c>
      <c r="T503" t="s">
        <v>74</v>
      </c>
      <c r="U503" t="s">
        <v>74</v>
      </c>
      <c r="V503" t="s">
        <v>74</v>
      </c>
      <c r="W503" t="s">
        <v>9368</v>
      </c>
      <c r="X503" t="s">
        <v>9357</v>
      </c>
      <c r="Y503" t="s">
        <v>74</v>
      </c>
      <c r="Z503" t="s">
        <v>9369</v>
      </c>
      <c r="AA503" t="s">
        <v>74</v>
      </c>
      <c r="AB503" t="s">
        <v>74</v>
      </c>
      <c r="AC503" t="s">
        <v>74</v>
      </c>
      <c r="AD503" t="s">
        <v>74</v>
      </c>
      <c r="AE503" t="s">
        <v>74</v>
      </c>
      <c r="AF503" t="s">
        <v>74</v>
      </c>
      <c r="AG503">
        <v>0</v>
      </c>
      <c r="AH503">
        <v>0</v>
      </c>
      <c r="AI503">
        <v>0</v>
      </c>
      <c r="AJ503">
        <v>0</v>
      </c>
      <c r="AK503">
        <v>0</v>
      </c>
      <c r="AL503" t="s">
        <v>1341</v>
      </c>
      <c r="AM503" t="s">
        <v>1342</v>
      </c>
      <c r="AN503" t="s">
        <v>1343</v>
      </c>
      <c r="AO503" t="s">
        <v>9359</v>
      </c>
      <c r="AP503" t="s">
        <v>74</v>
      </c>
      <c r="AQ503" t="s">
        <v>74</v>
      </c>
      <c r="AR503" t="s">
        <v>9360</v>
      </c>
      <c r="AS503" t="s">
        <v>9361</v>
      </c>
      <c r="AT503" t="s">
        <v>8540</v>
      </c>
      <c r="AU503">
        <v>2009</v>
      </c>
      <c r="AV503">
        <v>49</v>
      </c>
      <c r="AW503" t="s">
        <v>74</v>
      </c>
      <c r="AX503" t="s">
        <v>74</v>
      </c>
      <c r="AY503" t="s">
        <v>74</v>
      </c>
      <c r="AZ503" t="s">
        <v>74</v>
      </c>
      <c r="BA503" t="s">
        <v>74</v>
      </c>
      <c r="BB503" t="s">
        <v>9370</v>
      </c>
      <c r="BC503" t="s">
        <v>9370</v>
      </c>
      <c r="BD503" t="s">
        <v>74</v>
      </c>
      <c r="BE503" t="s">
        <v>74</v>
      </c>
      <c r="BF503" t="s">
        <v>74</v>
      </c>
      <c r="BG503" t="s">
        <v>74</v>
      </c>
      <c r="BH503" t="s">
        <v>74</v>
      </c>
      <c r="BI503">
        <v>1</v>
      </c>
      <c r="BJ503" t="s">
        <v>908</v>
      </c>
      <c r="BK503" t="s">
        <v>100</v>
      </c>
      <c r="BL503" t="s">
        <v>908</v>
      </c>
      <c r="BM503" t="s">
        <v>9363</v>
      </c>
      <c r="BN503" t="s">
        <v>74</v>
      </c>
      <c r="BO503" t="s">
        <v>74</v>
      </c>
      <c r="BP503" t="s">
        <v>74</v>
      </c>
      <c r="BQ503" t="s">
        <v>74</v>
      </c>
      <c r="BR503" t="s">
        <v>103</v>
      </c>
      <c r="BS503" t="s">
        <v>9371</v>
      </c>
      <c r="BT503" t="str">
        <f>HYPERLINK("https%3A%2F%2Fwww.webofscience.com%2Fwos%2Fwoscc%2Ffull-record%2FWOS:000268808800807","View Full Record in Web of Science")</f>
        <v>View Full Record in Web of Science</v>
      </c>
    </row>
    <row r="504" spans="1:72" x14ac:dyDescent="0.15">
      <c r="A504" t="s">
        <v>72</v>
      </c>
      <c r="B504" t="s">
        <v>9372</v>
      </c>
      <c r="C504" t="s">
        <v>74</v>
      </c>
      <c r="D504" t="s">
        <v>74</v>
      </c>
      <c r="E504" t="s">
        <v>74</v>
      </c>
      <c r="F504" t="s">
        <v>9373</v>
      </c>
      <c r="G504" t="s">
        <v>74</v>
      </c>
      <c r="H504" t="s">
        <v>74</v>
      </c>
      <c r="I504" t="s">
        <v>9374</v>
      </c>
      <c r="J504" t="s">
        <v>9352</v>
      </c>
      <c r="K504" t="s">
        <v>74</v>
      </c>
      <c r="L504" t="s">
        <v>74</v>
      </c>
      <c r="M504" t="s">
        <v>78</v>
      </c>
      <c r="N504" t="s">
        <v>52</v>
      </c>
      <c r="O504" t="s">
        <v>9353</v>
      </c>
      <c r="P504" t="s">
        <v>9354</v>
      </c>
      <c r="Q504" t="s">
        <v>9355</v>
      </c>
      <c r="R504" t="s">
        <v>74</v>
      </c>
      <c r="S504" t="s">
        <v>74</v>
      </c>
      <c r="T504" t="s">
        <v>74</v>
      </c>
      <c r="U504" t="s">
        <v>74</v>
      </c>
      <c r="V504" t="s">
        <v>74</v>
      </c>
      <c r="W504" t="s">
        <v>9375</v>
      </c>
      <c r="X504" t="s">
        <v>9376</v>
      </c>
      <c r="Y504" t="s">
        <v>74</v>
      </c>
      <c r="Z504" t="s">
        <v>9377</v>
      </c>
      <c r="AA504" t="s">
        <v>74</v>
      </c>
      <c r="AB504" t="s">
        <v>74</v>
      </c>
      <c r="AC504" t="s">
        <v>74</v>
      </c>
      <c r="AD504" t="s">
        <v>74</v>
      </c>
      <c r="AE504" t="s">
        <v>74</v>
      </c>
      <c r="AF504" t="s">
        <v>74</v>
      </c>
      <c r="AG504">
        <v>0</v>
      </c>
      <c r="AH504">
        <v>0</v>
      </c>
      <c r="AI504">
        <v>0</v>
      </c>
      <c r="AJ504">
        <v>0</v>
      </c>
      <c r="AK504">
        <v>3</v>
      </c>
      <c r="AL504" t="s">
        <v>1341</v>
      </c>
      <c r="AM504" t="s">
        <v>1342</v>
      </c>
      <c r="AN504" t="s">
        <v>1343</v>
      </c>
      <c r="AO504" t="s">
        <v>9359</v>
      </c>
      <c r="AP504" t="s">
        <v>74</v>
      </c>
      <c r="AQ504" t="s">
        <v>74</v>
      </c>
      <c r="AR504" t="s">
        <v>9360</v>
      </c>
      <c r="AS504" t="s">
        <v>9361</v>
      </c>
      <c r="AT504" t="s">
        <v>8540</v>
      </c>
      <c r="AU504">
        <v>2009</v>
      </c>
      <c r="AV504">
        <v>49</v>
      </c>
      <c r="AW504" t="s">
        <v>74</v>
      </c>
      <c r="AX504" t="s">
        <v>74</v>
      </c>
      <c r="AY504" t="s">
        <v>74</v>
      </c>
      <c r="AZ504" t="s">
        <v>74</v>
      </c>
      <c r="BA504" t="s">
        <v>74</v>
      </c>
      <c r="BB504" t="s">
        <v>9378</v>
      </c>
      <c r="BC504" t="s">
        <v>9378</v>
      </c>
      <c r="BD504" t="s">
        <v>74</v>
      </c>
      <c r="BE504" t="s">
        <v>74</v>
      </c>
      <c r="BF504" t="s">
        <v>74</v>
      </c>
      <c r="BG504" t="s">
        <v>74</v>
      </c>
      <c r="BH504" t="s">
        <v>74</v>
      </c>
      <c r="BI504">
        <v>1</v>
      </c>
      <c r="BJ504" t="s">
        <v>908</v>
      </c>
      <c r="BK504" t="s">
        <v>100</v>
      </c>
      <c r="BL504" t="s">
        <v>908</v>
      </c>
      <c r="BM504" t="s">
        <v>9363</v>
      </c>
      <c r="BN504" t="s">
        <v>74</v>
      </c>
      <c r="BO504" t="s">
        <v>74</v>
      </c>
      <c r="BP504" t="s">
        <v>74</v>
      </c>
      <c r="BQ504" t="s">
        <v>74</v>
      </c>
      <c r="BR504" t="s">
        <v>103</v>
      </c>
      <c r="BS504" t="s">
        <v>9379</v>
      </c>
      <c r="BT504" t="str">
        <f>HYPERLINK("https%3A%2F%2Fwww.webofscience.com%2Fwos%2Fwoscc%2Ffull-record%2FWOS:000268808800897","View Full Record in Web of Science")</f>
        <v>View Full Record in Web of Science</v>
      </c>
    </row>
    <row r="505" spans="1:72" x14ac:dyDescent="0.15">
      <c r="A505" t="s">
        <v>72</v>
      </c>
      <c r="B505" t="s">
        <v>9380</v>
      </c>
      <c r="C505" t="s">
        <v>74</v>
      </c>
      <c r="D505" t="s">
        <v>74</v>
      </c>
      <c r="E505" t="s">
        <v>74</v>
      </c>
      <c r="F505" t="s">
        <v>9381</v>
      </c>
      <c r="G505" t="s">
        <v>74</v>
      </c>
      <c r="H505" t="s">
        <v>74</v>
      </c>
      <c r="I505" t="s">
        <v>9382</v>
      </c>
      <c r="J505" t="s">
        <v>9352</v>
      </c>
      <c r="K505" t="s">
        <v>74</v>
      </c>
      <c r="L505" t="s">
        <v>74</v>
      </c>
      <c r="M505" t="s">
        <v>78</v>
      </c>
      <c r="N505" t="s">
        <v>52</v>
      </c>
      <c r="O505" t="s">
        <v>9353</v>
      </c>
      <c r="P505" t="s">
        <v>9383</v>
      </c>
      <c r="Q505" t="s">
        <v>9384</v>
      </c>
      <c r="R505" t="s">
        <v>74</v>
      </c>
      <c r="S505" t="s">
        <v>74</v>
      </c>
      <c r="T505" t="s">
        <v>74</v>
      </c>
      <c r="U505" t="s">
        <v>74</v>
      </c>
      <c r="V505" t="s">
        <v>74</v>
      </c>
      <c r="W505" t="s">
        <v>9385</v>
      </c>
      <c r="X505" t="s">
        <v>9386</v>
      </c>
      <c r="Y505" t="s">
        <v>74</v>
      </c>
      <c r="Z505" t="s">
        <v>9387</v>
      </c>
      <c r="AA505" t="s">
        <v>9388</v>
      </c>
      <c r="AB505" t="s">
        <v>9389</v>
      </c>
      <c r="AC505" t="s">
        <v>74</v>
      </c>
      <c r="AD505" t="s">
        <v>74</v>
      </c>
      <c r="AE505" t="s">
        <v>74</v>
      </c>
      <c r="AF505" t="s">
        <v>74</v>
      </c>
      <c r="AG505">
        <v>0</v>
      </c>
      <c r="AH505">
        <v>0</v>
      </c>
      <c r="AI505">
        <v>0</v>
      </c>
      <c r="AJ505">
        <v>0</v>
      </c>
      <c r="AK505">
        <v>0</v>
      </c>
      <c r="AL505" t="s">
        <v>1341</v>
      </c>
      <c r="AM505" t="s">
        <v>1342</v>
      </c>
      <c r="AN505" t="s">
        <v>1343</v>
      </c>
      <c r="AO505" t="s">
        <v>9359</v>
      </c>
      <c r="AP505" t="s">
        <v>9390</v>
      </c>
      <c r="AQ505" t="s">
        <v>74</v>
      </c>
      <c r="AR505" t="s">
        <v>9360</v>
      </c>
      <c r="AS505" t="s">
        <v>9361</v>
      </c>
      <c r="AT505" t="s">
        <v>8540</v>
      </c>
      <c r="AU505">
        <v>2009</v>
      </c>
      <c r="AV505">
        <v>49</v>
      </c>
      <c r="AW505" t="s">
        <v>74</v>
      </c>
      <c r="AX505" t="s">
        <v>74</v>
      </c>
      <c r="AY505">
        <v>1</v>
      </c>
      <c r="AZ505" t="s">
        <v>74</v>
      </c>
      <c r="BA505" t="s">
        <v>74</v>
      </c>
      <c r="BB505" t="s">
        <v>9391</v>
      </c>
      <c r="BC505" t="s">
        <v>9391</v>
      </c>
      <c r="BD505" t="s">
        <v>74</v>
      </c>
      <c r="BE505" t="s">
        <v>74</v>
      </c>
      <c r="BF505" t="s">
        <v>74</v>
      </c>
      <c r="BG505" t="s">
        <v>74</v>
      </c>
      <c r="BH505" t="s">
        <v>74</v>
      </c>
      <c r="BI505">
        <v>1</v>
      </c>
      <c r="BJ505" t="s">
        <v>908</v>
      </c>
      <c r="BK505" t="s">
        <v>1453</v>
      </c>
      <c r="BL505" t="s">
        <v>908</v>
      </c>
      <c r="BM505" t="s">
        <v>9363</v>
      </c>
      <c r="BN505" t="s">
        <v>74</v>
      </c>
      <c r="BO505" t="s">
        <v>74</v>
      </c>
      <c r="BP505" t="s">
        <v>74</v>
      </c>
      <c r="BQ505" t="s">
        <v>74</v>
      </c>
      <c r="BR505" t="s">
        <v>103</v>
      </c>
      <c r="BS505" t="s">
        <v>9392</v>
      </c>
      <c r="BT505" t="str">
        <f>HYPERLINK("https%3A%2F%2Fwww.webofscience.com%2Fwos%2Fwoscc%2Ffull-record%2FWOS:000268808800322","View Full Record in Web of Science")</f>
        <v>View Full Record in Web of Science</v>
      </c>
    </row>
    <row r="506" spans="1:72" x14ac:dyDescent="0.15">
      <c r="A506" t="s">
        <v>72</v>
      </c>
      <c r="B506" t="s">
        <v>9393</v>
      </c>
      <c r="C506" t="s">
        <v>74</v>
      </c>
      <c r="D506" t="s">
        <v>74</v>
      </c>
      <c r="E506" t="s">
        <v>74</v>
      </c>
      <c r="F506" t="s">
        <v>9394</v>
      </c>
      <c r="G506" t="s">
        <v>74</v>
      </c>
      <c r="H506" t="s">
        <v>74</v>
      </c>
      <c r="I506" t="s">
        <v>9395</v>
      </c>
      <c r="J506" t="s">
        <v>9352</v>
      </c>
      <c r="K506" t="s">
        <v>74</v>
      </c>
      <c r="L506" t="s">
        <v>74</v>
      </c>
      <c r="M506" t="s">
        <v>78</v>
      </c>
      <c r="N506" t="s">
        <v>52</v>
      </c>
      <c r="O506" t="s">
        <v>9353</v>
      </c>
      <c r="P506" t="s">
        <v>9383</v>
      </c>
      <c r="Q506" t="s">
        <v>9384</v>
      </c>
      <c r="R506" t="s">
        <v>74</v>
      </c>
      <c r="S506" t="s">
        <v>74</v>
      </c>
      <c r="T506" t="s">
        <v>74</v>
      </c>
      <c r="U506" t="s">
        <v>74</v>
      </c>
      <c r="V506" t="s">
        <v>74</v>
      </c>
      <c r="W506" t="s">
        <v>9396</v>
      </c>
      <c r="X506" t="s">
        <v>9397</v>
      </c>
      <c r="Y506" t="s">
        <v>74</v>
      </c>
      <c r="Z506" t="s">
        <v>9398</v>
      </c>
      <c r="AA506" t="s">
        <v>9399</v>
      </c>
      <c r="AB506" t="s">
        <v>74</v>
      </c>
      <c r="AC506" t="s">
        <v>74</v>
      </c>
      <c r="AD506" t="s">
        <v>74</v>
      </c>
      <c r="AE506" t="s">
        <v>74</v>
      </c>
      <c r="AF506" t="s">
        <v>74</v>
      </c>
      <c r="AG506">
        <v>0</v>
      </c>
      <c r="AH506">
        <v>0</v>
      </c>
      <c r="AI506">
        <v>0</v>
      </c>
      <c r="AJ506">
        <v>0</v>
      </c>
      <c r="AK506">
        <v>1</v>
      </c>
      <c r="AL506" t="s">
        <v>1341</v>
      </c>
      <c r="AM506" t="s">
        <v>1342</v>
      </c>
      <c r="AN506" t="s">
        <v>1343</v>
      </c>
      <c r="AO506" t="s">
        <v>9359</v>
      </c>
      <c r="AP506" t="s">
        <v>9390</v>
      </c>
      <c r="AQ506" t="s">
        <v>74</v>
      </c>
      <c r="AR506" t="s">
        <v>9360</v>
      </c>
      <c r="AS506" t="s">
        <v>9361</v>
      </c>
      <c r="AT506" t="s">
        <v>8540</v>
      </c>
      <c r="AU506">
        <v>2009</v>
      </c>
      <c r="AV506">
        <v>49</v>
      </c>
      <c r="AW506" t="s">
        <v>74</v>
      </c>
      <c r="AX506" t="s">
        <v>74</v>
      </c>
      <c r="AY506">
        <v>1</v>
      </c>
      <c r="AZ506" t="s">
        <v>74</v>
      </c>
      <c r="BA506" t="s">
        <v>74</v>
      </c>
      <c r="BB506" t="s">
        <v>9400</v>
      </c>
      <c r="BC506" t="s">
        <v>9400</v>
      </c>
      <c r="BD506" t="s">
        <v>74</v>
      </c>
      <c r="BE506" t="s">
        <v>74</v>
      </c>
      <c r="BF506" t="s">
        <v>74</v>
      </c>
      <c r="BG506" t="s">
        <v>74</v>
      </c>
      <c r="BH506" t="s">
        <v>74</v>
      </c>
      <c r="BI506">
        <v>1</v>
      </c>
      <c r="BJ506" t="s">
        <v>908</v>
      </c>
      <c r="BK506" t="s">
        <v>1453</v>
      </c>
      <c r="BL506" t="s">
        <v>908</v>
      </c>
      <c r="BM506" t="s">
        <v>9363</v>
      </c>
      <c r="BN506" t="s">
        <v>74</v>
      </c>
      <c r="BO506" t="s">
        <v>74</v>
      </c>
      <c r="BP506" t="s">
        <v>74</v>
      </c>
      <c r="BQ506" t="s">
        <v>74</v>
      </c>
      <c r="BR506" t="s">
        <v>103</v>
      </c>
      <c r="BS506" t="s">
        <v>9401</v>
      </c>
      <c r="BT506" t="str">
        <f>HYPERLINK("https%3A%2F%2Fwww.webofscience.com%2Fwos%2Fwoscc%2Ffull-record%2FWOS:000268808800373","View Full Record in Web of Science")</f>
        <v>View Full Record in Web of Science</v>
      </c>
    </row>
    <row r="507" spans="1:72" x14ac:dyDescent="0.15">
      <c r="A507" t="s">
        <v>72</v>
      </c>
      <c r="B507" t="s">
        <v>9402</v>
      </c>
      <c r="C507" t="s">
        <v>74</v>
      </c>
      <c r="D507" t="s">
        <v>74</v>
      </c>
      <c r="E507" t="s">
        <v>74</v>
      </c>
      <c r="F507" t="s">
        <v>9403</v>
      </c>
      <c r="G507" t="s">
        <v>74</v>
      </c>
      <c r="H507" t="s">
        <v>74</v>
      </c>
      <c r="I507" t="s">
        <v>9404</v>
      </c>
      <c r="J507" t="s">
        <v>9352</v>
      </c>
      <c r="K507" t="s">
        <v>74</v>
      </c>
      <c r="L507" t="s">
        <v>74</v>
      </c>
      <c r="M507" t="s">
        <v>78</v>
      </c>
      <c r="N507" t="s">
        <v>52</v>
      </c>
      <c r="O507" t="s">
        <v>9353</v>
      </c>
      <c r="P507" t="s">
        <v>9354</v>
      </c>
      <c r="Q507" t="s">
        <v>9355</v>
      </c>
      <c r="R507" t="s">
        <v>74</v>
      </c>
      <c r="S507" t="s">
        <v>74</v>
      </c>
      <c r="T507" t="s">
        <v>74</v>
      </c>
      <c r="U507" t="s">
        <v>74</v>
      </c>
      <c r="V507" t="s">
        <v>74</v>
      </c>
      <c r="W507" t="s">
        <v>9405</v>
      </c>
      <c r="X507" t="s">
        <v>9406</v>
      </c>
      <c r="Y507" t="s">
        <v>74</v>
      </c>
      <c r="Z507" t="s">
        <v>9407</v>
      </c>
      <c r="AA507" t="s">
        <v>74</v>
      </c>
      <c r="AB507" t="s">
        <v>74</v>
      </c>
      <c r="AC507" t="s">
        <v>74</v>
      </c>
      <c r="AD507" t="s">
        <v>74</v>
      </c>
      <c r="AE507" t="s">
        <v>74</v>
      </c>
      <c r="AF507" t="s">
        <v>74</v>
      </c>
      <c r="AG507">
        <v>0</v>
      </c>
      <c r="AH507">
        <v>2</v>
      </c>
      <c r="AI507">
        <v>2</v>
      </c>
      <c r="AJ507">
        <v>0</v>
      </c>
      <c r="AK507">
        <v>10</v>
      </c>
      <c r="AL507" t="s">
        <v>1341</v>
      </c>
      <c r="AM507" t="s">
        <v>1342</v>
      </c>
      <c r="AN507" t="s">
        <v>1343</v>
      </c>
      <c r="AO507" t="s">
        <v>9359</v>
      </c>
      <c r="AP507" t="s">
        <v>74</v>
      </c>
      <c r="AQ507" t="s">
        <v>74</v>
      </c>
      <c r="AR507" t="s">
        <v>9360</v>
      </c>
      <c r="AS507" t="s">
        <v>9361</v>
      </c>
      <c r="AT507" t="s">
        <v>8540</v>
      </c>
      <c r="AU507">
        <v>2009</v>
      </c>
      <c r="AV507">
        <v>49</v>
      </c>
      <c r="AW507" t="s">
        <v>74</v>
      </c>
      <c r="AX507" t="s">
        <v>74</v>
      </c>
      <c r="AY507" t="s">
        <v>74</v>
      </c>
      <c r="AZ507" t="s">
        <v>74</v>
      </c>
      <c r="BA507" t="s">
        <v>74</v>
      </c>
      <c r="BB507" t="s">
        <v>9408</v>
      </c>
      <c r="BC507" t="s">
        <v>9408</v>
      </c>
      <c r="BD507" t="s">
        <v>74</v>
      </c>
      <c r="BE507" t="s">
        <v>74</v>
      </c>
      <c r="BF507" t="s">
        <v>74</v>
      </c>
      <c r="BG507" t="s">
        <v>74</v>
      </c>
      <c r="BH507" t="s">
        <v>74</v>
      </c>
      <c r="BI507">
        <v>1</v>
      </c>
      <c r="BJ507" t="s">
        <v>908</v>
      </c>
      <c r="BK507" t="s">
        <v>100</v>
      </c>
      <c r="BL507" t="s">
        <v>908</v>
      </c>
      <c r="BM507" t="s">
        <v>9363</v>
      </c>
      <c r="BN507" t="s">
        <v>74</v>
      </c>
      <c r="BO507" t="s">
        <v>74</v>
      </c>
      <c r="BP507" t="s">
        <v>74</v>
      </c>
      <c r="BQ507" t="s">
        <v>74</v>
      </c>
      <c r="BR507" t="s">
        <v>103</v>
      </c>
      <c r="BS507" t="s">
        <v>9409</v>
      </c>
      <c r="BT507" t="str">
        <f>HYPERLINK("https%3A%2F%2Fwww.webofscience.com%2Fwos%2Fwoscc%2Ffull-record%2FWOS:000268808801071","View Full Record in Web of Science")</f>
        <v>View Full Record in Web of Science</v>
      </c>
    </row>
    <row r="508" spans="1:72" x14ac:dyDescent="0.15">
      <c r="A508" t="s">
        <v>72</v>
      </c>
      <c r="B508" t="s">
        <v>9410</v>
      </c>
      <c r="C508" t="s">
        <v>74</v>
      </c>
      <c r="D508" t="s">
        <v>74</v>
      </c>
      <c r="E508" t="s">
        <v>74</v>
      </c>
      <c r="F508" t="s">
        <v>9411</v>
      </c>
      <c r="G508" t="s">
        <v>74</v>
      </c>
      <c r="H508" t="s">
        <v>74</v>
      </c>
      <c r="I508" t="s">
        <v>9412</v>
      </c>
      <c r="J508" t="s">
        <v>9352</v>
      </c>
      <c r="K508" t="s">
        <v>74</v>
      </c>
      <c r="L508" t="s">
        <v>74</v>
      </c>
      <c r="M508" t="s">
        <v>78</v>
      </c>
      <c r="N508" t="s">
        <v>52</v>
      </c>
      <c r="O508" t="s">
        <v>9353</v>
      </c>
      <c r="P508" t="s">
        <v>9354</v>
      </c>
      <c r="Q508" t="s">
        <v>9355</v>
      </c>
      <c r="R508" t="s">
        <v>74</v>
      </c>
      <c r="S508" t="s">
        <v>74</v>
      </c>
      <c r="T508" t="s">
        <v>74</v>
      </c>
      <c r="U508" t="s">
        <v>74</v>
      </c>
      <c r="V508" t="s">
        <v>74</v>
      </c>
      <c r="W508" t="s">
        <v>9413</v>
      </c>
      <c r="X508" t="s">
        <v>9414</v>
      </c>
      <c r="Y508" t="s">
        <v>74</v>
      </c>
      <c r="Z508" t="s">
        <v>74</v>
      </c>
      <c r="AA508" t="s">
        <v>9415</v>
      </c>
      <c r="AB508" t="s">
        <v>74</v>
      </c>
      <c r="AC508" t="s">
        <v>74</v>
      </c>
      <c r="AD508" t="s">
        <v>74</v>
      </c>
      <c r="AE508" t="s">
        <v>74</v>
      </c>
      <c r="AF508" t="s">
        <v>74</v>
      </c>
      <c r="AG508">
        <v>0</v>
      </c>
      <c r="AH508">
        <v>0</v>
      </c>
      <c r="AI508">
        <v>0</v>
      </c>
      <c r="AJ508">
        <v>1</v>
      </c>
      <c r="AK508">
        <v>14</v>
      </c>
      <c r="AL508" t="s">
        <v>1341</v>
      </c>
      <c r="AM508" t="s">
        <v>1342</v>
      </c>
      <c r="AN508" t="s">
        <v>1343</v>
      </c>
      <c r="AO508" t="s">
        <v>9359</v>
      </c>
      <c r="AP508" t="s">
        <v>74</v>
      </c>
      <c r="AQ508" t="s">
        <v>74</v>
      </c>
      <c r="AR508" t="s">
        <v>9360</v>
      </c>
      <c r="AS508" t="s">
        <v>9361</v>
      </c>
      <c r="AT508" t="s">
        <v>8540</v>
      </c>
      <c r="AU508">
        <v>2009</v>
      </c>
      <c r="AV508">
        <v>49</v>
      </c>
      <c r="AW508" t="s">
        <v>74</v>
      </c>
      <c r="AX508" t="s">
        <v>74</v>
      </c>
      <c r="AY508" t="s">
        <v>74</v>
      </c>
      <c r="AZ508" t="s">
        <v>74</v>
      </c>
      <c r="BA508" t="s">
        <v>74</v>
      </c>
      <c r="BB508" t="s">
        <v>9416</v>
      </c>
      <c r="BC508" t="s">
        <v>9416</v>
      </c>
      <c r="BD508" t="s">
        <v>74</v>
      </c>
      <c r="BE508" t="s">
        <v>74</v>
      </c>
      <c r="BF508" t="s">
        <v>74</v>
      </c>
      <c r="BG508" t="s">
        <v>74</v>
      </c>
      <c r="BH508" t="s">
        <v>74</v>
      </c>
      <c r="BI508">
        <v>1</v>
      </c>
      <c r="BJ508" t="s">
        <v>908</v>
      </c>
      <c r="BK508" t="s">
        <v>100</v>
      </c>
      <c r="BL508" t="s">
        <v>908</v>
      </c>
      <c r="BM508" t="s">
        <v>9363</v>
      </c>
      <c r="BN508" t="s">
        <v>74</v>
      </c>
      <c r="BO508" t="s">
        <v>74</v>
      </c>
      <c r="BP508" t="s">
        <v>74</v>
      </c>
      <c r="BQ508" t="s">
        <v>74</v>
      </c>
      <c r="BR508" t="s">
        <v>103</v>
      </c>
      <c r="BS508" t="s">
        <v>9417</v>
      </c>
      <c r="BT508" t="str">
        <f>HYPERLINK("https%3A%2F%2Fwww.webofscience.com%2Fwos%2Fwoscc%2Ffull-record%2FWOS:000268808800474","View Full Record in Web of Science")</f>
        <v>View Full Record in Web of Science</v>
      </c>
    </row>
    <row r="509" spans="1:72" x14ac:dyDescent="0.15">
      <c r="A509" t="s">
        <v>72</v>
      </c>
      <c r="B509" t="s">
        <v>9418</v>
      </c>
      <c r="C509" t="s">
        <v>74</v>
      </c>
      <c r="D509" t="s">
        <v>74</v>
      </c>
      <c r="E509" t="s">
        <v>74</v>
      </c>
      <c r="F509" t="s">
        <v>9419</v>
      </c>
      <c r="G509" t="s">
        <v>74</v>
      </c>
      <c r="H509" t="s">
        <v>74</v>
      </c>
      <c r="I509" t="s">
        <v>9420</v>
      </c>
      <c r="J509" t="s">
        <v>9352</v>
      </c>
      <c r="K509" t="s">
        <v>74</v>
      </c>
      <c r="L509" t="s">
        <v>74</v>
      </c>
      <c r="M509" t="s">
        <v>78</v>
      </c>
      <c r="N509" t="s">
        <v>52</v>
      </c>
      <c r="O509" t="s">
        <v>9353</v>
      </c>
      <c r="P509" t="s">
        <v>9354</v>
      </c>
      <c r="Q509" t="s">
        <v>9355</v>
      </c>
      <c r="R509" t="s">
        <v>74</v>
      </c>
      <c r="S509" t="s">
        <v>74</v>
      </c>
      <c r="T509" t="s">
        <v>74</v>
      </c>
      <c r="U509" t="s">
        <v>74</v>
      </c>
      <c r="V509" t="s">
        <v>74</v>
      </c>
      <c r="W509" t="s">
        <v>9421</v>
      </c>
      <c r="X509" t="s">
        <v>9422</v>
      </c>
      <c r="Y509" t="s">
        <v>74</v>
      </c>
      <c r="Z509" t="s">
        <v>9423</v>
      </c>
      <c r="AA509" t="s">
        <v>74</v>
      </c>
      <c r="AB509" t="s">
        <v>74</v>
      </c>
      <c r="AC509" t="s">
        <v>74</v>
      </c>
      <c r="AD509" t="s">
        <v>74</v>
      </c>
      <c r="AE509" t="s">
        <v>74</v>
      </c>
      <c r="AF509" t="s">
        <v>74</v>
      </c>
      <c r="AG509">
        <v>0</v>
      </c>
      <c r="AH509">
        <v>2</v>
      </c>
      <c r="AI509">
        <v>2</v>
      </c>
      <c r="AJ509">
        <v>0</v>
      </c>
      <c r="AK509">
        <v>7</v>
      </c>
      <c r="AL509" t="s">
        <v>1341</v>
      </c>
      <c r="AM509" t="s">
        <v>1342</v>
      </c>
      <c r="AN509" t="s">
        <v>1343</v>
      </c>
      <c r="AO509" t="s">
        <v>9359</v>
      </c>
      <c r="AP509" t="s">
        <v>74</v>
      </c>
      <c r="AQ509" t="s">
        <v>74</v>
      </c>
      <c r="AR509" t="s">
        <v>9360</v>
      </c>
      <c r="AS509" t="s">
        <v>9361</v>
      </c>
      <c r="AT509" t="s">
        <v>8540</v>
      </c>
      <c r="AU509">
        <v>2009</v>
      </c>
      <c r="AV509">
        <v>49</v>
      </c>
      <c r="AW509" t="s">
        <v>74</v>
      </c>
      <c r="AX509" t="s">
        <v>74</v>
      </c>
      <c r="AY509" t="s">
        <v>74</v>
      </c>
      <c r="AZ509" t="s">
        <v>74</v>
      </c>
      <c r="BA509" t="s">
        <v>74</v>
      </c>
      <c r="BB509" t="s">
        <v>9424</v>
      </c>
      <c r="BC509" t="s">
        <v>9424</v>
      </c>
      <c r="BD509" t="s">
        <v>74</v>
      </c>
      <c r="BE509" t="s">
        <v>74</v>
      </c>
      <c r="BF509" t="s">
        <v>74</v>
      </c>
      <c r="BG509" t="s">
        <v>74</v>
      </c>
      <c r="BH509" t="s">
        <v>74</v>
      </c>
      <c r="BI509">
        <v>1</v>
      </c>
      <c r="BJ509" t="s">
        <v>908</v>
      </c>
      <c r="BK509" t="s">
        <v>100</v>
      </c>
      <c r="BL509" t="s">
        <v>908</v>
      </c>
      <c r="BM509" t="s">
        <v>9363</v>
      </c>
      <c r="BN509" t="s">
        <v>74</v>
      </c>
      <c r="BO509" t="s">
        <v>74</v>
      </c>
      <c r="BP509" t="s">
        <v>74</v>
      </c>
      <c r="BQ509" t="s">
        <v>74</v>
      </c>
      <c r="BR509" t="s">
        <v>103</v>
      </c>
      <c r="BS509" t="s">
        <v>9425</v>
      </c>
      <c r="BT509" t="str">
        <f>HYPERLINK("https%3A%2F%2Fwww.webofscience.com%2Fwos%2Fwoscc%2Ffull-record%2FWOS:000268808800481","View Full Record in Web of Science")</f>
        <v>View Full Record in Web of Science</v>
      </c>
    </row>
    <row r="510" spans="1:72" x14ac:dyDescent="0.15">
      <c r="A510" t="s">
        <v>72</v>
      </c>
      <c r="B510" t="s">
        <v>9426</v>
      </c>
      <c r="C510" t="s">
        <v>74</v>
      </c>
      <c r="D510" t="s">
        <v>74</v>
      </c>
      <c r="E510" t="s">
        <v>74</v>
      </c>
      <c r="F510" t="s">
        <v>9427</v>
      </c>
      <c r="G510" t="s">
        <v>74</v>
      </c>
      <c r="H510" t="s">
        <v>74</v>
      </c>
      <c r="I510" t="s">
        <v>9428</v>
      </c>
      <c r="J510" t="s">
        <v>9352</v>
      </c>
      <c r="K510" t="s">
        <v>74</v>
      </c>
      <c r="L510" t="s">
        <v>74</v>
      </c>
      <c r="M510" t="s">
        <v>78</v>
      </c>
      <c r="N510" t="s">
        <v>52</v>
      </c>
      <c r="O510" t="s">
        <v>9353</v>
      </c>
      <c r="P510" t="s">
        <v>9354</v>
      </c>
      <c r="Q510" t="s">
        <v>9355</v>
      </c>
      <c r="R510" t="s">
        <v>74</v>
      </c>
      <c r="S510" t="s">
        <v>74</v>
      </c>
      <c r="T510" t="s">
        <v>74</v>
      </c>
      <c r="U510" t="s">
        <v>74</v>
      </c>
      <c r="V510" t="s">
        <v>74</v>
      </c>
      <c r="W510" t="s">
        <v>9396</v>
      </c>
      <c r="X510" t="s">
        <v>9397</v>
      </c>
      <c r="Y510" t="s">
        <v>74</v>
      </c>
      <c r="Z510" t="s">
        <v>9429</v>
      </c>
      <c r="AA510" t="s">
        <v>9399</v>
      </c>
      <c r="AB510" t="s">
        <v>74</v>
      </c>
      <c r="AC510" t="s">
        <v>74</v>
      </c>
      <c r="AD510" t="s">
        <v>74</v>
      </c>
      <c r="AE510" t="s">
        <v>74</v>
      </c>
      <c r="AF510" t="s">
        <v>74</v>
      </c>
      <c r="AG510">
        <v>0</v>
      </c>
      <c r="AH510">
        <v>1</v>
      </c>
      <c r="AI510">
        <v>1</v>
      </c>
      <c r="AJ510">
        <v>0</v>
      </c>
      <c r="AK510">
        <v>1</v>
      </c>
      <c r="AL510" t="s">
        <v>1341</v>
      </c>
      <c r="AM510" t="s">
        <v>1342</v>
      </c>
      <c r="AN510" t="s">
        <v>1343</v>
      </c>
      <c r="AO510" t="s">
        <v>9359</v>
      </c>
      <c r="AP510" t="s">
        <v>74</v>
      </c>
      <c r="AQ510" t="s">
        <v>74</v>
      </c>
      <c r="AR510" t="s">
        <v>9360</v>
      </c>
      <c r="AS510" t="s">
        <v>9361</v>
      </c>
      <c r="AT510" t="s">
        <v>8540</v>
      </c>
      <c r="AU510">
        <v>2009</v>
      </c>
      <c r="AV510">
        <v>49</v>
      </c>
      <c r="AW510" t="s">
        <v>74</v>
      </c>
      <c r="AX510" t="s">
        <v>74</v>
      </c>
      <c r="AY510" t="s">
        <v>74</v>
      </c>
      <c r="AZ510" t="s">
        <v>74</v>
      </c>
      <c r="BA510" t="s">
        <v>74</v>
      </c>
      <c r="BB510" t="s">
        <v>9430</v>
      </c>
      <c r="BC510" t="s">
        <v>9430</v>
      </c>
      <c r="BD510" t="s">
        <v>74</v>
      </c>
      <c r="BE510" t="s">
        <v>74</v>
      </c>
      <c r="BF510" t="s">
        <v>74</v>
      </c>
      <c r="BG510" t="s">
        <v>74</v>
      </c>
      <c r="BH510" t="s">
        <v>74</v>
      </c>
      <c r="BI510">
        <v>1</v>
      </c>
      <c r="BJ510" t="s">
        <v>908</v>
      </c>
      <c r="BK510" t="s">
        <v>100</v>
      </c>
      <c r="BL510" t="s">
        <v>908</v>
      </c>
      <c r="BM510" t="s">
        <v>9363</v>
      </c>
      <c r="BN510" t="s">
        <v>74</v>
      </c>
      <c r="BO510" t="s">
        <v>74</v>
      </c>
      <c r="BP510" t="s">
        <v>74</v>
      </c>
      <c r="BQ510" t="s">
        <v>74</v>
      </c>
      <c r="BR510" t="s">
        <v>103</v>
      </c>
      <c r="BS510" t="s">
        <v>9431</v>
      </c>
      <c r="BT510" t="str">
        <f>HYPERLINK("https%3A%2F%2Fwww.webofscience.com%2Fwos%2Fwoscc%2Ffull-record%2FWOS:000268808800752","View Full Record in Web of Science")</f>
        <v>View Full Record in Web of Science</v>
      </c>
    </row>
    <row r="511" spans="1:72" x14ac:dyDescent="0.15">
      <c r="A511" t="s">
        <v>72</v>
      </c>
      <c r="B511" t="s">
        <v>9432</v>
      </c>
      <c r="C511" t="s">
        <v>74</v>
      </c>
      <c r="D511" t="s">
        <v>74</v>
      </c>
      <c r="E511" t="s">
        <v>74</v>
      </c>
      <c r="F511" t="s">
        <v>9433</v>
      </c>
      <c r="G511" t="s">
        <v>74</v>
      </c>
      <c r="H511" t="s">
        <v>74</v>
      </c>
      <c r="I511" t="s">
        <v>9434</v>
      </c>
      <c r="J511" t="s">
        <v>9435</v>
      </c>
      <c r="K511" t="s">
        <v>74</v>
      </c>
      <c r="L511" t="s">
        <v>74</v>
      </c>
      <c r="M511" t="s">
        <v>78</v>
      </c>
      <c r="N511" t="s">
        <v>79</v>
      </c>
      <c r="O511" t="s">
        <v>74</v>
      </c>
      <c r="P511" t="s">
        <v>74</v>
      </c>
      <c r="Q511" t="s">
        <v>74</v>
      </c>
      <c r="R511" t="s">
        <v>74</v>
      </c>
      <c r="S511" t="s">
        <v>74</v>
      </c>
      <c r="T511" t="s">
        <v>74</v>
      </c>
      <c r="U511" t="s">
        <v>9436</v>
      </c>
      <c r="V511" t="s">
        <v>9437</v>
      </c>
      <c r="W511" t="s">
        <v>9438</v>
      </c>
      <c r="X511" t="s">
        <v>9439</v>
      </c>
      <c r="Y511" t="s">
        <v>9440</v>
      </c>
      <c r="Z511" t="s">
        <v>9441</v>
      </c>
      <c r="AA511" t="s">
        <v>9442</v>
      </c>
      <c r="AB511" t="s">
        <v>9443</v>
      </c>
      <c r="AC511" t="s">
        <v>74</v>
      </c>
      <c r="AD511" t="s">
        <v>74</v>
      </c>
      <c r="AE511" t="s">
        <v>74</v>
      </c>
      <c r="AF511" t="s">
        <v>74</v>
      </c>
      <c r="AG511">
        <v>23</v>
      </c>
      <c r="AH511">
        <v>27</v>
      </c>
      <c r="AI511">
        <v>30</v>
      </c>
      <c r="AJ511">
        <v>0</v>
      </c>
      <c r="AK511">
        <v>10</v>
      </c>
      <c r="AL511" t="s">
        <v>9444</v>
      </c>
      <c r="AM511" t="s">
        <v>2924</v>
      </c>
      <c r="AN511" t="s">
        <v>9445</v>
      </c>
      <c r="AO511" t="s">
        <v>9446</v>
      </c>
      <c r="AP511" t="s">
        <v>9447</v>
      </c>
      <c r="AQ511" t="s">
        <v>74</v>
      </c>
      <c r="AR511" t="s">
        <v>9448</v>
      </c>
      <c r="AS511" t="s">
        <v>9449</v>
      </c>
      <c r="AT511" t="s">
        <v>8540</v>
      </c>
      <c r="AU511">
        <v>2009</v>
      </c>
      <c r="AV511">
        <v>59</v>
      </c>
      <c r="AW511" t="s">
        <v>74</v>
      </c>
      <c r="AX511">
        <v>2</v>
      </c>
      <c r="AY511" t="s">
        <v>74</v>
      </c>
      <c r="AZ511" t="s">
        <v>74</v>
      </c>
      <c r="BA511" t="s">
        <v>74</v>
      </c>
      <c r="BB511">
        <v>336</v>
      </c>
      <c r="BC511">
        <v>340</v>
      </c>
      <c r="BD511" t="s">
        <v>74</v>
      </c>
      <c r="BE511" t="s">
        <v>9450</v>
      </c>
      <c r="BF511" t="str">
        <f>HYPERLINK("http://dx.doi.org/10.1099/ijs.0.000737-0","http://dx.doi.org/10.1099/ijs.0.000737-0")</f>
        <v>http://dx.doi.org/10.1099/ijs.0.000737-0</v>
      </c>
      <c r="BG511" t="s">
        <v>74</v>
      </c>
      <c r="BH511" t="s">
        <v>74</v>
      </c>
      <c r="BI511">
        <v>5</v>
      </c>
      <c r="BJ511" t="s">
        <v>2749</v>
      </c>
      <c r="BK511" t="s">
        <v>100</v>
      </c>
      <c r="BL511" t="s">
        <v>2749</v>
      </c>
      <c r="BM511" t="s">
        <v>9451</v>
      </c>
      <c r="BN511">
        <v>19196774</v>
      </c>
      <c r="BO511" t="s">
        <v>499</v>
      </c>
      <c r="BP511" t="s">
        <v>74</v>
      </c>
      <c r="BQ511" t="s">
        <v>74</v>
      </c>
      <c r="BR511" t="s">
        <v>103</v>
      </c>
      <c r="BS511" t="s">
        <v>9452</v>
      </c>
      <c r="BT511" t="str">
        <f>HYPERLINK("https%3A%2F%2Fwww.webofscience.com%2Fwos%2Fwoscc%2Ffull-record%2FWOS:000263576500020","View Full Record in Web of Science")</f>
        <v>View Full Record in Web of Science</v>
      </c>
    </row>
    <row r="512" spans="1:72" x14ac:dyDescent="0.15">
      <c r="A512" t="s">
        <v>72</v>
      </c>
      <c r="B512" t="s">
        <v>9453</v>
      </c>
      <c r="C512" t="s">
        <v>74</v>
      </c>
      <c r="D512" t="s">
        <v>74</v>
      </c>
      <c r="E512" t="s">
        <v>74</v>
      </c>
      <c r="F512" t="s">
        <v>9454</v>
      </c>
      <c r="G512" t="s">
        <v>74</v>
      </c>
      <c r="H512" t="s">
        <v>74</v>
      </c>
      <c r="I512" t="s">
        <v>9455</v>
      </c>
      <c r="J512" t="s">
        <v>6676</v>
      </c>
      <c r="K512" t="s">
        <v>74</v>
      </c>
      <c r="L512" t="s">
        <v>74</v>
      </c>
      <c r="M512" t="s">
        <v>78</v>
      </c>
      <c r="N512" t="s">
        <v>79</v>
      </c>
      <c r="O512" t="s">
        <v>74</v>
      </c>
      <c r="P512" t="s">
        <v>74</v>
      </c>
      <c r="Q512" t="s">
        <v>74</v>
      </c>
      <c r="R512" t="s">
        <v>74</v>
      </c>
      <c r="S512" t="s">
        <v>74</v>
      </c>
      <c r="T512" t="s">
        <v>9456</v>
      </c>
      <c r="U512" t="s">
        <v>9457</v>
      </c>
      <c r="V512" t="s">
        <v>9458</v>
      </c>
      <c r="W512" t="s">
        <v>9459</v>
      </c>
      <c r="X512" t="s">
        <v>9460</v>
      </c>
      <c r="Y512" t="s">
        <v>9461</v>
      </c>
      <c r="Z512" t="s">
        <v>9462</v>
      </c>
      <c r="AA512" t="s">
        <v>9463</v>
      </c>
      <c r="AB512" t="s">
        <v>9464</v>
      </c>
      <c r="AC512" t="s">
        <v>9465</v>
      </c>
      <c r="AD512" t="s">
        <v>1026</v>
      </c>
      <c r="AE512" t="s">
        <v>9466</v>
      </c>
      <c r="AF512" t="s">
        <v>74</v>
      </c>
      <c r="AG512">
        <v>43</v>
      </c>
      <c r="AH512">
        <v>24</v>
      </c>
      <c r="AI512">
        <v>29</v>
      </c>
      <c r="AJ512">
        <v>1</v>
      </c>
      <c r="AK512">
        <v>31</v>
      </c>
      <c r="AL512" t="s">
        <v>3225</v>
      </c>
      <c r="AM512" t="s">
        <v>92</v>
      </c>
      <c r="AN512" t="s">
        <v>4961</v>
      </c>
      <c r="AO512" t="s">
        <v>6689</v>
      </c>
      <c r="AP512" t="s">
        <v>74</v>
      </c>
      <c r="AQ512" t="s">
        <v>74</v>
      </c>
      <c r="AR512" t="s">
        <v>6691</v>
      </c>
      <c r="AS512" t="s">
        <v>6692</v>
      </c>
      <c r="AT512" t="s">
        <v>8540</v>
      </c>
      <c r="AU512">
        <v>2009</v>
      </c>
      <c r="AV512">
        <v>3</v>
      </c>
      <c r="AW512">
        <v>2</v>
      </c>
      <c r="AX512" t="s">
        <v>74</v>
      </c>
      <c r="AY512" t="s">
        <v>74</v>
      </c>
      <c r="AZ512" t="s">
        <v>74</v>
      </c>
      <c r="BA512" t="s">
        <v>74</v>
      </c>
      <c r="BB512">
        <v>252</v>
      </c>
      <c r="BC512">
        <v>260</v>
      </c>
      <c r="BD512" t="s">
        <v>74</v>
      </c>
      <c r="BE512" t="s">
        <v>9467</v>
      </c>
      <c r="BF512" t="str">
        <f>HYPERLINK("http://dx.doi.org/10.1038/ismej.2008.96","http://dx.doi.org/10.1038/ismej.2008.96")</f>
        <v>http://dx.doi.org/10.1038/ismej.2008.96</v>
      </c>
      <c r="BG512" t="s">
        <v>74</v>
      </c>
      <c r="BH512" t="s">
        <v>74</v>
      </c>
      <c r="BI512">
        <v>9</v>
      </c>
      <c r="BJ512" t="s">
        <v>6694</v>
      </c>
      <c r="BK512" t="s">
        <v>100</v>
      </c>
      <c r="BL512" t="s">
        <v>6695</v>
      </c>
      <c r="BM512" t="s">
        <v>9468</v>
      </c>
      <c r="BN512">
        <v>18843301</v>
      </c>
      <c r="BO512" t="s">
        <v>499</v>
      </c>
      <c r="BP512" t="s">
        <v>74</v>
      </c>
      <c r="BQ512" t="s">
        <v>74</v>
      </c>
      <c r="BR512" t="s">
        <v>103</v>
      </c>
      <c r="BS512" t="s">
        <v>9469</v>
      </c>
      <c r="BT512" t="str">
        <f>HYPERLINK("https%3A%2F%2Fwww.webofscience.com%2Fwos%2Fwoscc%2Ffull-record%2FWOS:000263261800012","View Full Record in Web of Science")</f>
        <v>View Full Record in Web of Science</v>
      </c>
    </row>
    <row r="513" spans="1:72" x14ac:dyDescent="0.15">
      <c r="A513" t="s">
        <v>72</v>
      </c>
      <c r="B513" t="s">
        <v>9470</v>
      </c>
      <c r="C513" t="s">
        <v>74</v>
      </c>
      <c r="D513" t="s">
        <v>74</v>
      </c>
      <c r="E513" t="s">
        <v>74</v>
      </c>
      <c r="F513" t="s">
        <v>9471</v>
      </c>
      <c r="G513" t="s">
        <v>74</v>
      </c>
      <c r="H513" t="s">
        <v>74</v>
      </c>
      <c r="I513" t="s">
        <v>9472</v>
      </c>
      <c r="J513" t="s">
        <v>9473</v>
      </c>
      <c r="K513" t="s">
        <v>74</v>
      </c>
      <c r="L513" t="s">
        <v>74</v>
      </c>
      <c r="M513" t="s">
        <v>78</v>
      </c>
      <c r="N513" t="s">
        <v>79</v>
      </c>
      <c r="O513" t="s">
        <v>74</v>
      </c>
      <c r="P513" t="s">
        <v>74</v>
      </c>
      <c r="Q513" t="s">
        <v>74</v>
      </c>
      <c r="R513" t="s">
        <v>74</v>
      </c>
      <c r="S513" t="s">
        <v>74</v>
      </c>
      <c r="T513" t="s">
        <v>9474</v>
      </c>
      <c r="U513" t="s">
        <v>9475</v>
      </c>
      <c r="V513" t="s">
        <v>9476</v>
      </c>
      <c r="W513" t="s">
        <v>9477</v>
      </c>
      <c r="X513" t="s">
        <v>9478</v>
      </c>
      <c r="Y513" t="s">
        <v>9479</v>
      </c>
      <c r="Z513" t="s">
        <v>9480</v>
      </c>
      <c r="AA513" t="s">
        <v>9481</v>
      </c>
      <c r="AB513" t="s">
        <v>9482</v>
      </c>
      <c r="AC513" t="s">
        <v>9483</v>
      </c>
      <c r="AD513" t="s">
        <v>9484</v>
      </c>
      <c r="AE513" t="s">
        <v>9485</v>
      </c>
      <c r="AF513" t="s">
        <v>74</v>
      </c>
      <c r="AG513">
        <v>26</v>
      </c>
      <c r="AH513">
        <v>6</v>
      </c>
      <c r="AI513">
        <v>12</v>
      </c>
      <c r="AJ513">
        <v>0</v>
      </c>
      <c r="AK513">
        <v>10</v>
      </c>
      <c r="AL513" t="s">
        <v>489</v>
      </c>
      <c r="AM513" t="s">
        <v>490</v>
      </c>
      <c r="AN513" t="s">
        <v>491</v>
      </c>
      <c r="AO513" t="s">
        <v>9486</v>
      </c>
      <c r="AP513" t="s">
        <v>9487</v>
      </c>
      <c r="AQ513" t="s">
        <v>74</v>
      </c>
      <c r="AR513" t="s">
        <v>9473</v>
      </c>
      <c r="AS513" t="s">
        <v>9488</v>
      </c>
      <c r="AT513" t="s">
        <v>8540</v>
      </c>
      <c r="AU513">
        <v>2009</v>
      </c>
      <c r="AV513">
        <v>61</v>
      </c>
      <c r="AW513">
        <v>2</v>
      </c>
      <c r="AX513" t="s">
        <v>74</v>
      </c>
      <c r="AY513" t="s">
        <v>74</v>
      </c>
      <c r="AZ513" t="s">
        <v>74</v>
      </c>
      <c r="BA513" t="s">
        <v>74</v>
      </c>
      <c r="BB513">
        <v>163</v>
      </c>
      <c r="BC513">
        <v>170</v>
      </c>
      <c r="BD513" t="s">
        <v>74</v>
      </c>
      <c r="BE513" t="s">
        <v>9489</v>
      </c>
      <c r="BF513" t="str">
        <f>HYPERLINK("http://dx.doi.org/10.1002/iub.140","http://dx.doi.org/10.1002/iub.140")</f>
        <v>http://dx.doi.org/10.1002/iub.140</v>
      </c>
      <c r="BG513" t="s">
        <v>74</v>
      </c>
      <c r="BH513" t="s">
        <v>74</v>
      </c>
      <c r="BI513">
        <v>8</v>
      </c>
      <c r="BJ513" t="s">
        <v>7292</v>
      </c>
      <c r="BK513" t="s">
        <v>100</v>
      </c>
      <c r="BL513" t="s">
        <v>7292</v>
      </c>
      <c r="BM513" t="s">
        <v>9490</v>
      </c>
      <c r="BN513">
        <v>18830997</v>
      </c>
      <c r="BO513" t="s">
        <v>74</v>
      </c>
      <c r="BP513" t="s">
        <v>74</v>
      </c>
      <c r="BQ513" t="s">
        <v>74</v>
      </c>
      <c r="BR513" t="s">
        <v>103</v>
      </c>
      <c r="BS513" t="s">
        <v>9491</v>
      </c>
      <c r="BT513" t="str">
        <f>HYPERLINK("https%3A%2F%2Fwww.webofscience.com%2Fwos%2Fwoscc%2Ffull-record%2FWOS:000263074800008","View Full Record in Web of Science")</f>
        <v>View Full Record in Web of Science</v>
      </c>
    </row>
    <row r="514" spans="1:72" x14ac:dyDescent="0.15">
      <c r="A514" t="s">
        <v>72</v>
      </c>
      <c r="B514" t="s">
        <v>9492</v>
      </c>
      <c r="C514" t="s">
        <v>74</v>
      </c>
      <c r="D514" t="s">
        <v>74</v>
      </c>
      <c r="E514" t="s">
        <v>74</v>
      </c>
      <c r="F514" t="s">
        <v>9493</v>
      </c>
      <c r="G514" t="s">
        <v>74</v>
      </c>
      <c r="H514" t="s">
        <v>74</v>
      </c>
      <c r="I514" t="s">
        <v>9494</v>
      </c>
      <c r="J514" t="s">
        <v>9473</v>
      </c>
      <c r="K514" t="s">
        <v>74</v>
      </c>
      <c r="L514" t="s">
        <v>74</v>
      </c>
      <c r="M514" t="s">
        <v>78</v>
      </c>
      <c r="N514" t="s">
        <v>934</v>
      </c>
      <c r="O514" t="s">
        <v>74</v>
      </c>
      <c r="P514" t="s">
        <v>74</v>
      </c>
      <c r="Q514" t="s">
        <v>74</v>
      </c>
      <c r="R514" t="s">
        <v>74</v>
      </c>
      <c r="S514" t="s">
        <v>74</v>
      </c>
      <c r="T514" t="s">
        <v>74</v>
      </c>
      <c r="U514" t="s">
        <v>9495</v>
      </c>
      <c r="V514" t="s">
        <v>74</v>
      </c>
      <c r="W514" t="s">
        <v>9496</v>
      </c>
      <c r="X514" t="s">
        <v>5809</v>
      </c>
      <c r="Y514" t="s">
        <v>4158</v>
      </c>
      <c r="Z514" t="s">
        <v>4159</v>
      </c>
      <c r="AA514" t="s">
        <v>74</v>
      </c>
      <c r="AB514" t="s">
        <v>5810</v>
      </c>
      <c r="AC514" t="s">
        <v>74</v>
      </c>
      <c r="AD514" t="s">
        <v>74</v>
      </c>
      <c r="AE514" t="s">
        <v>74</v>
      </c>
      <c r="AF514" t="s">
        <v>74</v>
      </c>
      <c r="AG514">
        <v>40</v>
      </c>
      <c r="AH514">
        <v>20</v>
      </c>
      <c r="AI514">
        <v>22</v>
      </c>
      <c r="AJ514">
        <v>0</v>
      </c>
      <c r="AK514">
        <v>12</v>
      </c>
      <c r="AL514" t="s">
        <v>489</v>
      </c>
      <c r="AM514" t="s">
        <v>490</v>
      </c>
      <c r="AN514" t="s">
        <v>491</v>
      </c>
      <c r="AO514" t="s">
        <v>9486</v>
      </c>
      <c r="AP514" t="s">
        <v>9487</v>
      </c>
      <c r="AQ514" t="s">
        <v>74</v>
      </c>
      <c r="AR514" t="s">
        <v>9473</v>
      </c>
      <c r="AS514" t="s">
        <v>9488</v>
      </c>
      <c r="AT514" t="s">
        <v>8540</v>
      </c>
      <c r="AU514">
        <v>2009</v>
      </c>
      <c r="AV514">
        <v>61</v>
      </c>
      <c r="AW514">
        <v>2</v>
      </c>
      <c r="AX514" t="s">
        <v>74</v>
      </c>
      <c r="AY514" t="s">
        <v>74</v>
      </c>
      <c r="AZ514" t="s">
        <v>74</v>
      </c>
      <c r="BA514" t="s">
        <v>74</v>
      </c>
      <c r="BB514">
        <v>184</v>
      </c>
      <c r="BC514">
        <v>188</v>
      </c>
      <c r="BD514" t="s">
        <v>74</v>
      </c>
      <c r="BE514" t="s">
        <v>9497</v>
      </c>
      <c r="BF514" t="str">
        <f>HYPERLINK("http://dx.doi.org/10.1002/iub.138","http://dx.doi.org/10.1002/iub.138")</f>
        <v>http://dx.doi.org/10.1002/iub.138</v>
      </c>
      <c r="BG514" t="s">
        <v>74</v>
      </c>
      <c r="BH514" t="s">
        <v>74</v>
      </c>
      <c r="BI514">
        <v>5</v>
      </c>
      <c r="BJ514" t="s">
        <v>7292</v>
      </c>
      <c r="BK514" t="s">
        <v>100</v>
      </c>
      <c r="BL514" t="s">
        <v>7292</v>
      </c>
      <c r="BM514" t="s">
        <v>9490</v>
      </c>
      <c r="BN514">
        <v>18814305</v>
      </c>
      <c r="BO514" t="s">
        <v>499</v>
      </c>
      <c r="BP514" t="s">
        <v>74</v>
      </c>
      <c r="BQ514" t="s">
        <v>74</v>
      </c>
      <c r="BR514" t="s">
        <v>103</v>
      </c>
      <c r="BS514" t="s">
        <v>9498</v>
      </c>
      <c r="BT514" t="str">
        <f>HYPERLINK("https%3A%2F%2Fwww.webofscience.com%2Fwos%2Fwoscc%2Ffull-record%2FWOS:000263074800011","View Full Record in Web of Science")</f>
        <v>View Full Record in Web of Science</v>
      </c>
    </row>
    <row r="515" spans="1:72" x14ac:dyDescent="0.15">
      <c r="A515" t="s">
        <v>72</v>
      </c>
      <c r="B515" t="s">
        <v>9499</v>
      </c>
      <c r="C515" t="s">
        <v>74</v>
      </c>
      <c r="D515" t="s">
        <v>74</v>
      </c>
      <c r="E515" t="s">
        <v>74</v>
      </c>
      <c r="F515" t="s">
        <v>9500</v>
      </c>
      <c r="G515" t="s">
        <v>74</v>
      </c>
      <c r="H515" t="s">
        <v>74</v>
      </c>
      <c r="I515" t="s">
        <v>9501</v>
      </c>
      <c r="J515" t="s">
        <v>9502</v>
      </c>
      <c r="K515" t="s">
        <v>74</v>
      </c>
      <c r="L515" t="s">
        <v>74</v>
      </c>
      <c r="M515" t="s">
        <v>78</v>
      </c>
      <c r="N515" t="s">
        <v>720</v>
      </c>
      <c r="O515" t="s">
        <v>74</v>
      </c>
      <c r="P515" t="s">
        <v>74</v>
      </c>
      <c r="Q515" t="s">
        <v>74</v>
      </c>
      <c r="R515" t="s">
        <v>74</v>
      </c>
      <c r="S515" t="s">
        <v>74</v>
      </c>
      <c r="T515" t="s">
        <v>9503</v>
      </c>
      <c r="U515" t="s">
        <v>9504</v>
      </c>
      <c r="V515" t="s">
        <v>9505</v>
      </c>
      <c r="W515" t="s">
        <v>9506</v>
      </c>
      <c r="X515" t="s">
        <v>9507</v>
      </c>
      <c r="Y515" t="s">
        <v>9508</v>
      </c>
      <c r="Z515" t="s">
        <v>9509</v>
      </c>
      <c r="AA515" t="s">
        <v>9510</v>
      </c>
      <c r="AB515" t="s">
        <v>9511</v>
      </c>
      <c r="AC515" t="s">
        <v>74</v>
      </c>
      <c r="AD515" t="s">
        <v>74</v>
      </c>
      <c r="AE515" t="s">
        <v>74</v>
      </c>
      <c r="AF515" t="s">
        <v>74</v>
      </c>
      <c r="AG515">
        <v>55</v>
      </c>
      <c r="AH515">
        <v>288</v>
      </c>
      <c r="AI515">
        <v>330</v>
      </c>
      <c r="AJ515">
        <v>5</v>
      </c>
      <c r="AK515">
        <v>231</v>
      </c>
      <c r="AL515" t="s">
        <v>489</v>
      </c>
      <c r="AM515" t="s">
        <v>490</v>
      </c>
      <c r="AN515" t="s">
        <v>491</v>
      </c>
      <c r="AO515" t="s">
        <v>9512</v>
      </c>
      <c r="AP515" t="s">
        <v>9513</v>
      </c>
      <c r="AQ515" t="s">
        <v>74</v>
      </c>
      <c r="AR515" t="s">
        <v>9514</v>
      </c>
      <c r="AS515" t="s">
        <v>9515</v>
      </c>
      <c r="AT515" t="s">
        <v>8540</v>
      </c>
      <c r="AU515">
        <v>2009</v>
      </c>
      <c r="AV515">
        <v>46</v>
      </c>
      <c r="AW515">
        <v>1</v>
      </c>
      <c r="AX515" t="s">
        <v>74</v>
      </c>
      <c r="AY515" t="s">
        <v>74</v>
      </c>
      <c r="AZ515" t="s">
        <v>74</v>
      </c>
      <c r="BA515" t="s">
        <v>74</v>
      </c>
      <c r="BB515">
        <v>73</v>
      </c>
      <c r="BC515">
        <v>81</v>
      </c>
      <c r="BD515" t="s">
        <v>74</v>
      </c>
      <c r="BE515" t="s">
        <v>9516</v>
      </c>
      <c r="BF515" t="str">
        <f>HYPERLINK("http://dx.doi.org/10.1111/j.1365-2664.2008.01601.x","http://dx.doi.org/10.1111/j.1365-2664.2008.01601.x")</f>
        <v>http://dx.doi.org/10.1111/j.1365-2664.2008.01601.x</v>
      </c>
      <c r="BG515" t="s">
        <v>74</v>
      </c>
      <c r="BH515" t="s">
        <v>74</v>
      </c>
      <c r="BI515">
        <v>9</v>
      </c>
      <c r="BJ515" t="s">
        <v>99</v>
      </c>
      <c r="BK515" t="s">
        <v>100</v>
      </c>
      <c r="BL515" t="s">
        <v>101</v>
      </c>
      <c r="BM515" t="s">
        <v>9517</v>
      </c>
      <c r="BN515" t="s">
        <v>74</v>
      </c>
      <c r="BO515" t="s">
        <v>1106</v>
      </c>
      <c r="BP515" t="s">
        <v>74</v>
      </c>
      <c r="BQ515" t="s">
        <v>74</v>
      </c>
      <c r="BR515" t="s">
        <v>103</v>
      </c>
      <c r="BS515" t="s">
        <v>9518</v>
      </c>
      <c r="BT515" t="str">
        <f>HYPERLINK("https%3A%2F%2Fwww.webofscience.com%2Fwos%2Fwoscc%2Ffull-record%2FWOS:000262477800009","View Full Record in Web of Science")</f>
        <v>View Full Record in Web of Science</v>
      </c>
    </row>
    <row r="516" spans="1:72" x14ac:dyDescent="0.15">
      <c r="A516" t="s">
        <v>72</v>
      </c>
      <c r="B516" t="s">
        <v>9519</v>
      </c>
      <c r="C516" t="s">
        <v>74</v>
      </c>
      <c r="D516" t="s">
        <v>74</v>
      </c>
      <c r="E516" t="s">
        <v>74</v>
      </c>
      <c r="F516" t="s">
        <v>9520</v>
      </c>
      <c r="G516" t="s">
        <v>74</v>
      </c>
      <c r="H516" t="s">
        <v>74</v>
      </c>
      <c r="I516" t="s">
        <v>9521</v>
      </c>
      <c r="J516" t="s">
        <v>9502</v>
      </c>
      <c r="K516" t="s">
        <v>74</v>
      </c>
      <c r="L516" t="s">
        <v>74</v>
      </c>
      <c r="M516" t="s">
        <v>78</v>
      </c>
      <c r="N516" t="s">
        <v>79</v>
      </c>
      <c r="O516" t="s">
        <v>74</v>
      </c>
      <c r="P516" t="s">
        <v>74</v>
      </c>
      <c r="Q516" t="s">
        <v>74</v>
      </c>
      <c r="R516" t="s">
        <v>74</v>
      </c>
      <c r="S516" t="s">
        <v>74</v>
      </c>
      <c r="T516" t="s">
        <v>9522</v>
      </c>
      <c r="U516" t="s">
        <v>9523</v>
      </c>
      <c r="V516" t="s">
        <v>9524</v>
      </c>
      <c r="W516" t="s">
        <v>9525</v>
      </c>
      <c r="X516" t="s">
        <v>2357</v>
      </c>
      <c r="Y516" t="s">
        <v>9526</v>
      </c>
      <c r="Z516" t="s">
        <v>9527</v>
      </c>
      <c r="AA516" t="s">
        <v>9528</v>
      </c>
      <c r="AB516" t="s">
        <v>9529</v>
      </c>
      <c r="AC516" t="s">
        <v>74</v>
      </c>
      <c r="AD516" t="s">
        <v>74</v>
      </c>
      <c r="AE516" t="s">
        <v>74</v>
      </c>
      <c r="AF516" t="s">
        <v>74</v>
      </c>
      <c r="AG516">
        <v>23</v>
      </c>
      <c r="AH516">
        <v>11</v>
      </c>
      <c r="AI516">
        <v>12</v>
      </c>
      <c r="AJ516">
        <v>0</v>
      </c>
      <c r="AK516">
        <v>9</v>
      </c>
      <c r="AL516" t="s">
        <v>2124</v>
      </c>
      <c r="AM516" t="s">
        <v>490</v>
      </c>
      <c r="AN516" t="s">
        <v>491</v>
      </c>
      <c r="AO516" t="s">
        <v>9512</v>
      </c>
      <c r="AP516" t="s">
        <v>9513</v>
      </c>
      <c r="AQ516" t="s">
        <v>74</v>
      </c>
      <c r="AR516" t="s">
        <v>9514</v>
      </c>
      <c r="AS516" t="s">
        <v>9515</v>
      </c>
      <c r="AT516" t="s">
        <v>8540</v>
      </c>
      <c r="AU516">
        <v>2009</v>
      </c>
      <c r="AV516">
        <v>46</v>
      </c>
      <c r="AW516">
        <v>1</v>
      </c>
      <c r="AX516" t="s">
        <v>74</v>
      </c>
      <c r="AY516" t="s">
        <v>74</v>
      </c>
      <c r="AZ516" t="s">
        <v>74</v>
      </c>
      <c r="BA516" t="s">
        <v>74</v>
      </c>
      <c r="BB516">
        <v>136</v>
      </c>
      <c r="BC516">
        <v>143</v>
      </c>
      <c r="BD516" t="s">
        <v>74</v>
      </c>
      <c r="BE516" t="s">
        <v>9530</v>
      </c>
      <c r="BF516" t="str">
        <f>HYPERLINK("http://dx.doi.org/10.1111/j.1365-2664.2008.01584.x","http://dx.doi.org/10.1111/j.1365-2664.2008.01584.x")</f>
        <v>http://dx.doi.org/10.1111/j.1365-2664.2008.01584.x</v>
      </c>
      <c r="BG516" t="s">
        <v>74</v>
      </c>
      <c r="BH516" t="s">
        <v>74</v>
      </c>
      <c r="BI516">
        <v>8</v>
      </c>
      <c r="BJ516" t="s">
        <v>99</v>
      </c>
      <c r="BK516" t="s">
        <v>100</v>
      </c>
      <c r="BL516" t="s">
        <v>101</v>
      </c>
      <c r="BM516" t="s">
        <v>9517</v>
      </c>
      <c r="BN516" t="s">
        <v>74</v>
      </c>
      <c r="BO516" t="s">
        <v>74</v>
      </c>
      <c r="BP516" t="s">
        <v>74</v>
      </c>
      <c r="BQ516" t="s">
        <v>74</v>
      </c>
      <c r="BR516" t="s">
        <v>103</v>
      </c>
      <c r="BS516" t="s">
        <v>9531</v>
      </c>
      <c r="BT516" t="str">
        <f>HYPERLINK("https%3A%2F%2Fwww.webofscience.com%2Fwos%2Fwoscc%2Ffull-record%2FWOS:000262477800016","View Full Record in Web of Science")</f>
        <v>View Full Record in Web of Science</v>
      </c>
    </row>
    <row r="517" spans="1:72" x14ac:dyDescent="0.15">
      <c r="A517" t="s">
        <v>72</v>
      </c>
      <c r="B517" t="s">
        <v>9532</v>
      </c>
      <c r="C517" t="s">
        <v>74</v>
      </c>
      <c r="D517" t="s">
        <v>74</v>
      </c>
      <c r="E517" t="s">
        <v>74</v>
      </c>
      <c r="F517" t="s">
        <v>9533</v>
      </c>
      <c r="G517" t="s">
        <v>74</v>
      </c>
      <c r="H517" t="s">
        <v>74</v>
      </c>
      <c r="I517" t="s">
        <v>9534</v>
      </c>
      <c r="J517" t="s">
        <v>9535</v>
      </c>
      <c r="K517" t="s">
        <v>74</v>
      </c>
      <c r="L517" t="s">
        <v>74</v>
      </c>
      <c r="M517" t="s">
        <v>78</v>
      </c>
      <c r="N517" t="s">
        <v>79</v>
      </c>
      <c r="O517" t="s">
        <v>74</v>
      </c>
      <c r="P517" t="s">
        <v>74</v>
      </c>
      <c r="Q517" t="s">
        <v>74</v>
      </c>
      <c r="R517" t="s">
        <v>74</v>
      </c>
      <c r="S517" t="s">
        <v>74</v>
      </c>
      <c r="T517" t="s">
        <v>9536</v>
      </c>
      <c r="U517" t="s">
        <v>9537</v>
      </c>
      <c r="V517" t="s">
        <v>9538</v>
      </c>
      <c r="W517" t="s">
        <v>9539</v>
      </c>
      <c r="X517" t="s">
        <v>9540</v>
      </c>
      <c r="Y517" t="s">
        <v>9541</v>
      </c>
      <c r="Z517" t="s">
        <v>9542</v>
      </c>
      <c r="AA517" t="s">
        <v>9543</v>
      </c>
      <c r="AB517" t="s">
        <v>9544</v>
      </c>
      <c r="AC517" t="s">
        <v>9545</v>
      </c>
      <c r="AD517" t="s">
        <v>9545</v>
      </c>
      <c r="AE517" t="s">
        <v>9546</v>
      </c>
      <c r="AF517" t="s">
        <v>74</v>
      </c>
      <c r="AG517">
        <v>42</v>
      </c>
      <c r="AH517">
        <v>44</v>
      </c>
      <c r="AI517">
        <v>47</v>
      </c>
      <c r="AJ517">
        <v>0</v>
      </c>
      <c r="AK517">
        <v>13</v>
      </c>
      <c r="AL517" t="s">
        <v>91</v>
      </c>
      <c r="AM517" t="s">
        <v>374</v>
      </c>
      <c r="AN517" t="s">
        <v>375</v>
      </c>
      <c r="AO517" t="s">
        <v>9547</v>
      </c>
      <c r="AP517" t="s">
        <v>74</v>
      </c>
      <c r="AQ517" t="s">
        <v>74</v>
      </c>
      <c r="AR517" t="s">
        <v>9548</v>
      </c>
      <c r="AS517" t="s">
        <v>9549</v>
      </c>
      <c r="AT517" t="s">
        <v>8540</v>
      </c>
      <c r="AU517">
        <v>2009</v>
      </c>
      <c r="AV517">
        <v>21</v>
      </c>
      <c r="AW517">
        <v>1</v>
      </c>
      <c r="AX517" t="s">
        <v>74</v>
      </c>
      <c r="AY517" t="s">
        <v>74</v>
      </c>
      <c r="AZ517" t="s">
        <v>74</v>
      </c>
      <c r="BA517" t="s">
        <v>74</v>
      </c>
      <c r="BB517">
        <v>81</v>
      </c>
      <c r="BC517">
        <v>88</v>
      </c>
      <c r="BD517" t="s">
        <v>74</v>
      </c>
      <c r="BE517" t="s">
        <v>9550</v>
      </c>
      <c r="BF517" t="str">
        <f>HYPERLINK("http://dx.doi.org/10.1007/s10811-008-9328-2","http://dx.doi.org/10.1007/s10811-008-9328-2")</f>
        <v>http://dx.doi.org/10.1007/s10811-008-9328-2</v>
      </c>
      <c r="BG517" t="s">
        <v>74</v>
      </c>
      <c r="BH517" t="s">
        <v>74</v>
      </c>
      <c r="BI517">
        <v>8</v>
      </c>
      <c r="BJ517" t="s">
        <v>9551</v>
      </c>
      <c r="BK517" t="s">
        <v>100</v>
      </c>
      <c r="BL517" t="s">
        <v>9551</v>
      </c>
      <c r="BM517" t="s">
        <v>9552</v>
      </c>
      <c r="BN517" t="s">
        <v>74</v>
      </c>
      <c r="BO517" t="s">
        <v>74</v>
      </c>
      <c r="BP517" t="s">
        <v>74</v>
      </c>
      <c r="BQ517" t="s">
        <v>74</v>
      </c>
      <c r="BR517" t="s">
        <v>103</v>
      </c>
      <c r="BS517" t="s">
        <v>9553</v>
      </c>
      <c r="BT517" t="str">
        <f>HYPERLINK("https%3A%2F%2Fwww.webofscience.com%2Fwos%2Fwoscc%2Ffull-record%2FWOS:000263877000010","View Full Record in Web of Science")</f>
        <v>View Full Record in Web of Science</v>
      </c>
    </row>
    <row r="518" spans="1:72" x14ac:dyDescent="0.15">
      <c r="A518" t="s">
        <v>72</v>
      </c>
      <c r="B518" t="s">
        <v>1881</v>
      </c>
      <c r="C518" t="s">
        <v>74</v>
      </c>
      <c r="D518" t="s">
        <v>74</v>
      </c>
      <c r="E518" t="s">
        <v>74</v>
      </c>
      <c r="F518" t="s">
        <v>1882</v>
      </c>
      <c r="G518" t="s">
        <v>74</v>
      </c>
      <c r="H518" t="s">
        <v>74</v>
      </c>
      <c r="I518" t="s">
        <v>9554</v>
      </c>
      <c r="J518" t="s">
        <v>1884</v>
      </c>
      <c r="K518" t="s">
        <v>74</v>
      </c>
      <c r="L518" t="s">
        <v>74</v>
      </c>
      <c r="M518" t="s">
        <v>78</v>
      </c>
      <c r="N518" t="s">
        <v>79</v>
      </c>
      <c r="O518" t="s">
        <v>74</v>
      </c>
      <c r="P518" t="s">
        <v>74</v>
      </c>
      <c r="Q518" t="s">
        <v>74</v>
      </c>
      <c r="R518" t="s">
        <v>74</v>
      </c>
      <c r="S518" t="s">
        <v>74</v>
      </c>
      <c r="T518" t="s">
        <v>74</v>
      </c>
      <c r="U518" t="s">
        <v>9555</v>
      </c>
      <c r="V518" t="s">
        <v>9556</v>
      </c>
      <c r="W518" t="s">
        <v>9557</v>
      </c>
      <c r="X518" t="s">
        <v>1888</v>
      </c>
      <c r="Y518" t="s">
        <v>9558</v>
      </c>
      <c r="Z518" t="s">
        <v>1890</v>
      </c>
      <c r="AA518" t="s">
        <v>1891</v>
      </c>
      <c r="AB518" t="s">
        <v>1892</v>
      </c>
      <c r="AC518" t="s">
        <v>9559</v>
      </c>
      <c r="AD518" t="s">
        <v>9560</v>
      </c>
      <c r="AE518" t="s">
        <v>9561</v>
      </c>
      <c r="AF518" t="s">
        <v>74</v>
      </c>
      <c r="AG518">
        <v>32</v>
      </c>
      <c r="AH518">
        <v>9</v>
      </c>
      <c r="AI518">
        <v>9</v>
      </c>
      <c r="AJ518">
        <v>0</v>
      </c>
      <c r="AK518">
        <v>3</v>
      </c>
      <c r="AL518" t="s">
        <v>1398</v>
      </c>
      <c r="AM518" t="s">
        <v>1399</v>
      </c>
      <c r="AN518" t="s">
        <v>1400</v>
      </c>
      <c r="AO518" t="s">
        <v>1896</v>
      </c>
      <c r="AP518" t="s">
        <v>1897</v>
      </c>
      <c r="AQ518" t="s">
        <v>74</v>
      </c>
      <c r="AR518" t="s">
        <v>1898</v>
      </c>
      <c r="AS518" t="s">
        <v>1899</v>
      </c>
      <c r="AT518" t="s">
        <v>8540</v>
      </c>
      <c r="AU518">
        <v>2009</v>
      </c>
      <c r="AV518">
        <v>22</v>
      </c>
      <c r="AW518">
        <v>3</v>
      </c>
      <c r="AX518" t="s">
        <v>74</v>
      </c>
      <c r="AY518" t="s">
        <v>74</v>
      </c>
      <c r="AZ518" t="s">
        <v>74</v>
      </c>
      <c r="BA518" t="s">
        <v>74</v>
      </c>
      <c r="BB518">
        <v>486</v>
      </c>
      <c r="BC518">
        <v>498</v>
      </c>
      <c r="BD518" t="s">
        <v>74</v>
      </c>
      <c r="BE518" t="s">
        <v>9562</v>
      </c>
      <c r="BF518" t="str">
        <f>HYPERLINK("http://dx.doi.org/10.1175/2008JCLI2513.1","http://dx.doi.org/10.1175/2008JCLI2513.1")</f>
        <v>http://dx.doi.org/10.1175/2008JCLI2513.1</v>
      </c>
      <c r="BG518" t="s">
        <v>74</v>
      </c>
      <c r="BH518" t="s">
        <v>74</v>
      </c>
      <c r="BI518">
        <v>13</v>
      </c>
      <c r="BJ518" t="s">
        <v>398</v>
      </c>
      <c r="BK518" t="s">
        <v>100</v>
      </c>
      <c r="BL518" t="s">
        <v>398</v>
      </c>
      <c r="BM518" t="s">
        <v>9563</v>
      </c>
      <c r="BN518" t="s">
        <v>74</v>
      </c>
      <c r="BO518" t="s">
        <v>499</v>
      </c>
      <c r="BP518" t="s">
        <v>74</v>
      </c>
      <c r="BQ518" t="s">
        <v>74</v>
      </c>
      <c r="BR518" t="s">
        <v>103</v>
      </c>
      <c r="BS518" t="s">
        <v>9564</v>
      </c>
      <c r="BT518" t="str">
        <f>HYPERLINK("https%3A%2F%2Fwww.webofscience.com%2Fwos%2Fwoscc%2Ffull-record%2FWOS:000263908000002","View Full Record in Web of Science")</f>
        <v>View Full Record in Web of Science</v>
      </c>
    </row>
    <row r="519" spans="1:72" x14ac:dyDescent="0.15">
      <c r="A519" t="s">
        <v>72</v>
      </c>
      <c r="B519" t="s">
        <v>9565</v>
      </c>
      <c r="C519" t="s">
        <v>74</v>
      </c>
      <c r="D519" t="s">
        <v>74</v>
      </c>
      <c r="E519" t="s">
        <v>74</v>
      </c>
      <c r="F519" t="s">
        <v>9566</v>
      </c>
      <c r="G519" t="s">
        <v>74</v>
      </c>
      <c r="H519" t="s">
        <v>74</v>
      </c>
      <c r="I519" t="s">
        <v>9567</v>
      </c>
      <c r="J519" t="s">
        <v>1884</v>
      </c>
      <c r="K519" t="s">
        <v>74</v>
      </c>
      <c r="L519" t="s">
        <v>74</v>
      </c>
      <c r="M519" t="s">
        <v>78</v>
      </c>
      <c r="N519" t="s">
        <v>79</v>
      </c>
      <c r="O519" t="s">
        <v>74</v>
      </c>
      <c r="P519" t="s">
        <v>74</v>
      </c>
      <c r="Q519" t="s">
        <v>74</v>
      </c>
      <c r="R519" t="s">
        <v>74</v>
      </c>
      <c r="S519" t="s">
        <v>74</v>
      </c>
      <c r="T519" t="s">
        <v>74</v>
      </c>
      <c r="U519" t="s">
        <v>9568</v>
      </c>
      <c r="V519" t="s">
        <v>9569</v>
      </c>
      <c r="W519" t="s">
        <v>9570</v>
      </c>
      <c r="X519" t="s">
        <v>9571</v>
      </c>
      <c r="Y519" t="s">
        <v>9572</v>
      </c>
      <c r="Z519" t="s">
        <v>9573</v>
      </c>
      <c r="AA519" t="s">
        <v>9574</v>
      </c>
      <c r="AB519" t="s">
        <v>9575</v>
      </c>
      <c r="AC519" t="s">
        <v>9576</v>
      </c>
      <c r="AD519" t="s">
        <v>1490</v>
      </c>
      <c r="AE519" t="s">
        <v>74</v>
      </c>
      <c r="AF519" t="s">
        <v>74</v>
      </c>
      <c r="AG519">
        <v>40</v>
      </c>
      <c r="AH519">
        <v>90</v>
      </c>
      <c r="AI519">
        <v>99</v>
      </c>
      <c r="AJ519">
        <v>2</v>
      </c>
      <c r="AK519">
        <v>19</v>
      </c>
      <c r="AL519" t="s">
        <v>1398</v>
      </c>
      <c r="AM519" t="s">
        <v>1399</v>
      </c>
      <c r="AN519" t="s">
        <v>1400</v>
      </c>
      <c r="AO519" t="s">
        <v>1896</v>
      </c>
      <c r="AP519" t="s">
        <v>1897</v>
      </c>
      <c r="AQ519" t="s">
        <v>74</v>
      </c>
      <c r="AR519" t="s">
        <v>1898</v>
      </c>
      <c r="AS519" t="s">
        <v>1899</v>
      </c>
      <c r="AT519" t="s">
        <v>8540</v>
      </c>
      <c r="AU519">
        <v>2009</v>
      </c>
      <c r="AV519">
        <v>22</v>
      </c>
      <c r="AW519">
        <v>3</v>
      </c>
      <c r="AX519" t="s">
        <v>74</v>
      </c>
      <c r="AY519" t="s">
        <v>74</v>
      </c>
      <c r="AZ519" t="s">
        <v>74</v>
      </c>
      <c r="BA519" t="s">
        <v>74</v>
      </c>
      <c r="BB519">
        <v>806</v>
      </c>
      <c r="BC519">
        <v>818</v>
      </c>
      <c r="BD519" t="s">
        <v>74</v>
      </c>
      <c r="BE519" t="s">
        <v>9577</v>
      </c>
      <c r="BF519" t="str">
        <f>HYPERLINK("http://dx.doi.org/10.1175/2008JCLI2416.1","http://dx.doi.org/10.1175/2008JCLI2416.1")</f>
        <v>http://dx.doi.org/10.1175/2008JCLI2416.1</v>
      </c>
      <c r="BG519" t="s">
        <v>74</v>
      </c>
      <c r="BH519" t="s">
        <v>74</v>
      </c>
      <c r="BI519">
        <v>13</v>
      </c>
      <c r="BJ519" t="s">
        <v>398</v>
      </c>
      <c r="BK519" t="s">
        <v>100</v>
      </c>
      <c r="BL519" t="s">
        <v>398</v>
      </c>
      <c r="BM519" t="s">
        <v>9563</v>
      </c>
      <c r="BN519" t="s">
        <v>74</v>
      </c>
      <c r="BO519" t="s">
        <v>9578</v>
      </c>
      <c r="BP519" t="s">
        <v>74</v>
      </c>
      <c r="BQ519" t="s">
        <v>74</v>
      </c>
      <c r="BR519" t="s">
        <v>103</v>
      </c>
      <c r="BS519" t="s">
        <v>9579</v>
      </c>
      <c r="BT519" t="str">
        <f>HYPERLINK("https%3A%2F%2Fwww.webofscience.com%2Fwos%2Fwoscc%2Ffull-record%2FWOS:000263908000021","View Full Record in Web of Science")</f>
        <v>View Full Record in Web of Science</v>
      </c>
    </row>
    <row r="520" spans="1:72" x14ac:dyDescent="0.15">
      <c r="A520" t="s">
        <v>72</v>
      </c>
      <c r="B520" t="s">
        <v>9580</v>
      </c>
      <c r="C520" t="s">
        <v>74</v>
      </c>
      <c r="D520" t="s">
        <v>74</v>
      </c>
      <c r="E520" t="s">
        <v>74</v>
      </c>
      <c r="F520" t="s">
        <v>9581</v>
      </c>
      <c r="G520" t="s">
        <v>74</v>
      </c>
      <c r="H520" t="s">
        <v>74</v>
      </c>
      <c r="I520" t="s">
        <v>9582</v>
      </c>
      <c r="J520" t="s">
        <v>1934</v>
      </c>
      <c r="K520" t="s">
        <v>74</v>
      </c>
      <c r="L520" t="s">
        <v>74</v>
      </c>
      <c r="M520" t="s">
        <v>78</v>
      </c>
      <c r="N520" t="s">
        <v>79</v>
      </c>
      <c r="O520" t="s">
        <v>74</v>
      </c>
      <c r="P520" t="s">
        <v>74</v>
      </c>
      <c r="Q520" t="s">
        <v>74</v>
      </c>
      <c r="R520" t="s">
        <v>74</v>
      </c>
      <c r="S520" t="s">
        <v>74</v>
      </c>
      <c r="T520" t="s">
        <v>9583</v>
      </c>
      <c r="U520" t="s">
        <v>9584</v>
      </c>
      <c r="V520" t="s">
        <v>9585</v>
      </c>
      <c r="W520" t="s">
        <v>9586</v>
      </c>
      <c r="X520" t="s">
        <v>9587</v>
      </c>
      <c r="Y520" t="s">
        <v>9588</v>
      </c>
      <c r="Z520" t="s">
        <v>9589</v>
      </c>
      <c r="AA520" t="s">
        <v>9590</v>
      </c>
      <c r="AB520" t="s">
        <v>9591</v>
      </c>
      <c r="AC520" t="s">
        <v>9592</v>
      </c>
      <c r="AD520" t="s">
        <v>9593</v>
      </c>
      <c r="AE520" t="s">
        <v>9594</v>
      </c>
      <c r="AF520" t="s">
        <v>74</v>
      </c>
      <c r="AG520">
        <v>45</v>
      </c>
      <c r="AH520">
        <v>10</v>
      </c>
      <c r="AI520">
        <v>11</v>
      </c>
      <c r="AJ520">
        <v>0</v>
      </c>
      <c r="AK520">
        <v>5</v>
      </c>
      <c r="AL520" t="s">
        <v>1947</v>
      </c>
      <c r="AM520" t="s">
        <v>1948</v>
      </c>
      <c r="AN520" t="s">
        <v>1949</v>
      </c>
      <c r="AO520" t="s">
        <v>1950</v>
      </c>
      <c r="AP520" t="s">
        <v>74</v>
      </c>
      <c r="AQ520" t="s">
        <v>74</v>
      </c>
      <c r="AR520" t="s">
        <v>1952</v>
      </c>
      <c r="AS520" t="s">
        <v>1953</v>
      </c>
      <c r="AT520" t="s">
        <v>8540</v>
      </c>
      <c r="AU520">
        <v>2009</v>
      </c>
      <c r="AV520">
        <v>179</v>
      </c>
      <c r="AW520">
        <v>2</v>
      </c>
      <c r="AX520" t="s">
        <v>74</v>
      </c>
      <c r="AY520" t="s">
        <v>74</v>
      </c>
      <c r="AZ520" t="s">
        <v>74</v>
      </c>
      <c r="BA520" t="s">
        <v>74</v>
      </c>
      <c r="BB520">
        <v>165</v>
      </c>
      <c r="BC520">
        <v>173</v>
      </c>
      <c r="BD520" t="s">
        <v>74</v>
      </c>
      <c r="BE520" t="s">
        <v>9595</v>
      </c>
      <c r="BF520" t="str">
        <f>HYPERLINK("http://dx.doi.org/10.1007/s00360-008-0299-z","http://dx.doi.org/10.1007/s00360-008-0299-z")</f>
        <v>http://dx.doi.org/10.1007/s00360-008-0299-z</v>
      </c>
      <c r="BG520" t="s">
        <v>74</v>
      </c>
      <c r="BH520" t="s">
        <v>74</v>
      </c>
      <c r="BI520">
        <v>9</v>
      </c>
      <c r="BJ520" t="s">
        <v>1955</v>
      </c>
      <c r="BK520" t="s">
        <v>100</v>
      </c>
      <c r="BL520" t="s">
        <v>1955</v>
      </c>
      <c r="BM520" t="s">
        <v>9596</v>
      </c>
      <c r="BN520">
        <v>18941758</v>
      </c>
      <c r="BO520" t="s">
        <v>74</v>
      </c>
      <c r="BP520" t="s">
        <v>74</v>
      </c>
      <c r="BQ520" t="s">
        <v>74</v>
      </c>
      <c r="BR520" t="s">
        <v>103</v>
      </c>
      <c r="BS520" t="s">
        <v>9597</v>
      </c>
      <c r="BT520" t="str">
        <f>HYPERLINK("https%3A%2F%2Fwww.webofscience.com%2Fwos%2Fwoscc%2Ffull-record%2FWOS:000262577800006","View Full Record in Web of Science")</f>
        <v>View Full Record in Web of Science</v>
      </c>
    </row>
    <row r="521" spans="1:72" x14ac:dyDescent="0.15">
      <c r="A521" t="s">
        <v>72</v>
      </c>
      <c r="B521" t="s">
        <v>9598</v>
      </c>
      <c r="C521" t="s">
        <v>74</v>
      </c>
      <c r="D521" t="s">
        <v>74</v>
      </c>
      <c r="E521" t="s">
        <v>74</v>
      </c>
      <c r="F521" t="s">
        <v>9599</v>
      </c>
      <c r="G521" t="s">
        <v>74</v>
      </c>
      <c r="H521" t="s">
        <v>74</v>
      </c>
      <c r="I521" t="s">
        <v>9600</v>
      </c>
      <c r="J521" t="s">
        <v>9601</v>
      </c>
      <c r="K521" t="s">
        <v>74</v>
      </c>
      <c r="L521" t="s">
        <v>74</v>
      </c>
      <c r="M521" t="s">
        <v>78</v>
      </c>
      <c r="N521" t="s">
        <v>79</v>
      </c>
      <c r="O521" t="s">
        <v>74</v>
      </c>
      <c r="P521" t="s">
        <v>74</v>
      </c>
      <c r="Q521" t="s">
        <v>74</v>
      </c>
      <c r="R521" t="s">
        <v>74</v>
      </c>
      <c r="S521" t="s">
        <v>74</v>
      </c>
      <c r="T521" t="s">
        <v>9602</v>
      </c>
      <c r="U521" t="s">
        <v>9603</v>
      </c>
      <c r="V521" t="s">
        <v>9604</v>
      </c>
      <c r="W521" t="s">
        <v>9605</v>
      </c>
      <c r="X521" t="s">
        <v>9606</v>
      </c>
      <c r="Y521" t="s">
        <v>9607</v>
      </c>
      <c r="Z521" t="s">
        <v>9608</v>
      </c>
      <c r="AA521" t="s">
        <v>9609</v>
      </c>
      <c r="AB521" t="s">
        <v>9610</v>
      </c>
      <c r="AC521" t="s">
        <v>9611</v>
      </c>
      <c r="AD521" t="s">
        <v>9612</v>
      </c>
      <c r="AE521" t="s">
        <v>9613</v>
      </c>
      <c r="AF521" t="s">
        <v>74</v>
      </c>
      <c r="AG521">
        <v>17</v>
      </c>
      <c r="AH521">
        <v>1</v>
      </c>
      <c r="AI521">
        <v>1</v>
      </c>
      <c r="AJ521">
        <v>0</v>
      </c>
      <c r="AK521">
        <v>9</v>
      </c>
      <c r="AL521" t="s">
        <v>9614</v>
      </c>
      <c r="AM521" t="s">
        <v>9615</v>
      </c>
      <c r="AN521" t="s">
        <v>9616</v>
      </c>
      <c r="AO521" t="s">
        <v>9617</v>
      </c>
      <c r="AP521" t="s">
        <v>9618</v>
      </c>
      <c r="AQ521" t="s">
        <v>74</v>
      </c>
      <c r="AR521" t="s">
        <v>9619</v>
      </c>
      <c r="AS521" t="s">
        <v>9620</v>
      </c>
      <c r="AT521" t="s">
        <v>8540</v>
      </c>
      <c r="AU521">
        <v>2009</v>
      </c>
      <c r="AV521">
        <v>118</v>
      </c>
      <c r="AW521">
        <v>1</v>
      </c>
      <c r="AX521" t="s">
        <v>74</v>
      </c>
      <c r="AY521" t="s">
        <v>74</v>
      </c>
      <c r="AZ521" t="s">
        <v>74</v>
      </c>
      <c r="BA521" t="s">
        <v>74</v>
      </c>
      <c r="BB521">
        <v>61</v>
      </c>
      <c r="BC521">
        <v>70</v>
      </c>
      <c r="BD521" t="s">
        <v>74</v>
      </c>
      <c r="BE521" t="s">
        <v>9621</v>
      </c>
      <c r="BF521" t="str">
        <f>HYPERLINK("http://dx.doi.org/10.1007/s12040-009-0006-9","http://dx.doi.org/10.1007/s12040-009-0006-9")</f>
        <v>http://dx.doi.org/10.1007/s12040-009-0006-9</v>
      </c>
      <c r="BG521" t="s">
        <v>74</v>
      </c>
      <c r="BH521" t="s">
        <v>74</v>
      </c>
      <c r="BI521">
        <v>10</v>
      </c>
      <c r="BJ521" t="s">
        <v>9622</v>
      </c>
      <c r="BK521" t="s">
        <v>100</v>
      </c>
      <c r="BL521" t="s">
        <v>9623</v>
      </c>
      <c r="BM521" t="s">
        <v>9624</v>
      </c>
      <c r="BN521" t="s">
        <v>74</v>
      </c>
      <c r="BO521" t="s">
        <v>499</v>
      </c>
      <c r="BP521" t="s">
        <v>74</v>
      </c>
      <c r="BQ521" t="s">
        <v>74</v>
      </c>
      <c r="BR521" t="s">
        <v>103</v>
      </c>
      <c r="BS521" t="s">
        <v>9625</v>
      </c>
      <c r="BT521" t="str">
        <f>HYPERLINK("https%3A%2F%2Fwww.webofscience.com%2Fwos%2Fwoscc%2Ffull-record%2FWOS:000265833600006","View Full Record in Web of Science")</f>
        <v>View Full Record in Web of Science</v>
      </c>
    </row>
    <row r="522" spans="1:72" x14ac:dyDescent="0.15">
      <c r="A522" t="s">
        <v>72</v>
      </c>
      <c r="B522" t="s">
        <v>9626</v>
      </c>
      <c r="C522" t="s">
        <v>74</v>
      </c>
      <c r="D522" t="s">
        <v>74</v>
      </c>
      <c r="E522" t="s">
        <v>74</v>
      </c>
      <c r="F522" t="s">
        <v>9627</v>
      </c>
      <c r="G522" t="s">
        <v>74</v>
      </c>
      <c r="H522" t="s">
        <v>74</v>
      </c>
      <c r="I522" t="s">
        <v>9628</v>
      </c>
      <c r="J522" t="s">
        <v>6802</v>
      </c>
      <c r="K522" t="s">
        <v>74</v>
      </c>
      <c r="L522" t="s">
        <v>74</v>
      </c>
      <c r="M522" t="s">
        <v>78</v>
      </c>
      <c r="N522" t="s">
        <v>79</v>
      </c>
      <c r="O522" t="s">
        <v>74</v>
      </c>
      <c r="P522" t="s">
        <v>74</v>
      </c>
      <c r="Q522" t="s">
        <v>74</v>
      </c>
      <c r="R522" t="s">
        <v>74</v>
      </c>
      <c r="S522" t="s">
        <v>74</v>
      </c>
      <c r="T522" t="s">
        <v>9629</v>
      </c>
      <c r="U522" t="s">
        <v>9630</v>
      </c>
      <c r="V522" t="s">
        <v>9631</v>
      </c>
      <c r="W522" t="s">
        <v>9632</v>
      </c>
      <c r="X522" t="s">
        <v>9633</v>
      </c>
      <c r="Y522" t="s">
        <v>9634</v>
      </c>
      <c r="Z522" t="s">
        <v>9635</v>
      </c>
      <c r="AA522" t="s">
        <v>74</v>
      </c>
      <c r="AB522" t="s">
        <v>9636</v>
      </c>
      <c r="AC522" t="s">
        <v>9637</v>
      </c>
      <c r="AD522" t="s">
        <v>5494</v>
      </c>
      <c r="AE522" t="s">
        <v>9638</v>
      </c>
      <c r="AF522" t="s">
        <v>74</v>
      </c>
      <c r="AG522">
        <v>37</v>
      </c>
      <c r="AH522">
        <v>12</v>
      </c>
      <c r="AI522">
        <v>14</v>
      </c>
      <c r="AJ522">
        <v>1</v>
      </c>
      <c r="AK522">
        <v>20</v>
      </c>
      <c r="AL522" t="s">
        <v>489</v>
      </c>
      <c r="AM522" t="s">
        <v>490</v>
      </c>
      <c r="AN522" t="s">
        <v>491</v>
      </c>
      <c r="AO522" t="s">
        <v>6812</v>
      </c>
      <c r="AP522" t="s">
        <v>6813</v>
      </c>
      <c r="AQ522" t="s">
        <v>74</v>
      </c>
      <c r="AR522" t="s">
        <v>6814</v>
      </c>
      <c r="AS522" t="s">
        <v>6815</v>
      </c>
      <c r="AT522" t="s">
        <v>8540</v>
      </c>
      <c r="AU522">
        <v>2009</v>
      </c>
      <c r="AV522">
        <v>74</v>
      </c>
      <c r="AW522">
        <v>3</v>
      </c>
      <c r="AX522" t="s">
        <v>74</v>
      </c>
      <c r="AY522" t="s">
        <v>74</v>
      </c>
      <c r="AZ522" t="s">
        <v>74</v>
      </c>
      <c r="BA522" t="s">
        <v>74</v>
      </c>
      <c r="BB522">
        <v>535</v>
      </c>
      <c r="BC522">
        <v>552</v>
      </c>
      <c r="BD522" t="s">
        <v>74</v>
      </c>
      <c r="BE522" t="s">
        <v>9639</v>
      </c>
      <c r="BF522" t="str">
        <f>HYPERLINK("http://dx.doi.org/10.1111/j.1095-8649.2008.02141.x","http://dx.doi.org/10.1111/j.1095-8649.2008.02141.x")</f>
        <v>http://dx.doi.org/10.1111/j.1095-8649.2008.02141.x</v>
      </c>
      <c r="BG522" t="s">
        <v>74</v>
      </c>
      <c r="BH522" t="s">
        <v>74</v>
      </c>
      <c r="BI522">
        <v>18</v>
      </c>
      <c r="BJ522" t="s">
        <v>380</v>
      </c>
      <c r="BK522" t="s">
        <v>100</v>
      </c>
      <c r="BL522" t="s">
        <v>380</v>
      </c>
      <c r="BM522" t="s">
        <v>9640</v>
      </c>
      <c r="BN522">
        <v>20735577</v>
      </c>
      <c r="BO522" t="s">
        <v>74</v>
      </c>
      <c r="BP522" t="s">
        <v>74</v>
      </c>
      <c r="BQ522" t="s">
        <v>74</v>
      </c>
      <c r="BR522" t="s">
        <v>103</v>
      </c>
      <c r="BS522" t="s">
        <v>9641</v>
      </c>
      <c r="BT522" t="str">
        <f>HYPERLINK("https%3A%2F%2Fwww.webofscience.com%2Fwos%2Fwoscc%2Ffull-record%2FWOS:000263040100004","View Full Record in Web of Science")</f>
        <v>View Full Record in Web of Science</v>
      </c>
    </row>
    <row r="523" spans="1:72" x14ac:dyDescent="0.15">
      <c r="A523" t="s">
        <v>72</v>
      </c>
      <c r="B523" t="s">
        <v>9642</v>
      </c>
      <c r="C523" t="s">
        <v>74</v>
      </c>
      <c r="D523" t="s">
        <v>74</v>
      </c>
      <c r="E523" t="s">
        <v>74</v>
      </c>
      <c r="F523" t="s">
        <v>9643</v>
      </c>
      <c r="G523" t="s">
        <v>74</v>
      </c>
      <c r="H523" t="s">
        <v>74</v>
      </c>
      <c r="I523" t="s">
        <v>9644</v>
      </c>
      <c r="J523" t="s">
        <v>9645</v>
      </c>
      <c r="K523" t="s">
        <v>74</v>
      </c>
      <c r="L523" t="s">
        <v>74</v>
      </c>
      <c r="M523" t="s">
        <v>78</v>
      </c>
      <c r="N523" t="s">
        <v>79</v>
      </c>
      <c r="O523" t="s">
        <v>74</v>
      </c>
      <c r="P523" t="s">
        <v>74</v>
      </c>
      <c r="Q523" t="s">
        <v>74</v>
      </c>
      <c r="R523" t="s">
        <v>74</v>
      </c>
      <c r="S523" t="s">
        <v>74</v>
      </c>
      <c r="T523" t="s">
        <v>74</v>
      </c>
      <c r="U523" t="s">
        <v>9646</v>
      </c>
      <c r="V523" t="s">
        <v>9647</v>
      </c>
      <c r="W523" t="s">
        <v>9648</v>
      </c>
      <c r="X523" t="s">
        <v>9649</v>
      </c>
      <c r="Y523" t="s">
        <v>9650</v>
      </c>
      <c r="Z523" t="s">
        <v>9651</v>
      </c>
      <c r="AA523" t="s">
        <v>9652</v>
      </c>
      <c r="AB523" t="s">
        <v>9653</v>
      </c>
      <c r="AC523" t="s">
        <v>9654</v>
      </c>
      <c r="AD523" t="s">
        <v>9655</v>
      </c>
      <c r="AE523" t="s">
        <v>9656</v>
      </c>
      <c r="AF523" t="s">
        <v>74</v>
      </c>
      <c r="AG523">
        <v>53</v>
      </c>
      <c r="AH523">
        <v>45</v>
      </c>
      <c r="AI523">
        <v>51</v>
      </c>
      <c r="AJ523">
        <v>0</v>
      </c>
      <c r="AK523">
        <v>17</v>
      </c>
      <c r="AL523" t="s">
        <v>1398</v>
      </c>
      <c r="AM523" t="s">
        <v>1399</v>
      </c>
      <c r="AN523" t="s">
        <v>1400</v>
      </c>
      <c r="AO523" t="s">
        <v>9657</v>
      </c>
      <c r="AP523" t="s">
        <v>9658</v>
      </c>
      <c r="AQ523" t="s">
        <v>74</v>
      </c>
      <c r="AR523" t="s">
        <v>9659</v>
      </c>
      <c r="AS523" t="s">
        <v>9660</v>
      </c>
      <c r="AT523" t="s">
        <v>8540</v>
      </c>
      <c r="AU523">
        <v>2009</v>
      </c>
      <c r="AV523">
        <v>10</v>
      </c>
      <c r="AW523">
        <v>1</v>
      </c>
      <c r="AX523" t="s">
        <v>74</v>
      </c>
      <c r="AY523" t="s">
        <v>74</v>
      </c>
      <c r="AZ523" t="s">
        <v>74</v>
      </c>
      <c r="BA523" t="s">
        <v>74</v>
      </c>
      <c r="BB523">
        <v>241</v>
      </c>
      <c r="BC523">
        <v>253</v>
      </c>
      <c r="BD523" t="s">
        <v>74</v>
      </c>
      <c r="BE523" t="s">
        <v>9661</v>
      </c>
      <c r="BF523" t="str">
        <f>HYPERLINK("http://dx.doi.org/10.1175/2008JHM1007.1","http://dx.doi.org/10.1175/2008JHM1007.1")</f>
        <v>http://dx.doi.org/10.1175/2008JHM1007.1</v>
      </c>
      <c r="BG523" t="s">
        <v>74</v>
      </c>
      <c r="BH523" t="s">
        <v>74</v>
      </c>
      <c r="BI523">
        <v>13</v>
      </c>
      <c r="BJ523" t="s">
        <v>398</v>
      </c>
      <c r="BK523" t="s">
        <v>100</v>
      </c>
      <c r="BL523" t="s">
        <v>398</v>
      </c>
      <c r="BM523" t="s">
        <v>9662</v>
      </c>
      <c r="BN523" t="s">
        <v>74</v>
      </c>
      <c r="BO523" t="s">
        <v>262</v>
      </c>
      <c r="BP523" t="s">
        <v>74</v>
      </c>
      <c r="BQ523" t="s">
        <v>74</v>
      </c>
      <c r="BR523" t="s">
        <v>103</v>
      </c>
      <c r="BS523" t="s">
        <v>9663</v>
      </c>
      <c r="BT523" t="str">
        <f>HYPERLINK("https%3A%2F%2Fwww.webofscience.com%2Fwos%2Fwoscc%2Ffull-record%2FWOS:000263853000015","View Full Record in Web of Science")</f>
        <v>View Full Record in Web of Science</v>
      </c>
    </row>
    <row r="524" spans="1:72" x14ac:dyDescent="0.15">
      <c r="A524" t="s">
        <v>72</v>
      </c>
      <c r="B524" t="s">
        <v>9664</v>
      </c>
      <c r="C524" t="s">
        <v>74</v>
      </c>
      <c r="D524" t="s">
        <v>74</v>
      </c>
      <c r="E524" t="s">
        <v>74</v>
      </c>
      <c r="F524" t="s">
        <v>9665</v>
      </c>
      <c r="G524" t="s">
        <v>74</v>
      </c>
      <c r="H524" t="s">
        <v>74</v>
      </c>
      <c r="I524" t="s">
        <v>9666</v>
      </c>
      <c r="J524" t="s">
        <v>4613</v>
      </c>
      <c r="K524" t="s">
        <v>74</v>
      </c>
      <c r="L524" t="s">
        <v>74</v>
      </c>
      <c r="M524" t="s">
        <v>78</v>
      </c>
      <c r="N524" t="s">
        <v>79</v>
      </c>
      <c r="O524" t="s">
        <v>74</v>
      </c>
      <c r="P524" t="s">
        <v>74</v>
      </c>
      <c r="Q524" t="s">
        <v>74</v>
      </c>
      <c r="R524" t="s">
        <v>74</v>
      </c>
      <c r="S524" t="s">
        <v>74</v>
      </c>
      <c r="T524" t="s">
        <v>9667</v>
      </c>
      <c r="U524" t="s">
        <v>9668</v>
      </c>
      <c r="V524" t="s">
        <v>9669</v>
      </c>
      <c r="W524" t="s">
        <v>9670</v>
      </c>
      <c r="X524" t="s">
        <v>9671</v>
      </c>
      <c r="Y524" t="s">
        <v>9672</v>
      </c>
      <c r="Z524" t="s">
        <v>9673</v>
      </c>
      <c r="AA524" t="s">
        <v>9674</v>
      </c>
      <c r="AB524" t="s">
        <v>9675</v>
      </c>
      <c r="AC524" t="s">
        <v>9676</v>
      </c>
      <c r="AD524" t="s">
        <v>1490</v>
      </c>
      <c r="AE524" t="s">
        <v>74</v>
      </c>
      <c r="AF524" t="s">
        <v>74</v>
      </c>
      <c r="AG524">
        <v>37</v>
      </c>
      <c r="AH524">
        <v>15</v>
      </c>
      <c r="AI524">
        <v>16</v>
      </c>
      <c r="AJ524">
        <v>0</v>
      </c>
      <c r="AK524">
        <v>11</v>
      </c>
      <c r="AL524" t="s">
        <v>303</v>
      </c>
      <c r="AM524" t="s">
        <v>304</v>
      </c>
      <c r="AN524" t="s">
        <v>305</v>
      </c>
      <c r="AO524" t="s">
        <v>4622</v>
      </c>
      <c r="AP524" t="s">
        <v>74</v>
      </c>
      <c r="AQ524" t="s">
        <v>74</v>
      </c>
      <c r="AR524" t="s">
        <v>4624</v>
      </c>
      <c r="AS524" t="s">
        <v>4625</v>
      </c>
      <c r="AT524" t="s">
        <v>8540</v>
      </c>
      <c r="AU524">
        <v>2009</v>
      </c>
      <c r="AV524">
        <v>55</v>
      </c>
      <c r="AW524">
        <v>2</v>
      </c>
      <c r="AX524" t="s">
        <v>74</v>
      </c>
      <c r="AY524" t="s">
        <v>74</v>
      </c>
      <c r="AZ524" t="s">
        <v>74</v>
      </c>
      <c r="BA524" t="s">
        <v>74</v>
      </c>
      <c r="BB524">
        <v>129</v>
      </c>
      <c r="BC524">
        <v>134</v>
      </c>
      <c r="BD524" t="s">
        <v>74</v>
      </c>
      <c r="BE524" t="s">
        <v>9677</v>
      </c>
      <c r="BF524" t="str">
        <f>HYPERLINK("http://dx.doi.org/10.1016/j.jinsphys.2008.10.009","http://dx.doi.org/10.1016/j.jinsphys.2008.10.009")</f>
        <v>http://dx.doi.org/10.1016/j.jinsphys.2008.10.009</v>
      </c>
      <c r="BG524" t="s">
        <v>74</v>
      </c>
      <c r="BH524" t="s">
        <v>74</v>
      </c>
      <c r="BI524">
        <v>6</v>
      </c>
      <c r="BJ524" t="s">
        <v>4627</v>
      </c>
      <c r="BK524" t="s">
        <v>100</v>
      </c>
      <c r="BL524" t="s">
        <v>4627</v>
      </c>
      <c r="BM524" t="s">
        <v>9678</v>
      </c>
      <c r="BN524">
        <v>19027747</v>
      </c>
      <c r="BO524" t="s">
        <v>74</v>
      </c>
      <c r="BP524" t="s">
        <v>74</v>
      </c>
      <c r="BQ524" t="s">
        <v>74</v>
      </c>
      <c r="BR524" t="s">
        <v>103</v>
      </c>
      <c r="BS524" t="s">
        <v>9679</v>
      </c>
      <c r="BT524" t="str">
        <f>HYPERLINK("https%3A%2F%2Fwww.webofscience.com%2Fwos%2Fwoscc%2Ffull-record%2FWOS:000263699000006","View Full Record in Web of Science")</f>
        <v>View Full Record in Web of Science</v>
      </c>
    </row>
    <row r="525" spans="1:72" x14ac:dyDescent="0.15">
      <c r="A525" t="s">
        <v>72</v>
      </c>
      <c r="B525" t="s">
        <v>9680</v>
      </c>
      <c r="C525" t="s">
        <v>74</v>
      </c>
      <c r="D525" t="s">
        <v>74</v>
      </c>
      <c r="E525" t="s">
        <v>74</v>
      </c>
      <c r="F525" t="s">
        <v>9681</v>
      </c>
      <c r="G525" t="s">
        <v>74</v>
      </c>
      <c r="H525" t="s">
        <v>74</v>
      </c>
      <c r="I525" t="s">
        <v>9682</v>
      </c>
      <c r="J525" t="s">
        <v>4657</v>
      </c>
      <c r="K525" t="s">
        <v>74</v>
      </c>
      <c r="L525" t="s">
        <v>74</v>
      </c>
      <c r="M525" t="s">
        <v>78</v>
      </c>
      <c r="N525" t="s">
        <v>79</v>
      </c>
      <c r="O525" t="s">
        <v>74</v>
      </c>
      <c r="P525" t="s">
        <v>74</v>
      </c>
      <c r="Q525" t="s">
        <v>74</v>
      </c>
      <c r="R525" t="s">
        <v>74</v>
      </c>
      <c r="S525" t="s">
        <v>74</v>
      </c>
      <c r="T525" t="s">
        <v>9683</v>
      </c>
      <c r="U525" t="s">
        <v>9684</v>
      </c>
      <c r="V525" t="s">
        <v>9685</v>
      </c>
      <c r="W525" t="s">
        <v>9686</v>
      </c>
      <c r="X525" t="s">
        <v>9687</v>
      </c>
      <c r="Y525" t="s">
        <v>9688</v>
      </c>
      <c r="Z525" t="s">
        <v>9689</v>
      </c>
      <c r="AA525" t="s">
        <v>9690</v>
      </c>
      <c r="AB525" t="s">
        <v>74</v>
      </c>
      <c r="AC525" t="s">
        <v>9691</v>
      </c>
      <c r="AD525" t="s">
        <v>9691</v>
      </c>
      <c r="AE525" t="s">
        <v>9692</v>
      </c>
      <c r="AF525" t="s">
        <v>74</v>
      </c>
      <c r="AG525">
        <v>27</v>
      </c>
      <c r="AH525">
        <v>3</v>
      </c>
      <c r="AI525">
        <v>4</v>
      </c>
      <c r="AJ525">
        <v>0</v>
      </c>
      <c r="AK525">
        <v>11</v>
      </c>
      <c r="AL525" t="s">
        <v>91</v>
      </c>
      <c r="AM525" t="s">
        <v>374</v>
      </c>
      <c r="AN525" t="s">
        <v>375</v>
      </c>
      <c r="AO525" t="s">
        <v>4665</v>
      </c>
      <c r="AP525" t="s">
        <v>4666</v>
      </c>
      <c r="AQ525" t="s">
        <v>74</v>
      </c>
      <c r="AR525" t="s">
        <v>4667</v>
      </c>
      <c r="AS525" t="s">
        <v>4668</v>
      </c>
      <c r="AT525" t="s">
        <v>8540</v>
      </c>
      <c r="AU525">
        <v>2009</v>
      </c>
      <c r="AV525">
        <v>65</v>
      </c>
      <c r="AW525">
        <v>1</v>
      </c>
      <c r="AX525" t="s">
        <v>74</v>
      </c>
      <c r="AY525" t="s">
        <v>74</v>
      </c>
      <c r="AZ525" t="s">
        <v>74</v>
      </c>
      <c r="BA525" t="s">
        <v>74</v>
      </c>
      <c r="BB525">
        <v>53</v>
      </c>
      <c r="BC525">
        <v>60</v>
      </c>
      <c r="BD525" t="s">
        <v>74</v>
      </c>
      <c r="BE525" t="s">
        <v>9693</v>
      </c>
      <c r="BF525" t="str">
        <f>HYPERLINK("http://dx.doi.org/10.1007/s10872-009-0005-0","http://dx.doi.org/10.1007/s10872-009-0005-0")</f>
        <v>http://dx.doi.org/10.1007/s10872-009-0005-0</v>
      </c>
      <c r="BG525" t="s">
        <v>74</v>
      </c>
      <c r="BH525" t="s">
        <v>74</v>
      </c>
      <c r="BI525">
        <v>8</v>
      </c>
      <c r="BJ525" t="s">
        <v>689</v>
      </c>
      <c r="BK525" t="s">
        <v>100</v>
      </c>
      <c r="BL525" t="s">
        <v>689</v>
      </c>
      <c r="BM525" t="s">
        <v>9694</v>
      </c>
      <c r="BN525" t="s">
        <v>74</v>
      </c>
      <c r="BO525" t="s">
        <v>74</v>
      </c>
      <c r="BP525" t="s">
        <v>74</v>
      </c>
      <c r="BQ525" t="s">
        <v>74</v>
      </c>
      <c r="BR525" t="s">
        <v>103</v>
      </c>
      <c r="BS525" t="s">
        <v>9695</v>
      </c>
      <c r="BT525" t="str">
        <f>HYPERLINK("https%3A%2F%2Fwww.webofscience.com%2Fwos%2Fwoscc%2Ffull-record%2FWOS:000261957900005","View Full Record in Web of Science")</f>
        <v>View Full Record in Web of Science</v>
      </c>
    </row>
    <row r="526" spans="1:72" x14ac:dyDescent="0.15">
      <c r="A526" t="s">
        <v>72</v>
      </c>
      <c r="B526" t="s">
        <v>9696</v>
      </c>
      <c r="C526" t="s">
        <v>74</v>
      </c>
      <c r="D526" t="s">
        <v>74</v>
      </c>
      <c r="E526" t="s">
        <v>74</v>
      </c>
      <c r="F526" t="s">
        <v>9697</v>
      </c>
      <c r="G526" t="s">
        <v>74</v>
      </c>
      <c r="H526" t="s">
        <v>74</v>
      </c>
      <c r="I526" t="s">
        <v>9698</v>
      </c>
      <c r="J526" t="s">
        <v>9699</v>
      </c>
      <c r="K526" t="s">
        <v>74</v>
      </c>
      <c r="L526" t="s">
        <v>74</v>
      </c>
      <c r="M526" t="s">
        <v>78</v>
      </c>
      <c r="N526" t="s">
        <v>79</v>
      </c>
      <c r="O526" t="s">
        <v>74</v>
      </c>
      <c r="P526" t="s">
        <v>74</v>
      </c>
      <c r="Q526" t="s">
        <v>74</v>
      </c>
      <c r="R526" t="s">
        <v>74</v>
      </c>
      <c r="S526" t="s">
        <v>74</v>
      </c>
      <c r="T526" t="s">
        <v>74</v>
      </c>
      <c r="U526" t="s">
        <v>9700</v>
      </c>
      <c r="V526" t="s">
        <v>9701</v>
      </c>
      <c r="W526" t="s">
        <v>9702</v>
      </c>
      <c r="X526" t="s">
        <v>74</v>
      </c>
      <c r="Y526" t="s">
        <v>9703</v>
      </c>
      <c r="Z526" t="s">
        <v>9704</v>
      </c>
      <c r="AA526" t="s">
        <v>74</v>
      </c>
      <c r="AB526" t="s">
        <v>74</v>
      </c>
      <c r="AC526" t="s">
        <v>74</v>
      </c>
      <c r="AD526" t="s">
        <v>74</v>
      </c>
      <c r="AE526" t="s">
        <v>74</v>
      </c>
      <c r="AF526" t="s">
        <v>74</v>
      </c>
      <c r="AG526">
        <v>10</v>
      </c>
      <c r="AH526">
        <v>12</v>
      </c>
      <c r="AI526">
        <v>14</v>
      </c>
      <c r="AJ526">
        <v>0</v>
      </c>
      <c r="AK526">
        <v>12</v>
      </c>
      <c r="AL526" t="s">
        <v>9705</v>
      </c>
      <c r="AM526" t="s">
        <v>9706</v>
      </c>
      <c r="AN526" t="s">
        <v>9707</v>
      </c>
      <c r="AO526" t="s">
        <v>9708</v>
      </c>
      <c r="AP526" t="s">
        <v>9709</v>
      </c>
      <c r="AQ526" t="s">
        <v>74</v>
      </c>
      <c r="AR526" t="s">
        <v>9710</v>
      </c>
      <c r="AS526" t="s">
        <v>9711</v>
      </c>
      <c r="AT526" t="s">
        <v>8540</v>
      </c>
      <c r="AU526">
        <v>2009</v>
      </c>
      <c r="AV526">
        <v>95</v>
      </c>
      <c r="AW526">
        <v>1</v>
      </c>
      <c r="AX526" t="s">
        <v>74</v>
      </c>
      <c r="AY526" t="s">
        <v>74</v>
      </c>
      <c r="AZ526" t="s">
        <v>74</v>
      </c>
      <c r="BA526" t="s">
        <v>74</v>
      </c>
      <c r="BB526">
        <v>156</v>
      </c>
      <c r="BC526">
        <v>159</v>
      </c>
      <c r="BD526" t="s">
        <v>74</v>
      </c>
      <c r="BE526" t="s">
        <v>9712</v>
      </c>
      <c r="BF526" t="str">
        <f>HYPERLINK("http://dx.doi.org/10.1645/GE-1521.1","http://dx.doi.org/10.1645/GE-1521.1")</f>
        <v>http://dx.doi.org/10.1645/GE-1521.1</v>
      </c>
      <c r="BG526" t="s">
        <v>74</v>
      </c>
      <c r="BH526" t="s">
        <v>74</v>
      </c>
      <c r="BI526">
        <v>4</v>
      </c>
      <c r="BJ526" t="s">
        <v>9713</v>
      </c>
      <c r="BK526" t="s">
        <v>100</v>
      </c>
      <c r="BL526" t="s">
        <v>9713</v>
      </c>
      <c r="BM526" t="s">
        <v>9714</v>
      </c>
      <c r="BN526">
        <v>18652523</v>
      </c>
      <c r="BO526" t="s">
        <v>74</v>
      </c>
      <c r="BP526" t="s">
        <v>74</v>
      </c>
      <c r="BQ526" t="s">
        <v>74</v>
      </c>
      <c r="BR526" t="s">
        <v>103</v>
      </c>
      <c r="BS526" t="s">
        <v>9715</v>
      </c>
      <c r="BT526" t="str">
        <f>HYPERLINK("https%3A%2F%2Fwww.webofscience.com%2Fwos%2Fwoscc%2Ffull-record%2FWOS:000263883100025","View Full Record in Web of Science")</f>
        <v>View Full Record in Web of Science</v>
      </c>
    </row>
    <row r="527" spans="1:72" x14ac:dyDescent="0.15">
      <c r="A527" t="s">
        <v>72</v>
      </c>
      <c r="B527" t="s">
        <v>9716</v>
      </c>
      <c r="C527" t="s">
        <v>74</v>
      </c>
      <c r="D527" t="s">
        <v>74</v>
      </c>
      <c r="E527" t="s">
        <v>74</v>
      </c>
      <c r="F527" t="s">
        <v>9717</v>
      </c>
      <c r="G527" t="s">
        <v>74</v>
      </c>
      <c r="H527" t="s">
        <v>74</v>
      </c>
      <c r="I527" t="s">
        <v>9718</v>
      </c>
      <c r="J527" t="s">
        <v>9719</v>
      </c>
      <c r="K527" t="s">
        <v>74</v>
      </c>
      <c r="L527" t="s">
        <v>74</v>
      </c>
      <c r="M527" t="s">
        <v>78</v>
      </c>
      <c r="N527" t="s">
        <v>52</v>
      </c>
      <c r="O527" t="s">
        <v>74</v>
      </c>
      <c r="P527" t="s">
        <v>74</v>
      </c>
      <c r="Q527" t="s">
        <v>74</v>
      </c>
      <c r="R527" t="s">
        <v>74</v>
      </c>
      <c r="S527" t="s">
        <v>74</v>
      </c>
      <c r="T527" t="s">
        <v>74</v>
      </c>
      <c r="U527" t="s">
        <v>74</v>
      </c>
      <c r="V527" t="s">
        <v>74</v>
      </c>
      <c r="W527" t="s">
        <v>9720</v>
      </c>
      <c r="X527" t="s">
        <v>9397</v>
      </c>
      <c r="Y527" t="s">
        <v>74</v>
      </c>
      <c r="Z527" t="s">
        <v>74</v>
      </c>
      <c r="AA527" t="s">
        <v>9399</v>
      </c>
      <c r="AB527" t="s">
        <v>74</v>
      </c>
      <c r="AC527" t="s">
        <v>74</v>
      </c>
      <c r="AD527" t="s">
        <v>74</v>
      </c>
      <c r="AE527" t="s">
        <v>74</v>
      </c>
      <c r="AF527" t="s">
        <v>74</v>
      </c>
      <c r="AG527">
        <v>0</v>
      </c>
      <c r="AH527">
        <v>0</v>
      </c>
      <c r="AI527">
        <v>0</v>
      </c>
      <c r="AJ527">
        <v>0</v>
      </c>
      <c r="AK527">
        <v>0</v>
      </c>
      <c r="AL527" t="s">
        <v>1847</v>
      </c>
      <c r="AM527" t="s">
        <v>1848</v>
      </c>
      <c r="AN527" t="s">
        <v>1849</v>
      </c>
      <c r="AO527" t="s">
        <v>9721</v>
      </c>
      <c r="AP527" t="s">
        <v>74</v>
      </c>
      <c r="AQ527" t="s">
        <v>74</v>
      </c>
      <c r="AR527" t="s">
        <v>9722</v>
      </c>
      <c r="AS527" t="s">
        <v>9723</v>
      </c>
      <c r="AT527" t="s">
        <v>8540</v>
      </c>
      <c r="AU527">
        <v>2009</v>
      </c>
      <c r="AV527">
        <v>45</v>
      </c>
      <c r="AW527" t="s">
        <v>74</v>
      </c>
      <c r="AX527" t="s">
        <v>74</v>
      </c>
      <c r="AY527" t="s">
        <v>74</v>
      </c>
      <c r="AZ527" t="s">
        <v>74</v>
      </c>
      <c r="BA527" t="s">
        <v>74</v>
      </c>
      <c r="BB527">
        <v>13</v>
      </c>
      <c r="BC527">
        <v>13</v>
      </c>
      <c r="BD527" t="s">
        <v>74</v>
      </c>
      <c r="BE527" t="s">
        <v>74</v>
      </c>
      <c r="BF527" t="s">
        <v>74</v>
      </c>
      <c r="BG527" t="s">
        <v>74</v>
      </c>
      <c r="BH527" t="s">
        <v>74</v>
      </c>
      <c r="BI527">
        <v>1</v>
      </c>
      <c r="BJ527" t="s">
        <v>9724</v>
      </c>
      <c r="BK527" t="s">
        <v>100</v>
      </c>
      <c r="BL527" t="s">
        <v>9724</v>
      </c>
      <c r="BM527" t="s">
        <v>9725</v>
      </c>
      <c r="BN527" t="s">
        <v>74</v>
      </c>
      <c r="BO527" t="s">
        <v>74</v>
      </c>
      <c r="BP527" t="s">
        <v>74</v>
      </c>
      <c r="BQ527" t="s">
        <v>74</v>
      </c>
      <c r="BR527" t="s">
        <v>103</v>
      </c>
      <c r="BS527" t="s">
        <v>9726</v>
      </c>
      <c r="BT527" t="str">
        <f>HYPERLINK("https%3A%2F%2Fwww.webofscience.com%2Fwos%2Fwoscc%2Ffull-record%2FWOS:000263910300041","View Full Record in Web of Science")</f>
        <v>View Full Record in Web of Science</v>
      </c>
    </row>
    <row r="528" spans="1:72" x14ac:dyDescent="0.15">
      <c r="A528" t="s">
        <v>72</v>
      </c>
      <c r="B528" t="s">
        <v>9727</v>
      </c>
      <c r="C528" t="s">
        <v>74</v>
      </c>
      <c r="D528" t="s">
        <v>74</v>
      </c>
      <c r="E528" t="s">
        <v>74</v>
      </c>
      <c r="F528" t="s">
        <v>9728</v>
      </c>
      <c r="G528" t="s">
        <v>74</v>
      </c>
      <c r="H528" t="s">
        <v>74</v>
      </c>
      <c r="I528" t="s">
        <v>9729</v>
      </c>
      <c r="J528" t="s">
        <v>9719</v>
      </c>
      <c r="K528" t="s">
        <v>74</v>
      </c>
      <c r="L528" t="s">
        <v>74</v>
      </c>
      <c r="M528" t="s">
        <v>78</v>
      </c>
      <c r="N528" t="s">
        <v>52</v>
      </c>
      <c r="O528" t="s">
        <v>74</v>
      </c>
      <c r="P528" t="s">
        <v>74</v>
      </c>
      <c r="Q528" t="s">
        <v>74</v>
      </c>
      <c r="R528" t="s">
        <v>74</v>
      </c>
      <c r="S528" t="s">
        <v>74</v>
      </c>
      <c r="T528" t="s">
        <v>74</v>
      </c>
      <c r="U528" t="s">
        <v>74</v>
      </c>
      <c r="V528" t="s">
        <v>74</v>
      </c>
      <c r="W528" t="s">
        <v>9730</v>
      </c>
      <c r="X528" t="s">
        <v>9397</v>
      </c>
      <c r="Y528" t="s">
        <v>74</v>
      </c>
      <c r="Z528" t="s">
        <v>74</v>
      </c>
      <c r="AA528" t="s">
        <v>9399</v>
      </c>
      <c r="AB528" t="s">
        <v>74</v>
      </c>
      <c r="AC528" t="s">
        <v>74</v>
      </c>
      <c r="AD528" t="s">
        <v>74</v>
      </c>
      <c r="AE528" t="s">
        <v>74</v>
      </c>
      <c r="AF528" t="s">
        <v>74</v>
      </c>
      <c r="AG528">
        <v>0</v>
      </c>
      <c r="AH528">
        <v>0</v>
      </c>
      <c r="AI528">
        <v>0</v>
      </c>
      <c r="AJ528">
        <v>0</v>
      </c>
      <c r="AK528">
        <v>3</v>
      </c>
      <c r="AL528" t="s">
        <v>1847</v>
      </c>
      <c r="AM528" t="s">
        <v>1848</v>
      </c>
      <c r="AN528" t="s">
        <v>1849</v>
      </c>
      <c r="AO528" t="s">
        <v>9721</v>
      </c>
      <c r="AP528" t="s">
        <v>74</v>
      </c>
      <c r="AQ528" t="s">
        <v>74</v>
      </c>
      <c r="AR528" t="s">
        <v>9722</v>
      </c>
      <c r="AS528" t="s">
        <v>9723</v>
      </c>
      <c r="AT528" t="s">
        <v>8540</v>
      </c>
      <c r="AU528">
        <v>2009</v>
      </c>
      <c r="AV528">
        <v>45</v>
      </c>
      <c r="AW528" t="s">
        <v>74</v>
      </c>
      <c r="AX528" t="s">
        <v>74</v>
      </c>
      <c r="AY528" t="s">
        <v>74</v>
      </c>
      <c r="AZ528" t="s">
        <v>74</v>
      </c>
      <c r="BA528" t="s">
        <v>74</v>
      </c>
      <c r="BB528">
        <v>13</v>
      </c>
      <c r="BC528">
        <v>14</v>
      </c>
      <c r="BD528" t="s">
        <v>74</v>
      </c>
      <c r="BE528" t="s">
        <v>74</v>
      </c>
      <c r="BF528" t="s">
        <v>74</v>
      </c>
      <c r="BG528" t="s">
        <v>74</v>
      </c>
      <c r="BH528" t="s">
        <v>74</v>
      </c>
      <c r="BI528">
        <v>2</v>
      </c>
      <c r="BJ528" t="s">
        <v>9724</v>
      </c>
      <c r="BK528" t="s">
        <v>100</v>
      </c>
      <c r="BL528" t="s">
        <v>9724</v>
      </c>
      <c r="BM528" t="s">
        <v>9725</v>
      </c>
      <c r="BN528" t="s">
        <v>74</v>
      </c>
      <c r="BO528" t="s">
        <v>74</v>
      </c>
      <c r="BP528" t="s">
        <v>74</v>
      </c>
      <c r="BQ528" t="s">
        <v>74</v>
      </c>
      <c r="BR528" t="s">
        <v>103</v>
      </c>
      <c r="BS528" t="s">
        <v>9731</v>
      </c>
      <c r="BT528" t="str">
        <f>HYPERLINK("https%3A%2F%2Fwww.webofscience.com%2Fwos%2Fwoscc%2Ffull-record%2FWOS:000263910300042","View Full Record in Web of Science")</f>
        <v>View Full Record in Web of Science</v>
      </c>
    </row>
    <row r="529" spans="1:72" x14ac:dyDescent="0.15">
      <c r="A529" t="s">
        <v>72</v>
      </c>
      <c r="B529" t="s">
        <v>9732</v>
      </c>
      <c r="C529" t="s">
        <v>74</v>
      </c>
      <c r="D529" t="s">
        <v>74</v>
      </c>
      <c r="E529" t="s">
        <v>74</v>
      </c>
      <c r="F529" t="s">
        <v>9733</v>
      </c>
      <c r="G529" t="s">
        <v>74</v>
      </c>
      <c r="H529" t="s">
        <v>74</v>
      </c>
      <c r="I529" t="s">
        <v>9734</v>
      </c>
      <c r="J529" t="s">
        <v>9719</v>
      </c>
      <c r="K529" t="s">
        <v>74</v>
      </c>
      <c r="L529" t="s">
        <v>74</v>
      </c>
      <c r="M529" t="s">
        <v>78</v>
      </c>
      <c r="N529" t="s">
        <v>52</v>
      </c>
      <c r="O529" t="s">
        <v>74</v>
      </c>
      <c r="P529" t="s">
        <v>74</v>
      </c>
      <c r="Q529" t="s">
        <v>74</v>
      </c>
      <c r="R529" t="s">
        <v>74</v>
      </c>
      <c r="S529" t="s">
        <v>74</v>
      </c>
      <c r="T529" t="s">
        <v>74</v>
      </c>
      <c r="U529" t="s">
        <v>74</v>
      </c>
      <c r="V529" t="s">
        <v>74</v>
      </c>
      <c r="W529" t="s">
        <v>9735</v>
      </c>
      <c r="X529" t="s">
        <v>9397</v>
      </c>
      <c r="Y529" t="s">
        <v>74</v>
      </c>
      <c r="Z529" t="s">
        <v>74</v>
      </c>
      <c r="AA529" t="s">
        <v>9399</v>
      </c>
      <c r="AB529" t="s">
        <v>74</v>
      </c>
      <c r="AC529" t="s">
        <v>74</v>
      </c>
      <c r="AD529" t="s">
        <v>74</v>
      </c>
      <c r="AE529" t="s">
        <v>74</v>
      </c>
      <c r="AF529" t="s">
        <v>74</v>
      </c>
      <c r="AG529">
        <v>0</v>
      </c>
      <c r="AH529">
        <v>0</v>
      </c>
      <c r="AI529">
        <v>0</v>
      </c>
      <c r="AJ529">
        <v>0</v>
      </c>
      <c r="AK529">
        <v>1</v>
      </c>
      <c r="AL529" t="s">
        <v>1847</v>
      </c>
      <c r="AM529" t="s">
        <v>1848</v>
      </c>
      <c r="AN529" t="s">
        <v>1849</v>
      </c>
      <c r="AO529" t="s">
        <v>9721</v>
      </c>
      <c r="AP529" t="s">
        <v>74</v>
      </c>
      <c r="AQ529" t="s">
        <v>74</v>
      </c>
      <c r="AR529" t="s">
        <v>9722</v>
      </c>
      <c r="AS529" t="s">
        <v>9723</v>
      </c>
      <c r="AT529" t="s">
        <v>8540</v>
      </c>
      <c r="AU529">
        <v>2009</v>
      </c>
      <c r="AV529">
        <v>45</v>
      </c>
      <c r="AW529" t="s">
        <v>74</v>
      </c>
      <c r="AX529" t="s">
        <v>74</v>
      </c>
      <c r="AY529" t="s">
        <v>74</v>
      </c>
      <c r="AZ529" t="s">
        <v>74</v>
      </c>
      <c r="BA529" t="s">
        <v>74</v>
      </c>
      <c r="BB529">
        <v>21</v>
      </c>
      <c r="BC529">
        <v>21</v>
      </c>
      <c r="BD529" t="s">
        <v>74</v>
      </c>
      <c r="BE529" t="s">
        <v>74</v>
      </c>
      <c r="BF529" t="s">
        <v>74</v>
      </c>
      <c r="BG529" t="s">
        <v>74</v>
      </c>
      <c r="BH529" t="s">
        <v>74</v>
      </c>
      <c r="BI529">
        <v>1</v>
      </c>
      <c r="BJ529" t="s">
        <v>9724</v>
      </c>
      <c r="BK529" t="s">
        <v>100</v>
      </c>
      <c r="BL529" t="s">
        <v>9724</v>
      </c>
      <c r="BM529" t="s">
        <v>9725</v>
      </c>
      <c r="BN529" t="s">
        <v>74</v>
      </c>
      <c r="BO529" t="s">
        <v>74</v>
      </c>
      <c r="BP529" t="s">
        <v>74</v>
      </c>
      <c r="BQ529" t="s">
        <v>74</v>
      </c>
      <c r="BR529" t="s">
        <v>103</v>
      </c>
      <c r="BS529" t="s">
        <v>9736</v>
      </c>
      <c r="BT529" t="str">
        <f>HYPERLINK("https%3A%2F%2Fwww.webofscience.com%2Fwos%2Fwoscc%2Ffull-record%2FWOS:000263910300067","View Full Record in Web of Science")</f>
        <v>View Full Record in Web of Science</v>
      </c>
    </row>
    <row r="530" spans="1:72" x14ac:dyDescent="0.15">
      <c r="A530" t="s">
        <v>72</v>
      </c>
      <c r="B530" t="s">
        <v>9737</v>
      </c>
      <c r="C530" t="s">
        <v>74</v>
      </c>
      <c r="D530" t="s">
        <v>74</v>
      </c>
      <c r="E530" t="s">
        <v>74</v>
      </c>
      <c r="F530" t="s">
        <v>9738</v>
      </c>
      <c r="G530" t="s">
        <v>74</v>
      </c>
      <c r="H530" t="s">
        <v>74</v>
      </c>
      <c r="I530" t="s">
        <v>9739</v>
      </c>
      <c r="J530" t="s">
        <v>9719</v>
      </c>
      <c r="K530" t="s">
        <v>74</v>
      </c>
      <c r="L530" t="s">
        <v>74</v>
      </c>
      <c r="M530" t="s">
        <v>78</v>
      </c>
      <c r="N530" t="s">
        <v>79</v>
      </c>
      <c r="O530" t="s">
        <v>74</v>
      </c>
      <c r="P530" t="s">
        <v>74</v>
      </c>
      <c r="Q530" t="s">
        <v>74</v>
      </c>
      <c r="R530" t="s">
        <v>74</v>
      </c>
      <c r="S530" t="s">
        <v>74</v>
      </c>
      <c r="T530" t="s">
        <v>9740</v>
      </c>
      <c r="U530" t="s">
        <v>9741</v>
      </c>
      <c r="V530" t="s">
        <v>9742</v>
      </c>
      <c r="W530" t="s">
        <v>9743</v>
      </c>
      <c r="X530" t="s">
        <v>9744</v>
      </c>
      <c r="Y530" t="s">
        <v>9745</v>
      </c>
      <c r="Z530" t="s">
        <v>9746</v>
      </c>
      <c r="AA530" t="s">
        <v>9747</v>
      </c>
      <c r="AB530" t="s">
        <v>9748</v>
      </c>
      <c r="AC530" t="s">
        <v>9749</v>
      </c>
      <c r="AD530" t="s">
        <v>9750</v>
      </c>
      <c r="AE530" t="s">
        <v>9751</v>
      </c>
      <c r="AF530" t="s">
        <v>74</v>
      </c>
      <c r="AG530">
        <v>16</v>
      </c>
      <c r="AH530">
        <v>69</v>
      </c>
      <c r="AI530">
        <v>82</v>
      </c>
      <c r="AJ530">
        <v>1</v>
      </c>
      <c r="AK530">
        <v>39</v>
      </c>
      <c r="AL530" t="s">
        <v>1847</v>
      </c>
      <c r="AM530" t="s">
        <v>1848</v>
      </c>
      <c r="AN530" t="s">
        <v>1849</v>
      </c>
      <c r="AO530" t="s">
        <v>9721</v>
      </c>
      <c r="AP530" t="s">
        <v>74</v>
      </c>
      <c r="AQ530" t="s">
        <v>74</v>
      </c>
      <c r="AR530" t="s">
        <v>9722</v>
      </c>
      <c r="AS530" t="s">
        <v>9723</v>
      </c>
      <c r="AT530" t="s">
        <v>8540</v>
      </c>
      <c r="AU530">
        <v>2009</v>
      </c>
      <c r="AV530">
        <v>45</v>
      </c>
      <c r="AW530">
        <v>1</v>
      </c>
      <c r="AX530" t="s">
        <v>74</v>
      </c>
      <c r="AY530" t="s">
        <v>74</v>
      </c>
      <c r="AZ530" t="s">
        <v>74</v>
      </c>
      <c r="BA530" t="s">
        <v>74</v>
      </c>
      <c r="BB530">
        <v>130</v>
      </c>
      <c r="BC530">
        <v>136</v>
      </c>
      <c r="BD530" t="s">
        <v>74</v>
      </c>
      <c r="BE530" t="s">
        <v>9752</v>
      </c>
      <c r="BF530" t="str">
        <f>HYPERLINK("http://dx.doi.org/10.1111/j.1529-8817.2008.00623.x","http://dx.doi.org/10.1111/j.1529-8817.2008.00623.x")</f>
        <v>http://dx.doi.org/10.1111/j.1529-8817.2008.00623.x</v>
      </c>
      <c r="BG530" t="s">
        <v>74</v>
      </c>
      <c r="BH530" t="s">
        <v>74</v>
      </c>
      <c r="BI530">
        <v>7</v>
      </c>
      <c r="BJ530" t="s">
        <v>9724</v>
      </c>
      <c r="BK530" t="s">
        <v>100</v>
      </c>
      <c r="BL530" t="s">
        <v>9724</v>
      </c>
      <c r="BM530" t="s">
        <v>9753</v>
      </c>
      <c r="BN530">
        <v>27033652</v>
      </c>
      <c r="BO530" t="s">
        <v>74</v>
      </c>
      <c r="BP530" t="s">
        <v>74</v>
      </c>
      <c r="BQ530" t="s">
        <v>74</v>
      </c>
      <c r="BR530" t="s">
        <v>103</v>
      </c>
      <c r="BS530" t="s">
        <v>9754</v>
      </c>
      <c r="BT530" t="str">
        <f>HYPERLINK("https%3A%2F%2Fwww.webofscience.com%2Fwos%2Fwoscc%2Ffull-record%2FWOS:000263333500013","View Full Record in Web of Science")</f>
        <v>View Full Record in Web of Science</v>
      </c>
    </row>
    <row r="531" spans="1:72" x14ac:dyDescent="0.15">
      <c r="A531" t="s">
        <v>72</v>
      </c>
      <c r="B531" t="s">
        <v>9755</v>
      </c>
      <c r="C531" t="s">
        <v>74</v>
      </c>
      <c r="D531" t="s">
        <v>74</v>
      </c>
      <c r="E531" t="s">
        <v>74</v>
      </c>
      <c r="F531" t="s">
        <v>9756</v>
      </c>
      <c r="G531" t="s">
        <v>74</v>
      </c>
      <c r="H531" t="s">
        <v>74</v>
      </c>
      <c r="I531" t="s">
        <v>9757</v>
      </c>
      <c r="J531" t="s">
        <v>9758</v>
      </c>
      <c r="K531" t="s">
        <v>74</v>
      </c>
      <c r="L531" t="s">
        <v>74</v>
      </c>
      <c r="M531" t="s">
        <v>78</v>
      </c>
      <c r="N531" t="s">
        <v>79</v>
      </c>
      <c r="O531" t="s">
        <v>74</v>
      </c>
      <c r="P531" t="s">
        <v>74</v>
      </c>
      <c r="Q531" t="s">
        <v>74</v>
      </c>
      <c r="R531" t="s">
        <v>74</v>
      </c>
      <c r="S531" t="s">
        <v>74</v>
      </c>
      <c r="T531" t="s">
        <v>9759</v>
      </c>
      <c r="U531" t="s">
        <v>9760</v>
      </c>
      <c r="V531" t="s">
        <v>9761</v>
      </c>
      <c r="W531" t="s">
        <v>9762</v>
      </c>
      <c r="X531" t="s">
        <v>9763</v>
      </c>
      <c r="Y531" t="s">
        <v>9764</v>
      </c>
      <c r="Z531" t="s">
        <v>9765</v>
      </c>
      <c r="AA531" t="s">
        <v>9766</v>
      </c>
      <c r="AB531" t="s">
        <v>9767</v>
      </c>
      <c r="AC531" t="s">
        <v>9768</v>
      </c>
      <c r="AD531" t="s">
        <v>9769</v>
      </c>
      <c r="AE531" t="s">
        <v>9770</v>
      </c>
      <c r="AF531" t="s">
        <v>74</v>
      </c>
      <c r="AG531">
        <v>80</v>
      </c>
      <c r="AH531">
        <v>25</v>
      </c>
      <c r="AI531">
        <v>25</v>
      </c>
      <c r="AJ531">
        <v>0</v>
      </c>
      <c r="AK531">
        <v>11</v>
      </c>
      <c r="AL531" t="s">
        <v>489</v>
      </c>
      <c r="AM531" t="s">
        <v>490</v>
      </c>
      <c r="AN531" t="s">
        <v>491</v>
      </c>
      <c r="AO531" t="s">
        <v>9771</v>
      </c>
      <c r="AP531" t="s">
        <v>9772</v>
      </c>
      <c r="AQ531" t="s">
        <v>74</v>
      </c>
      <c r="AR531" t="s">
        <v>9773</v>
      </c>
      <c r="AS531" t="s">
        <v>9774</v>
      </c>
      <c r="AT531" t="s">
        <v>8540</v>
      </c>
      <c r="AU531">
        <v>2009</v>
      </c>
      <c r="AV531">
        <v>24</v>
      </c>
      <c r="AW531">
        <v>2</v>
      </c>
      <c r="AX531" t="s">
        <v>74</v>
      </c>
      <c r="AY531" t="s">
        <v>74</v>
      </c>
      <c r="AZ531" t="s">
        <v>74</v>
      </c>
      <c r="BA531" t="s">
        <v>74</v>
      </c>
      <c r="BB531">
        <v>117</v>
      </c>
      <c r="BC531">
        <v>138</v>
      </c>
      <c r="BD531" t="s">
        <v>74</v>
      </c>
      <c r="BE531" t="s">
        <v>9775</v>
      </c>
      <c r="BF531" t="str">
        <f>HYPERLINK("http://dx.doi.org/10.1002/jqs.1218","http://dx.doi.org/10.1002/jqs.1218")</f>
        <v>http://dx.doi.org/10.1002/jqs.1218</v>
      </c>
      <c r="BG531" t="s">
        <v>74</v>
      </c>
      <c r="BH531" t="s">
        <v>74</v>
      </c>
      <c r="BI531">
        <v>22</v>
      </c>
      <c r="BJ531" t="s">
        <v>312</v>
      </c>
      <c r="BK531" t="s">
        <v>100</v>
      </c>
      <c r="BL531" t="s">
        <v>313</v>
      </c>
      <c r="BM531" t="s">
        <v>9776</v>
      </c>
      <c r="BN531" t="s">
        <v>74</v>
      </c>
      <c r="BO531" t="s">
        <v>74</v>
      </c>
      <c r="BP531" t="s">
        <v>74</v>
      </c>
      <c r="BQ531" t="s">
        <v>74</v>
      </c>
      <c r="BR531" t="s">
        <v>103</v>
      </c>
      <c r="BS531" t="s">
        <v>9777</v>
      </c>
      <c r="BT531" t="str">
        <f>HYPERLINK("https%3A%2F%2Fwww.webofscience.com%2Fwos%2Fwoscc%2Ffull-record%2FWOS:000263564700002","View Full Record in Web of Science")</f>
        <v>View Full Record in Web of Science</v>
      </c>
    </row>
    <row r="532" spans="1:72" x14ac:dyDescent="0.15">
      <c r="A532" t="s">
        <v>72</v>
      </c>
      <c r="B532" t="s">
        <v>9778</v>
      </c>
      <c r="C532" t="s">
        <v>74</v>
      </c>
      <c r="D532" t="s">
        <v>74</v>
      </c>
      <c r="E532" t="s">
        <v>74</v>
      </c>
      <c r="F532" t="s">
        <v>9779</v>
      </c>
      <c r="G532" t="s">
        <v>74</v>
      </c>
      <c r="H532" t="s">
        <v>74</v>
      </c>
      <c r="I532" t="s">
        <v>9780</v>
      </c>
      <c r="J532" t="s">
        <v>4741</v>
      </c>
      <c r="K532" t="s">
        <v>74</v>
      </c>
      <c r="L532" t="s">
        <v>74</v>
      </c>
      <c r="M532" t="s">
        <v>78</v>
      </c>
      <c r="N532" t="s">
        <v>79</v>
      </c>
      <c r="O532" t="s">
        <v>74</v>
      </c>
      <c r="P532" t="s">
        <v>74</v>
      </c>
      <c r="Q532" t="s">
        <v>74</v>
      </c>
      <c r="R532" t="s">
        <v>74</v>
      </c>
      <c r="S532" t="s">
        <v>74</v>
      </c>
      <c r="T532" t="s">
        <v>9781</v>
      </c>
      <c r="U532" t="s">
        <v>9782</v>
      </c>
      <c r="V532" t="s">
        <v>9783</v>
      </c>
      <c r="W532" t="s">
        <v>9784</v>
      </c>
      <c r="X532" t="s">
        <v>9785</v>
      </c>
      <c r="Y532" t="s">
        <v>9786</v>
      </c>
      <c r="Z532" t="s">
        <v>9787</v>
      </c>
      <c r="AA532" t="s">
        <v>74</v>
      </c>
      <c r="AB532" t="s">
        <v>74</v>
      </c>
      <c r="AC532" t="s">
        <v>9788</v>
      </c>
      <c r="AD532" t="s">
        <v>9789</v>
      </c>
      <c r="AE532" t="s">
        <v>9790</v>
      </c>
      <c r="AF532" t="s">
        <v>74</v>
      </c>
      <c r="AG532">
        <v>38</v>
      </c>
      <c r="AH532">
        <v>0</v>
      </c>
      <c r="AI532">
        <v>0</v>
      </c>
      <c r="AJ532">
        <v>0</v>
      </c>
      <c r="AK532">
        <v>1</v>
      </c>
      <c r="AL532" t="s">
        <v>4749</v>
      </c>
      <c r="AM532" t="s">
        <v>4750</v>
      </c>
      <c r="AN532" t="s">
        <v>9791</v>
      </c>
      <c r="AO532" t="s">
        <v>4752</v>
      </c>
      <c r="AP532" t="s">
        <v>74</v>
      </c>
      <c r="AQ532" t="s">
        <v>74</v>
      </c>
      <c r="AR532" t="s">
        <v>4754</v>
      </c>
      <c r="AS532" t="s">
        <v>4755</v>
      </c>
      <c r="AT532" t="s">
        <v>8540</v>
      </c>
      <c r="AU532">
        <v>2009</v>
      </c>
      <c r="AV532">
        <v>73</v>
      </c>
      <c r="AW532">
        <v>2</v>
      </c>
      <c r="AX532" t="s">
        <v>74</v>
      </c>
      <c r="AY532" t="s">
        <v>74</v>
      </c>
      <c r="AZ532" t="s">
        <v>74</v>
      </c>
      <c r="BA532" t="s">
        <v>74</v>
      </c>
      <c r="BB532">
        <v>165</v>
      </c>
      <c r="BC532">
        <v>177</v>
      </c>
      <c r="BD532" t="s">
        <v>74</v>
      </c>
      <c r="BE532" t="s">
        <v>9792</v>
      </c>
      <c r="BF532" t="str">
        <f>HYPERLINK("http://dx.doi.org/10.1007/s12594-009-0073-1","http://dx.doi.org/10.1007/s12594-009-0073-1")</f>
        <v>http://dx.doi.org/10.1007/s12594-009-0073-1</v>
      </c>
      <c r="BG532" t="s">
        <v>74</v>
      </c>
      <c r="BH532" t="s">
        <v>74</v>
      </c>
      <c r="BI532">
        <v>13</v>
      </c>
      <c r="BJ532" t="s">
        <v>496</v>
      </c>
      <c r="BK532" t="s">
        <v>100</v>
      </c>
      <c r="BL532" t="s">
        <v>497</v>
      </c>
      <c r="BM532" t="s">
        <v>9793</v>
      </c>
      <c r="BN532" t="s">
        <v>74</v>
      </c>
      <c r="BO532" t="s">
        <v>74</v>
      </c>
      <c r="BP532" t="s">
        <v>74</v>
      </c>
      <c r="BQ532" t="s">
        <v>74</v>
      </c>
      <c r="BR532" t="s">
        <v>103</v>
      </c>
      <c r="BS532" t="s">
        <v>9794</v>
      </c>
      <c r="BT532" t="str">
        <f>HYPERLINK("https%3A%2F%2Fwww.webofscience.com%2Fwos%2Fwoscc%2Ffull-record%2FWOS:000265862000002","View Full Record in Web of Science")</f>
        <v>View Full Record in Web of Science</v>
      </c>
    </row>
    <row r="533" spans="1:72" x14ac:dyDescent="0.15">
      <c r="A533" t="s">
        <v>72</v>
      </c>
      <c r="B533" t="s">
        <v>9795</v>
      </c>
      <c r="C533" t="s">
        <v>74</v>
      </c>
      <c r="D533" t="s">
        <v>74</v>
      </c>
      <c r="E533" t="s">
        <v>74</v>
      </c>
      <c r="F533" t="s">
        <v>9796</v>
      </c>
      <c r="G533" t="s">
        <v>74</v>
      </c>
      <c r="H533" t="s">
        <v>74</v>
      </c>
      <c r="I533" t="s">
        <v>9797</v>
      </c>
      <c r="J533" t="s">
        <v>4762</v>
      </c>
      <c r="K533" t="s">
        <v>74</v>
      </c>
      <c r="L533" t="s">
        <v>74</v>
      </c>
      <c r="M533" t="s">
        <v>4763</v>
      </c>
      <c r="N533" t="s">
        <v>79</v>
      </c>
      <c r="O533" t="s">
        <v>74</v>
      </c>
      <c r="P533" t="s">
        <v>74</v>
      </c>
      <c r="Q533" t="s">
        <v>74</v>
      </c>
      <c r="R533" t="s">
        <v>74</v>
      </c>
      <c r="S533" t="s">
        <v>74</v>
      </c>
      <c r="T533" t="s">
        <v>9798</v>
      </c>
      <c r="U533" t="s">
        <v>74</v>
      </c>
      <c r="V533" t="s">
        <v>9799</v>
      </c>
      <c r="W533" t="s">
        <v>9800</v>
      </c>
      <c r="X533" t="s">
        <v>9801</v>
      </c>
      <c r="Y533" t="s">
        <v>9802</v>
      </c>
      <c r="Z533" t="s">
        <v>9803</v>
      </c>
      <c r="AA533" t="s">
        <v>74</v>
      </c>
      <c r="AB533" t="s">
        <v>74</v>
      </c>
      <c r="AC533" t="s">
        <v>74</v>
      </c>
      <c r="AD533" t="s">
        <v>74</v>
      </c>
      <c r="AE533" t="s">
        <v>74</v>
      </c>
      <c r="AF533" t="s">
        <v>74</v>
      </c>
      <c r="AG533">
        <v>49</v>
      </c>
      <c r="AH533">
        <v>0</v>
      </c>
      <c r="AI533">
        <v>0</v>
      </c>
      <c r="AJ533">
        <v>0</v>
      </c>
      <c r="AK533">
        <v>1</v>
      </c>
      <c r="AL533" t="s">
        <v>4771</v>
      </c>
      <c r="AM533" t="s">
        <v>4772</v>
      </c>
      <c r="AN533" t="s">
        <v>4773</v>
      </c>
      <c r="AO533" t="s">
        <v>4774</v>
      </c>
      <c r="AP533" t="s">
        <v>4775</v>
      </c>
      <c r="AQ533" t="s">
        <v>74</v>
      </c>
      <c r="AR533" t="s">
        <v>4776</v>
      </c>
      <c r="AS533" t="s">
        <v>4777</v>
      </c>
      <c r="AT533" t="s">
        <v>8540</v>
      </c>
      <c r="AU533">
        <v>2009</v>
      </c>
      <c r="AV533">
        <v>45</v>
      </c>
      <c r="AW533">
        <v>1</v>
      </c>
      <c r="AX533" t="s">
        <v>74</v>
      </c>
      <c r="AY533" t="s">
        <v>74</v>
      </c>
      <c r="AZ533" t="s">
        <v>74</v>
      </c>
      <c r="BA533" t="s">
        <v>74</v>
      </c>
      <c r="BB533">
        <v>1</v>
      </c>
      <c r="BC533">
        <v>8</v>
      </c>
      <c r="BD533" t="s">
        <v>74</v>
      </c>
      <c r="BE533" t="s">
        <v>74</v>
      </c>
      <c r="BF533" t="s">
        <v>74</v>
      </c>
      <c r="BG533" t="s">
        <v>74</v>
      </c>
      <c r="BH533" t="s">
        <v>74</v>
      </c>
      <c r="BI533">
        <v>8</v>
      </c>
      <c r="BJ533" t="s">
        <v>496</v>
      </c>
      <c r="BK533" t="s">
        <v>2781</v>
      </c>
      <c r="BL533" t="s">
        <v>497</v>
      </c>
      <c r="BM533" t="s">
        <v>9804</v>
      </c>
      <c r="BN533" t="s">
        <v>74</v>
      </c>
      <c r="BO533" t="s">
        <v>74</v>
      </c>
      <c r="BP533" t="s">
        <v>74</v>
      </c>
      <c r="BQ533" t="s">
        <v>74</v>
      </c>
      <c r="BR533" t="s">
        <v>103</v>
      </c>
      <c r="BS533" t="s">
        <v>9805</v>
      </c>
      <c r="BT533" t="str">
        <f>HYPERLINK("https%3A%2F%2Fwww.webofscience.com%2Fwos%2Fwoscc%2Ffull-record%2FWOS:000453976100001","View Full Record in Web of Science")</f>
        <v>View Full Record in Web of Science</v>
      </c>
    </row>
    <row r="534" spans="1:72" x14ac:dyDescent="0.15">
      <c r="A534" t="s">
        <v>72</v>
      </c>
      <c r="B534" t="s">
        <v>9806</v>
      </c>
      <c r="C534" t="s">
        <v>74</v>
      </c>
      <c r="D534" t="s">
        <v>74</v>
      </c>
      <c r="E534" t="s">
        <v>74</v>
      </c>
      <c r="F534" t="s">
        <v>9807</v>
      </c>
      <c r="G534" t="s">
        <v>74</v>
      </c>
      <c r="H534" t="s">
        <v>74</v>
      </c>
      <c r="I534" t="s">
        <v>9808</v>
      </c>
      <c r="J534" t="s">
        <v>2154</v>
      </c>
      <c r="K534" t="s">
        <v>74</v>
      </c>
      <c r="L534" t="s">
        <v>74</v>
      </c>
      <c r="M534" t="s">
        <v>78</v>
      </c>
      <c r="N534" t="s">
        <v>79</v>
      </c>
      <c r="O534" t="s">
        <v>74</v>
      </c>
      <c r="P534" t="s">
        <v>74</v>
      </c>
      <c r="Q534" t="s">
        <v>74</v>
      </c>
      <c r="R534" t="s">
        <v>74</v>
      </c>
      <c r="S534" t="s">
        <v>74</v>
      </c>
      <c r="T534" t="s">
        <v>74</v>
      </c>
      <c r="U534" t="s">
        <v>9809</v>
      </c>
      <c r="V534" t="s">
        <v>9810</v>
      </c>
      <c r="W534" t="s">
        <v>9811</v>
      </c>
      <c r="X534" t="s">
        <v>9812</v>
      </c>
      <c r="Y534" t="s">
        <v>9813</v>
      </c>
      <c r="Z534" t="s">
        <v>9814</v>
      </c>
      <c r="AA534" t="s">
        <v>9815</v>
      </c>
      <c r="AB534" t="s">
        <v>9816</v>
      </c>
      <c r="AC534" t="s">
        <v>9817</v>
      </c>
      <c r="AD534" t="s">
        <v>9818</v>
      </c>
      <c r="AE534" t="s">
        <v>9819</v>
      </c>
      <c r="AF534" t="s">
        <v>74</v>
      </c>
      <c r="AG534">
        <v>60</v>
      </c>
      <c r="AH534">
        <v>111</v>
      </c>
      <c r="AI534">
        <v>118</v>
      </c>
      <c r="AJ534">
        <v>0</v>
      </c>
      <c r="AK534">
        <v>52</v>
      </c>
      <c r="AL534" t="s">
        <v>1947</v>
      </c>
      <c r="AM534" t="s">
        <v>1948</v>
      </c>
      <c r="AN534" t="s">
        <v>1949</v>
      </c>
      <c r="AO534" t="s">
        <v>2165</v>
      </c>
      <c r="AP534" t="s">
        <v>2166</v>
      </c>
      <c r="AQ534" t="s">
        <v>74</v>
      </c>
      <c r="AR534" t="s">
        <v>2167</v>
      </c>
      <c r="AS534" t="s">
        <v>2168</v>
      </c>
      <c r="AT534" t="s">
        <v>8540</v>
      </c>
      <c r="AU534">
        <v>2009</v>
      </c>
      <c r="AV534">
        <v>156</v>
      </c>
      <c r="AW534">
        <v>3</v>
      </c>
      <c r="AX534" t="s">
        <v>74</v>
      </c>
      <c r="AY534" t="s">
        <v>74</v>
      </c>
      <c r="AZ534" t="s">
        <v>74</v>
      </c>
      <c r="BA534" t="s">
        <v>74</v>
      </c>
      <c r="BB534">
        <v>225</v>
      </c>
      <c r="BC534">
        <v>237</v>
      </c>
      <c r="BD534" t="s">
        <v>74</v>
      </c>
      <c r="BE534" t="s">
        <v>9820</v>
      </c>
      <c r="BF534" t="str">
        <f>HYPERLINK("http://dx.doi.org/10.1007/s00227-008-1073-1","http://dx.doi.org/10.1007/s00227-008-1073-1")</f>
        <v>http://dx.doi.org/10.1007/s00227-008-1073-1</v>
      </c>
      <c r="BG534" t="s">
        <v>74</v>
      </c>
      <c r="BH534" t="s">
        <v>74</v>
      </c>
      <c r="BI534">
        <v>13</v>
      </c>
      <c r="BJ534" t="s">
        <v>448</v>
      </c>
      <c r="BK534" t="s">
        <v>100</v>
      </c>
      <c r="BL534" t="s">
        <v>448</v>
      </c>
      <c r="BM534" t="s">
        <v>9821</v>
      </c>
      <c r="BN534" t="s">
        <v>74</v>
      </c>
      <c r="BO534" t="s">
        <v>74</v>
      </c>
      <c r="BP534" t="s">
        <v>74</v>
      </c>
      <c r="BQ534" t="s">
        <v>74</v>
      </c>
      <c r="BR534" t="s">
        <v>103</v>
      </c>
      <c r="BS534" t="s">
        <v>9822</v>
      </c>
      <c r="BT534" t="str">
        <f>HYPERLINK("https%3A%2F%2Fwww.webofscience.com%2Fwos%2Fwoscc%2Ffull-record%2FWOS:000262578800001","View Full Record in Web of Science")</f>
        <v>View Full Record in Web of Science</v>
      </c>
    </row>
    <row r="535" spans="1:72" x14ac:dyDescent="0.15">
      <c r="A535" t="s">
        <v>72</v>
      </c>
      <c r="B535" t="s">
        <v>9823</v>
      </c>
      <c r="C535" t="s">
        <v>74</v>
      </c>
      <c r="D535" t="s">
        <v>74</v>
      </c>
      <c r="E535" t="s">
        <v>74</v>
      </c>
      <c r="F535" t="s">
        <v>9824</v>
      </c>
      <c r="G535" t="s">
        <v>74</v>
      </c>
      <c r="H535" t="s">
        <v>74</v>
      </c>
      <c r="I535" t="s">
        <v>9825</v>
      </c>
      <c r="J535" t="s">
        <v>2154</v>
      </c>
      <c r="K535" t="s">
        <v>74</v>
      </c>
      <c r="L535" t="s">
        <v>74</v>
      </c>
      <c r="M535" t="s">
        <v>78</v>
      </c>
      <c r="N535" t="s">
        <v>79</v>
      </c>
      <c r="O535" t="s">
        <v>74</v>
      </c>
      <c r="P535" t="s">
        <v>74</v>
      </c>
      <c r="Q535" t="s">
        <v>74</v>
      </c>
      <c r="R535" t="s">
        <v>74</v>
      </c>
      <c r="S535" t="s">
        <v>74</v>
      </c>
      <c r="T535" t="s">
        <v>74</v>
      </c>
      <c r="U535" t="s">
        <v>9826</v>
      </c>
      <c r="V535" t="s">
        <v>9827</v>
      </c>
      <c r="W535" t="s">
        <v>9828</v>
      </c>
      <c r="X535" t="s">
        <v>9829</v>
      </c>
      <c r="Y535" t="s">
        <v>9830</v>
      </c>
      <c r="Z535" t="s">
        <v>9831</v>
      </c>
      <c r="AA535" t="s">
        <v>74</v>
      </c>
      <c r="AB535" t="s">
        <v>9832</v>
      </c>
      <c r="AC535" t="s">
        <v>9833</v>
      </c>
      <c r="AD535" t="s">
        <v>2716</v>
      </c>
      <c r="AE535" t="s">
        <v>9834</v>
      </c>
      <c r="AF535" t="s">
        <v>74</v>
      </c>
      <c r="AG535">
        <v>48</v>
      </c>
      <c r="AH535">
        <v>75</v>
      </c>
      <c r="AI535">
        <v>86</v>
      </c>
      <c r="AJ535">
        <v>0</v>
      </c>
      <c r="AK535">
        <v>26</v>
      </c>
      <c r="AL535" t="s">
        <v>91</v>
      </c>
      <c r="AM535" t="s">
        <v>92</v>
      </c>
      <c r="AN535" t="s">
        <v>93</v>
      </c>
      <c r="AO535" t="s">
        <v>2165</v>
      </c>
      <c r="AP535" t="s">
        <v>74</v>
      </c>
      <c r="AQ535" t="s">
        <v>74</v>
      </c>
      <c r="AR535" t="s">
        <v>2167</v>
      </c>
      <c r="AS535" t="s">
        <v>2168</v>
      </c>
      <c r="AT535" t="s">
        <v>8540</v>
      </c>
      <c r="AU535">
        <v>2009</v>
      </c>
      <c r="AV535">
        <v>156</v>
      </c>
      <c r="AW535">
        <v>3</v>
      </c>
      <c r="AX535" t="s">
        <v>74</v>
      </c>
      <c r="AY535" t="s">
        <v>74</v>
      </c>
      <c r="AZ535" t="s">
        <v>74</v>
      </c>
      <c r="BA535" t="s">
        <v>74</v>
      </c>
      <c r="BB535">
        <v>455</v>
      </c>
      <c r="BC535">
        <v>467</v>
      </c>
      <c r="BD535" t="s">
        <v>74</v>
      </c>
      <c r="BE535" t="s">
        <v>9835</v>
      </c>
      <c r="BF535" t="str">
        <f>HYPERLINK("http://dx.doi.org/10.1007/s00227-008-1099-4","http://dx.doi.org/10.1007/s00227-008-1099-4")</f>
        <v>http://dx.doi.org/10.1007/s00227-008-1099-4</v>
      </c>
      <c r="BG535" t="s">
        <v>74</v>
      </c>
      <c r="BH535" t="s">
        <v>74</v>
      </c>
      <c r="BI535">
        <v>13</v>
      </c>
      <c r="BJ535" t="s">
        <v>448</v>
      </c>
      <c r="BK535" t="s">
        <v>100</v>
      </c>
      <c r="BL535" t="s">
        <v>448</v>
      </c>
      <c r="BM535" t="s">
        <v>9821</v>
      </c>
      <c r="BN535" t="s">
        <v>74</v>
      </c>
      <c r="BO535" t="s">
        <v>74</v>
      </c>
      <c r="BP535" t="s">
        <v>74</v>
      </c>
      <c r="BQ535" t="s">
        <v>74</v>
      </c>
      <c r="BR535" t="s">
        <v>103</v>
      </c>
      <c r="BS535" t="s">
        <v>9836</v>
      </c>
      <c r="BT535" t="str">
        <f>HYPERLINK("https%3A%2F%2Fwww.webofscience.com%2Fwos%2Fwoscc%2Ffull-record%2FWOS:000262578800021","View Full Record in Web of Science")</f>
        <v>View Full Record in Web of Science</v>
      </c>
    </row>
    <row r="536" spans="1:72" x14ac:dyDescent="0.15">
      <c r="A536" t="s">
        <v>72</v>
      </c>
      <c r="B536" t="s">
        <v>9837</v>
      </c>
      <c r="C536" t="s">
        <v>74</v>
      </c>
      <c r="D536" t="s">
        <v>74</v>
      </c>
      <c r="E536" t="s">
        <v>74</v>
      </c>
      <c r="F536" t="s">
        <v>9838</v>
      </c>
      <c r="G536" t="s">
        <v>74</v>
      </c>
      <c r="H536" t="s">
        <v>74</v>
      </c>
      <c r="I536" t="s">
        <v>9839</v>
      </c>
      <c r="J536" t="s">
        <v>2154</v>
      </c>
      <c r="K536" t="s">
        <v>74</v>
      </c>
      <c r="L536" t="s">
        <v>74</v>
      </c>
      <c r="M536" t="s">
        <v>78</v>
      </c>
      <c r="N536" t="s">
        <v>79</v>
      </c>
      <c r="O536" t="s">
        <v>74</v>
      </c>
      <c r="P536" t="s">
        <v>74</v>
      </c>
      <c r="Q536" t="s">
        <v>74</v>
      </c>
      <c r="R536" t="s">
        <v>74</v>
      </c>
      <c r="S536" t="s">
        <v>74</v>
      </c>
      <c r="T536" t="s">
        <v>74</v>
      </c>
      <c r="U536" t="s">
        <v>9840</v>
      </c>
      <c r="V536" t="s">
        <v>9841</v>
      </c>
      <c r="W536" t="s">
        <v>9842</v>
      </c>
      <c r="X536" t="s">
        <v>9843</v>
      </c>
      <c r="Y536" t="s">
        <v>9844</v>
      </c>
      <c r="Z536" t="s">
        <v>9845</v>
      </c>
      <c r="AA536" t="s">
        <v>9846</v>
      </c>
      <c r="AB536" t="s">
        <v>9847</v>
      </c>
      <c r="AC536" t="s">
        <v>9848</v>
      </c>
      <c r="AD536" t="s">
        <v>9849</v>
      </c>
      <c r="AE536" t="s">
        <v>9850</v>
      </c>
      <c r="AF536" t="s">
        <v>74</v>
      </c>
      <c r="AG536">
        <v>57</v>
      </c>
      <c r="AH536">
        <v>19</v>
      </c>
      <c r="AI536">
        <v>23</v>
      </c>
      <c r="AJ536">
        <v>0</v>
      </c>
      <c r="AK536">
        <v>13</v>
      </c>
      <c r="AL536" t="s">
        <v>1947</v>
      </c>
      <c r="AM536" t="s">
        <v>1948</v>
      </c>
      <c r="AN536" t="s">
        <v>1949</v>
      </c>
      <c r="AO536" t="s">
        <v>2165</v>
      </c>
      <c r="AP536" t="s">
        <v>2166</v>
      </c>
      <c r="AQ536" t="s">
        <v>74</v>
      </c>
      <c r="AR536" t="s">
        <v>2167</v>
      </c>
      <c r="AS536" t="s">
        <v>2168</v>
      </c>
      <c r="AT536" t="s">
        <v>8540</v>
      </c>
      <c r="AU536">
        <v>2009</v>
      </c>
      <c r="AV536">
        <v>156</v>
      </c>
      <c r="AW536">
        <v>3</v>
      </c>
      <c r="AX536" t="s">
        <v>74</v>
      </c>
      <c r="AY536" t="s">
        <v>74</v>
      </c>
      <c r="AZ536" t="s">
        <v>74</v>
      </c>
      <c r="BA536" t="s">
        <v>74</v>
      </c>
      <c r="BB536">
        <v>479</v>
      </c>
      <c r="BC536">
        <v>491</v>
      </c>
      <c r="BD536" t="s">
        <v>74</v>
      </c>
      <c r="BE536" t="s">
        <v>9851</v>
      </c>
      <c r="BF536" t="str">
        <f>HYPERLINK("http://dx.doi.org/10.1007/s00227-008-1102-0","http://dx.doi.org/10.1007/s00227-008-1102-0")</f>
        <v>http://dx.doi.org/10.1007/s00227-008-1102-0</v>
      </c>
      <c r="BG536" t="s">
        <v>74</v>
      </c>
      <c r="BH536" t="s">
        <v>74</v>
      </c>
      <c r="BI536">
        <v>13</v>
      </c>
      <c r="BJ536" t="s">
        <v>448</v>
      </c>
      <c r="BK536" t="s">
        <v>100</v>
      </c>
      <c r="BL536" t="s">
        <v>448</v>
      </c>
      <c r="BM536" t="s">
        <v>9821</v>
      </c>
      <c r="BN536" t="s">
        <v>74</v>
      </c>
      <c r="BO536" t="s">
        <v>74</v>
      </c>
      <c r="BP536" t="s">
        <v>74</v>
      </c>
      <c r="BQ536" t="s">
        <v>74</v>
      </c>
      <c r="BR536" t="s">
        <v>103</v>
      </c>
      <c r="BS536" t="s">
        <v>9852</v>
      </c>
      <c r="BT536" t="str">
        <f>HYPERLINK("https%3A%2F%2Fwww.webofscience.com%2Fwos%2Fwoscc%2Ffull-record%2FWOS:000262578800023","View Full Record in Web of Science")</f>
        <v>View Full Record in Web of Science</v>
      </c>
    </row>
    <row r="537" spans="1:72" x14ac:dyDescent="0.15">
      <c r="A537" t="s">
        <v>72</v>
      </c>
      <c r="B537" t="s">
        <v>9853</v>
      </c>
      <c r="C537" t="s">
        <v>74</v>
      </c>
      <c r="D537" t="s">
        <v>74</v>
      </c>
      <c r="E537" t="s">
        <v>74</v>
      </c>
      <c r="F537" t="s">
        <v>9854</v>
      </c>
      <c r="G537" t="s">
        <v>74</v>
      </c>
      <c r="H537" t="s">
        <v>74</v>
      </c>
      <c r="I537" t="s">
        <v>9855</v>
      </c>
      <c r="J537" t="s">
        <v>9856</v>
      </c>
      <c r="K537" t="s">
        <v>74</v>
      </c>
      <c r="L537" t="s">
        <v>74</v>
      </c>
      <c r="M537" t="s">
        <v>78</v>
      </c>
      <c r="N537" t="s">
        <v>79</v>
      </c>
      <c r="O537" t="s">
        <v>74</v>
      </c>
      <c r="P537" t="s">
        <v>74</v>
      </c>
      <c r="Q537" t="s">
        <v>74</v>
      </c>
      <c r="R537" t="s">
        <v>74</v>
      </c>
      <c r="S537" t="s">
        <v>74</v>
      </c>
      <c r="T537" t="s">
        <v>9857</v>
      </c>
      <c r="U537" t="s">
        <v>9858</v>
      </c>
      <c r="V537" t="s">
        <v>9859</v>
      </c>
      <c r="W537" t="s">
        <v>9860</v>
      </c>
      <c r="X537" t="s">
        <v>9861</v>
      </c>
      <c r="Y537" t="s">
        <v>9862</v>
      </c>
      <c r="Z537" t="s">
        <v>9863</v>
      </c>
      <c r="AA537" t="s">
        <v>74</v>
      </c>
      <c r="AB537" t="s">
        <v>74</v>
      </c>
      <c r="AC537" t="s">
        <v>9864</v>
      </c>
      <c r="AD537" t="s">
        <v>9865</v>
      </c>
      <c r="AE537" t="s">
        <v>9866</v>
      </c>
      <c r="AF537" t="s">
        <v>74</v>
      </c>
      <c r="AG537">
        <v>32</v>
      </c>
      <c r="AH537">
        <v>9</v>
      </c>
      <c r="AI537">
        <v>12</v>
      </c>
      <c r="AJ537">
        <v>0</v>
      </c>
      <c r="AK537">
        <v>2</v>
      </c>
      <c r="AL537" t="s">
        <v>91</v>
      </c>
      <c r="AM537" t="s">
        <v>92</v>
      </c>
      <c r="AN537" t="s">
        <v>93</v>
      </c>
      <c r="AO537" t="s">
        <v>9867</v>
      </c>
      <c r="AP537" t="s">
        <v>9868</v>
      </c>
      <c r="AQ537" t="s">
        <v>74</v>
      </c>
      <c r="AR537" t="s">
        <v>9869</v>
      </c>
      <c r="AS537" t="s">
        <v>9870</v>
      </c>
      <c r="AT537" t="s">
        <v>8540</v>
      </c>
      <c r="AU537">
        <v>2009</v>
      </c>
      <c r="AV537">
        <v>11</v>
      </c>
      <c r="AW537">
        <v>1</v>
      </c>
      <c r="AX537" t="s">
        <v>74</v>
      </c>
      <c r="AY537" t="s">
        <v>74</v>
      </c>
      <c r="AZ537" t="s">
        <v>74</v>
      </c>
      <c r="BA537" t="s">
        <v>74</v>
      </c>
      <c r="BB537">
        <v>90</v>
      </c>
      <c r="BC537">
        <v>98</v>
      </c>
      <c r="BD537" t="s">
        <v>74</v>
      </c>
      <c r="BE537" t="s">
        <v>9871</v>
      </c>
      <c r="BF537" t="str">
        <f>HYPERLINK("http://dx.doi.org/10.1007/s10126-008-9121-x","http://dx.doi.org/10.1007/s10126-008-9121-x")</f>
        <v>http://dx.doi.org/10.1007/s10126-008-9121-x</v>
      </c>
      <c r="BG537" t="s">
        <v>74</v>
      </c>
      <c r="BH537" t="s">
        <v>74</v>
      </c>
      <c r="BI537">
        <v>9</v>
      </c>
      <c r="BJ537" t="s">
        <v>9551</v>
      </c>
      <c r="BK537" t="s">
        <v>100</v>
      </c>
      <c r="BL537" t="s">
        <v>9551</v>
      </c>
      <c r="BM537" t="s">
        <v>9872</v>
      </c>
      <c r="BN537">
        <v>18612687</v>
      </c>
      <c r="BO537" t="s">
        <v>74</v>
      </c>
      <c r="BP537" t="s">
        <v>74</v>
      </c>
      <c r="BQ537" t="s">
        <v>74</v>
      </c>
      <c r="BR537" t="s">
        <v>103</v>
      </c>
      <c r="BS537" t="s">
        <v>9873</v>
      </c>
      <c r="BT537" t="str">
        <f>HYPERLINK("https%3A%2F%2Fwww.webofscience.com%2Fwos%2Fwoscc%2Ffull-record%2FWOS:000264701400010","View Full Record in Web of Science")</f>
        <v>View Full Record in Web of Science</v>
      </c>
    </row>
    <row r="538" spans="1:72" x14ac:dyDescent="0.15">
      <c r="A538" t="s">
        <v>72</v>
      </c>
      <c r="B538" t="s">
        <v>9874</v>
      </c>
      <c r="C538" t="s">
        <v>74</v>
      </c>
      <c r="D538" t="s">
        <v>74</v>
      </c>
      <c r="E538" t="s">
        <v>74</v>
      </c>
      <c r="F538" t="s">
        <v>9875</v>
      </c>
      <c r="G538" t="s">
        <v>74</v>
      </c>
      <c r="H538" t="s">
        <v>9876</v>
      </c>
      <c r="I538" t="s">
        <v>9877</v>
      </c>
      <c r="J538" t="s">
        <v>4949</v>
      </c>
      <c r="K538" t="s">
        <v>74</v>
      </c>
      <c r="L538" t="s">
        <v>74</v>
      </c>
      <c r="M538" t="s">
        <v>78</v>
      </c>
      <c r="N538" t="s">
        <v>79</v>
      </c>
      <c r="O538" t="s">
        <v>74</v>
      </c>
      <c r="P538" t="s">
        <v>74</v>
      </c>
      <c r="Q538" t="s">
        <v>74</v>
      </c>
      <c r="R538" t="s">
        <v>74</v>
      </c>
      <c r="S538" t="s">
        <v>74</v>
      </c>
      <c r="T538" t="s">
        <v>74</v>
      </c>
      <c r="U538" t="s">
        <v>9878</v>
      </c>
      <c r="V538" t="s">
        <v>9879</v>
      </c>
      <c r="W538" t="s">
        <v>9880</v>
      </c>
      <c r="X538" t="s">
        <v>9881</v>
      </c>
      <c r="Y538" t="s">
        <v>9882</v>
      </c>
      <c r="Z538" t="s">
        <v>9883</v>
      </c>
      <c r="AA538" t="s">
        <v>9884</v>
      </c>
      <c r="AB538" t="s">
        <v>9885</v>
      </c>
      <c r="AC538" t="s">
        <v>9886</v>
      </c>
      <c r="AD538" t="s">
        <v>9887</v>
      </c>
      <c r="AE538" t="s">
        <v>74</v>
      </c>
      <c r="AF538" t="s">
        <v>74</v>
      </c>
      <c r="AG538">
        <v>30</v>
      </c>
      <c r="AH538">
        <v>429</v>
      </c>
      <c r="AI538">
        <v>469</v>
      </c>
      <c r="AJ538">
        <v>6</v>
      </c>
      <c r="AK538">
        <v>164</v>
      </c>
      <c r="AL538" t="s">
        <v>9888</v>
      </c>
      <c r="AM538" t="s">
        <v>7815</v>
      </c>
      <c r="AN538" t="s">
        <v>9889</v>
      </c>
      <c r="AO538" t="s">
        <v>4962</v>
      </c>
      <c r="AP538" t="s">
        <v>4963</v>
      </c>
      <c r="AQ538" t="s">
        <v>74</v>
      </c>
      <c r="AR538" t="s">
        <v>4964</v>
      </c>
      <c r="AS538" t="s">
        <v>4965</v>
      </c>
      <c r="AT538" t="s">
        <v>8540</v>
      </c>
      <c r="AU538">
        <v>2009</v>
      </c>
      <c r="AV538">
        <v>2</v>
      </c>
      <c r="AW538">
        <v>2</v>
      </c>
      <c r="AX538" t="s">
        <v>74</v>
      </c>
      <c r="AY538" t="s">
        <v>74</v>
      </c>
      <c r="AZ538" t="s">
        <v>74</v>
      </c>
      <c r="BA538" t="s">
        <v>74</v>
      </c>
      <c r="BB538">
        <v>127</v>
      </c>
      <c r="BC538">
        <v>132</v>
      </c>
      <c r="BD538" t="s">
        <v>74</v>
      </c>
      <c r="BE538" t="s">
        <v>9890</v>
      </c>
      <c r="BF538" t="str">
        <f>HYPERLINK("http://dx.doi.org/10.1038/NGEO411","http://dx.doi.org/10.1038/NGEO411")</f>
        <v>http://dx.doi.org/10.1038/NGEO411</v>
      </c>
      <c r="BG538" t="s">
        <v>74</v>
      </c>
      <c r="BH538" t="s">
        <v>74</v>
      </c>
      <c r="BI538">
        <v>6</v>
      </c>
      <c r="BJ538" t="s">
        <v>496</v>
      </c>
      <c r="BK538" t="s">
        <v>100</v>
      </c>
      <c r="BL538" t="s">
        <v>497</v>
      </c>
      <c r="BM538" t="s">
        <v>9891</v>
      </c>
      <c r="BN538" t="s">
        <v>74</v>
      </c>
      <c r="BO538" t="s">
        <v>217</v>
      </c>
      <c r="BP538" t="s">
        <v>74</v>
      </c>
      <c r="BQ538" t="s">
        <v>74</v>
      </c>
      <c r="BR538" t="s">
        <v>103</v>
      </c>
      <c r="BS538" t="s">
        <v>9892</v>
      </c>
      <c r="BT538" t="str">
        <f>HYPERLINK("https%3A%2F%2Fwww.webofscience.com%2Fwos%2Fwoscc%2Ffull-record%2FWOS:000263458000016","View Full Record in Web of Science")</f>
        <v>View Full Record in Web of Science</v>
      </c>
    </row>
    <row r="539" spans="1:72" x14ac:dyDescent="0.15">
      <c r="A539" t="s">
        <v>72</v>
      </c>
      <c r="B539" t="s">
        <v>9893</v>
      </c>
      <c r="C539" t="s">
        <v>74</v>
      </c>
      <c r="D539" t="s">
        <v>74</v>
      </c>
      <c r="E539" t="s">
        <v>74</v>
      </c>
      <c r="F539" t="s">
        <v>9894</v>
      </c>
      <c r="G539" t="s">
        <v>74</v>
      </c>
      <c r="H539" t="s">
        <v>74</v>
      </c>
      <c r="I539" t="s">
        <v>9895</v>
      </c>
      <c r="J539" t="s">
        <v>9896</v>
      </c>
      <c r="K539" t="s">
        <v>74</v>
      </c>
      <c r="L539" t="s">
        <v>74</v>
      </c>
      <c r="M539" t="s">
        <v>78</v>
      </c>
      <c r="N539" t="s">
        <v>79</v>
      </c>
      <c r="O539" t="s">
        <v>74</v>
      </c>
      <c r="P539" t="s">
        <v>74</v>
      </c>
      <c r="Q539" t="s">
        <v>74</v>
      </c>
      <c r="R539" t="s">
        <v>74</v>
      </c>
      <c r="S539" t="s">
        <v>74</v>
      </c>
      <c r="T539" t="s">
        <v>9897</v>
      </c>
      <c r="U539" t="s">
        <v>9898</v>
      </c>
      <c r="V539" t="s">
        <v>9899</v>
      </c>
      <c r="W539" t="s">
        <v>9900</v>
      </c>
      <c r="X539" t="s">
        <v>9901</v>
      </c>
      <c r="Y539" t="s">
        <v>9902</v>
      </c>
      <c r="Z539" t="s">
        <v>74</v>
      </c>
      <c r="AA539" t="s">
        <v>74</v>
      </c>
      <c r="AB539" t="s">
        <v>74</v>
      </c>
      <c r="AC539" t="s">
        <v>74</v>
      </c>
      <c r="AD539" t="s">
        <v>74</v>
      </c>
      <c r="AE539" t="s">
        <v>74</v>
      </c>
      <c r="AF539" t="s">
        <v>74</v>
      </c>
      <c r="AG539">
        <v>31</v>
      </c>
      <c r="AH539">
        <v>24</v>
      </c>
      <c r="AI539">
        <v>26</v>
      </c>
      <c r="AJ539">
        <v>0</v>
      </c>
      <c r="AK539">
        <v>19</v>
      </c>
      <c r="AL539" t="s">
        <v>9903</v>
      </c>
      <c r="AM539" t="s">
        <v>9904</v>
      </c>
      <c r="AN539" t="s">
        <v>9905</v>
      </c>
      <c r="AO539" t="s">
        <v>9906</v>
      </c>
      <c r="AP539" t="s">
        <v>74</v>
      </c>
      <c r="AQ539" t="s">
        <v>74</v>
      </c>
      <c r="AR539" t="s">
        <v>9896</v>
      </c>
      <c r="AS539" t="s">
        <v>9907</v>
      </c>
      <c r="AT539" t="s">
        <v>8540</v>
      </c>
      <c r="AU539">
        <v>2009</v>
      </c>
      <c r="AV539">
        <v>88</v>
      </c>
      <c r="AW539" t="s">
        <v>972</v>
      </c>
      <c r="AX539" t="s">
        <v>74</v>
      </c>
      <c r="AY539" t="s">
        <v>74</v>
      </c>
      <c r="AZ539" t="s">
        <v>74</v>
      </c>
      <c r="BA539" t="s">
        <v>74</v>
      </c>
      <c r="BB539">
        <v>157</v>
      </c>
      <c r="BC539">
        <v>168</v>
      </c>
      <c r="BD539" t="s">
        <v>74</v>
      </c>
      <c r="BE539" t="s">
        <v>9908</v>
      </c>
      <c r="BF539" t="str">
        <f>HYPERLINK("http://dx.doi.org/10.1127/0029-5035/2009/0088-0157","http://dx.doi.org/10.1127/0029-5035/2009/0088-0157")</f>
        <v>http://dx.doi.org/10.1127/0029-5035/2009/0088-0157</v>
      </c>
      <c r="BG539" t="s">
        <v>74</v>
      </c>
      <c r="BH539" t="s">
        <v>74</v>
      </c>
      <c r="BI539">
        <v>12</v>
      </c>
      <c r="BJ539" t="s">
        <v>2573</v>
      </c>
      <c r="BK539" t="s">
        <v>100</v>
      </c>
      <c r="BL539" t="s">
        <v>2573</v>
      </c>
      <c r="BM539" t="s">
        <v>9909</v>
      </c>
      <c r="BN539" t="s">
        <v>74</v>
      </c>
      <c r="BO539" t="s">
        <v>74</v>
      </c>
      <c r="BP539" t="s">
        <v>74</v>
      </c>
      <c r="BQ539" t="s">
        <v>74</v>
      </c>
      <c r="BR539" t="s">
        <v>103</v>
      </c>
      <c r="BS539" t="s">
        <v>9910</v>
      </c>
      <c r="BT539" t="str">
        <f>HYPERLINK("https%3A%2F%2Fwww.webofscience.com%2Fwos%2Fwoscc%2Ffull-record%2FWOS:000263652800016","View Full Record in Web of Science")</f>
        <v>View Full Record in Web of Science</v>
      </c>
    </row>
    <row r="540" spans="1:72" x14ac:dyDescent="0.15">
      <c r="A540" t="s">
        <v>72</v>
      </c>
      <c r="B540" t="s">
        <v>9911</v>
      </c>
      <c r="C540" t="s">
        <v>74</v>
      </c>
      <c r="D540" t="s">
        <v>74</v>
      </c>
      <c r="E540" t="s">
        <v>74</v>
      </c>
      <c r="F540" t="s">
        <v>9912</v>
      </c>
      <c r="G540" t="s">
        <v>74</v>
      </c>
      <c r="H540" t="s">
        <v>74</v>
      </c>
      <c r="I540" t="s">
        <v>9913</v>
      </c>
      <c r="J540" t="s">
        <v>4988</v>
      </c>
      <c r="K540" t="s">
        <v>74</v>
      </c>
      <c r="L540" t="s">
        <v>74</v>
      </c>
      <c r="M540" t="s">
        <v>78</v>
      </c>
      <c r="N540" t="s">
        <v>79</v>
      </c>
      <c r="O540" t="s">
        <v>74</v>
      </c>
      <c r="P540" t="s">
        <v>74</v>
      </c>
      <c r="Q540" t="s">
        <v>74</v>
      </c>
      <c r="R540" t="s">
        <v>74</v>
      </c>
      <c r="S540" t="s">
        <v>74</v>
      </c>
      <c r="T540" t="s">
        <v>74</v>
      </c>
      <c r="U540" t="s">
        <v>9914</v>
      </c>
      <c r="V540" t="s">
        <v>9915</v>
      </c>
      <c r="W540" t="s">
        <v>9916</v>
      </c>
      <c r="X540" t="s">
        <v>9917</v>
      </c>
      <c r="Y540" t="s">
        <v>9918</v>
      </c>
      <c r="Z540" t="s">
        <v>9919</v>
      </c>
      <c r="AA540" t="s">
        <v>9920</v>
      </c>
      <c r="AB540" t="s">
        <v>9921</v>
      </c>
      <c r="AC540" t="s">
        <v>9922</v>
      </c>
      <c r="AD540" t="s">
        <v>9923</v>
      </c>
      <c r="AE540" t="s">
        <v>9924</v>
      </c>
      <c r="AF540" t="s">
        <v>74</v>
      </c>
      <c r="AG540">
        <v>36</v>
      </c>
      <c r="AH540">
        <v>0</v>
      </c>
      <c r="AI540">
        <v>0</v>
      </c>
      <c r="AJ540">
        <v>0</v>
      </c>
      <c r="AK540">
        <v>0</v>
      </c>
      <c r="AL540" t="s">
        <v>2834</v>
      </c>
      <c r="AM540" t="s">
        <v>92</v>
      </c>
      <c r="AN540" t="s">
        <v>2835</v>
      </c>
      <c r="AO540" t="s">
        <v>4998</v>
      </c>
      <c r="AP540" t="s">
        <v>4999</v>
      </c>
      <c r="AQ540" t="s">
        <v>74</v>
      </c>
      <c r="AR540" t="s">
        <v>5000</v>
      </c>
      <c r="AS540" t="s">
        <v>5001</v>
      </c>
      <c r="AT540" t="s">
        <v>8540</v>
      </c>
      <c r="AU540">
        <v>2009</v>
      </c>
      <c r="AV540">
        <v>49</v>
      </c>
      <c r="AW540">
        <v>1</v>
      </c>
      <c r="AX540" t="s">
        <v>74</v>
      </c>
      <c r="AY540" t="s">
        <v>74</v>
      </c>
      <c r="AZ540" t="s">
        <v>74</v>
      </c>
      <c r="BA540" t="s">
        <v>74</v>
      </c>
      <c r="BB540">
        <v>1</v>
      </c>
      <c r="BC540">
        <v>14</v>
      </c>
      <c r="BD540" t="s">
        <v>74</v>
      </c>
      <c r="BE540" t="s">
        <v>9925</v>
      </c>
      <c r="BF540" t="str">
        <f>HYPERLINK("http://dx.doi.org/10.1134/S0001437009010019","http://dx.doi.org/10.1134/S0001437009010019")</f>
        <v>http://dx.doi.org/10.1134/S0001437009010019</v>
      </c>
      <c r="BG540" t="s">
        <v>74</v>
      </c>
      <c r="BH540" t="s">
        <v>74</v>
      </c>
      <c r="BI540">
        <v>14</v>
      </c>
      <c r="BJ540" t="s">
        <v>689</v>
      </c>
      <c r="BK540" t="s">
        <v>100</v>
      </c>
      <c r="BL540" t="s">
        <v>689</v>
      </c>
      <c r="BM540" t="s">
        <v>9926</v>
      </c>
      <c r="BN540" t="s">
        <v>74</v>
      </c>
      <c r="BO540" t="s">
        <v>74</v>
      </c>
      <c r="BP540" t="s">
        <v>74</v>
      </c>
      <c r="BQ540" t="s">
        <v>74</v>
      </c>
      <c r="BR540" t="s">
        <v>103</v>
      </c>
      <c r="BS540" t="s">
        <v>9927</v>
      </c>
      <c r="BT540" t="str">
        <f>HYPERLINK("https%3A%2F%2Fwww.webofscience.com%2Fwos%2Fwoscc%2Ffull-record%2FWOS:000266439900001","View Full Record in Web of Science")</f>
        <v>View Full Record in Web of Science</v>
      </c>
    </row>
    <row r="541" spans="1:72" x14ac:dyDescent="0.15">
      <c r="A541" t="s">
        <v>72</v>
      </c>
      <c r="B541" t="s">
        <v>9928</v>
      </c>
      <c r="C541" t="s">
        <v>74</v>
      </c>
      <c r="D541" t="s">
        <v>74</v>
      </c>
      <c r="E541" t="s">
        <v>74</v>
      </c>
      <c r="F541" t="s">
        <v>9929</v>
      </c>
      <c r="G541" t="s">
        <v>74</v>
      </c>
      <c r="H541" t="s">
        <v>74</v>
      </c>
      <c r="I541" t="s">
        <v>9930</v>
      </c>
      <c r="J541" t="s">
        <v>4988</v>
      </c>
      <c r="K541" t="s">
        <v>74</v>
      </c>
      <c r="L541" t="s">
        <v>74</v>
      </c>
      <c r="M541" t="s">
        <v>78</v>
      </c>
      <c r="N541" t="s">
        <v>79</v>
      </c>
      <c r="O541" t="s">
        <v>74</v>
      </c>
      <c r="P541" t="s">
        <v>74</v>
      </c>
      <c r="Q541" t="s">
        <v>74</v>
      </c>
      <c r="R541" t="s">
        <v>74</v>
      </c>
      <c r="S541" t="s">
        <v>74</v>
      </c>
      <c r="T541" t="s">
        <v>74</v>
      </c>
      <c r="U541" t="s">
        <v>9931</v>
      </c>
      <c r="V541" t="s">
        <v>9932</v>
      </c>
      <c r="W541" t="s">
        <v>9933</v>
      </c>
      <c r="X541" t="s">
        <v>4251</v>
      </c>
      <c r="Y541" t="s">
        <v>9934</v>
      </c>
      <c r="Z541" t="s">
        <v>9935</v>
      </c>
      <c r="AA541" t="s">
        <v>74</v>
      </c>
      <c r="AB541" t="s">
        <v>74</v>
      </c>
      <c r="AC541" t="s">
        <v>74</v>
      </c>
      <c r="AD541" t="s">
        <v>74</v>
      </c>
      <c r="AE541" t="s">
        <v>74</v>
      </c>
      <c r="AF541" t="s">
        <v>74</v>
      </c>
      <c r="AG541">
        <v>20</v>
      </c>
      <c r="AH541">
        <v>15</v>
      </c>
      <c r="AI541">
        <v>16</v>
      </c>
      <c r="AJ541">
        <v>0</v>
      </c>
      <c r="AK541">
        <v>5</v>
      </c>
      <c r="AL541" t="s">
        <v>2834</v>
      </c>
      <c r="AM541" t="s">
        <v>92</v>
      </c>
      <c r="AN541" t="s">
        <v>2835</v>
      </c>
      <c r="AO541" t="s">
        <v>4998</v>
      </c>
      <c r="AP541" t="s">
        <v>4999</v>
      </c>
      <c r="AQ541" t="s">
        <v>74</v>
      </c>
      <c r="AR541" t="s">
        <v>5000</v>
      </c>
      <c r="AS541" t="s">
        <v>5001</v>
      </c>
      <c r="AT541" t="s">
        <v>8540</v>
      </c>
      <c r="AU541">
        <v>2009</v>
      </c>
      <c r="AV541">
        <v>49</v>
      </c>
      <c r="AW541">
        <v>1</v>
      </c>
      <c r="AX541" t="s">
        <v>74</v>
      </c>
      <c r="AY541" t="s">
        <v>74</v>
      </c>
      <c r="AZ541" t="s">
        <v>74</v>
      </c>
      <c r="BA541" t="s">
        <v>74</v>
      </c>
      <c r="BB541">
        <v>55</v>
      </c>
      <c r="BC541">
        <v>63</v>
      </c>
      <c r="BD541" t="s">
        <v>74</v>
      </c>
      <c r="BE541" t="s">
        <v>9936</v>
      </c>
      <c r="BF541" t="str">
        <f>HYPERLINK("http://dx.doi.org/10.1134/S000143700901007X","http://dx.doi.org/10.1134/S000143700901007X")</f>
        <v>http://dx.doi.org/10.1134/S000143700901007X</v>
      </c>
      <c r="BG541" t="s">
        <v>74</v>
      </c>
      <c r="BH541" t="s">
        <v>74</v>
      </c>
      <c r="BI541">
        <v>9</v>
      </c>
      <c r="BJ541" t="s">
        <v>689</v>
      </c>
      <c r="BK541" t="s">
        <v>100</v>
      </c>
      <c r="BL541" t="s">
        <v>689</v>
      </c>
      <c r="BM541" t="s">
        <v>9926</v>
      </c>
      <c r="BN541" t="s">
        <v>74</v>
      </c>
      <c r="BO541" t="s">
        <v>74</v>
      </c>
      <c r="BP541" t="s">
        <v>74</v>
      </c>
      <c r="BQ541" t="s">
        <v>74</v>
      </c>
      <c r="BR541" t="s">
        <v>103</v>
      </c>
      <c r="BS541" t="s">
        <v>9937</v>
      </c>
      <c r="BT541" t="str">
        <f>HYPERLINK("https%3A%2F%2Fwww.webofscience.com%2Fwos%2Fwoscc%2Ffull-record%2FWOS:000266439900007","View Full Record in Web of Science")</f>
        <v>View Full Record in Web of Science</v>
      </c>
    </row>
    <row r="542" spans="1:72" x14ac:dyDescent="0.15">
      <c r="A542" t="s">
        <v>72</v>
      </c>
      <c r="B542" t="s">
        <v>9938</v>
      </c>
      <c r="C542" t="s">
        <v>74</v>
      </c>
      <c r="D542" t="s">
        <v>74</v>
      </c>
      <c r="E542" t="s">
        <v>74</v>
      </c>
      <c r="F542" t="s">
        <v>9939</v>
      </c>
      <c r="G542" t="s">
        <v>74</v>
      </c>
      <c r="H542" t="s">
        <v>74</v>
      </c>
      <c r="I542" t="s">
        <v>9940</v>
      </c>
      <c r="J542" t="s">
        <v>4988</v>
      </c>
      <c r="K542" t="s">
        <v>74</v>
      </c>
      <c r="L542" t="s">
        <v>74</v>
      </c>
      <c r="M542" t="s">
        <v>78</v>
      </c>
      <c r="N542" t="s">
        <v>505</v>
      </c>
      <c r="O542" t="s">
        <v>74</v>
      </c>
      <c r="P542" t="s">
        <v>74</v>
      </c>
      <c r="Q542" t="s">
        <v>74</v>
      </c>
      <c r="R542" t="s">
        <v>74</v>
      </c>
      <c r="S542" t="s">
        <v>74</v>
      </c>
      <c r="T542" t="s">
        <v>74</v>
      </c>
      <c r="U542" t="s">
        <v>74</v>
      </c>
      <c r="V542" t="s">
        <v>74</v>
      </c>
      <c r="W542" t="s">
        <v>9941</v>
      </c>
      <c r="X542" t="s">
        <v>9942</v>
      </c>
      <c r="Y542" t="s">
        <v>9943</v>
      </c>
      <c r="Z542" t="s">
        <v>9944</v>
      </c>
      <c r="AA542" t="s">
        <v>74</v>
      </c>
      <c r="AB542" t="s">
        <v>74</v>
      </c>
      <c r="AC542" t="s">
        <v>74</v>
      </c>
      <c r="AD542" t="s">
        <v>74</v>
      </c>
      <c r="AE542" t="s">
        <v>74</v>
      </c>
      <c r="AF542" t="s">
        <v>74</v>
      </c>
      <c r="AG542">
        <v>6</v>
      </c>
      <c r="AH542">
        <v>2</v>
      </c>
      <c r="AI542">
        <v>2</v>
      </c>
      <c r="AJ542">
        <v>0</v>
      </c>
      <c r="AK542">
        <v>0</v>
      </c>
      <c r="AL542" t="s">
        <v>2834</v>
      </c>
      <c r="AM542" t="s">
        <v>92</v>
      </c>
      <c r="AN542" t="s">
        <v>2835</v>
      </c>
      <c r="AO542" t="s">
        <v>4998</v>
      </c>
      <c r="AP542" t="s">
        <v>4999</v>
      </c>
      <c r="AQ542" t="s">
        <v>74</v>
      </c>
      <c r="AR542" t="s">
        <v>5000</v>
      </c>
      <c r="AS542" t="s">
        <v>5001</v>
      </c>
      <c r="AT542" t="s">
        <v>8540</v>
      </c>
      <c r="AU542">
        <v>2009</v>
      </c>
      <c r="AV542">
        <v>49</v>
      </c>
      <c r="AW542">
        <v>1</v>
      </c>
      <c r="AX542" t="s">
        <v>74</v>
      </c>
      <c r="AY542" t="s">
        <v>74</v>
      </c>
      <c r="AZ542" t="s">
        <v>74</v>
      </c>
      <c r="BA542" t="s">
        <v>74</v>
      </c>
      <c r="BB542">
        <v>144</v>
      </c>
      <c r="BC542">
        <v>147</v>
      </c>
      <c r="BD542" t="s">
        <v>74</v>
      </c>
      <c r="BE542" t="s">
        <v>9945</v>
      </c>
      <c r="BF542" t="str">
        <f>HYPERLINK("http://dx.doi.org/10.1134/S0001437009010172","http://dx.doi.org/10.1134/S0001437009010172")</f>
        <v>http://dx.doi.org/10.1134/S0001437009010172</v>
      </c>
      <c r="BG542" t="s">
        <v>74</v>
      </c>
      <c r="BH542" t="s">
        <v>74</v>
      </c>
      <c r="BI542">
        <v>4</v>
      </c>
      <c r="BJ542" t="s">
        <v>689</v>
      </c>
      <c r="BK542" t="s">
        <v>100</v>
      </c>
      <c r="BL542" t="s">
        <v>689</v>
      </c>
      <c r="BM542" t="s">
        <v>9926</v>
      </c>
      <c r="BN542" t="s">
        <v>74</v>
      </c>
      <c r="BO542" t="s">
        <v>74</v>
      </c>
      <c r="BP542" t="s">
        <v>74</v>
      </c>
      <c r="BQ542" t="s">
        <v>74</v>
      </c>
      <c r="BR542" t="s">
        <v>103</v>
      </c>
      <c r="BS542" t="s">
        <v>9946</v>
      </c>
      <c r="BT542" t="str">
        <f>HYPERLINK("https%3A%2F%2Fwww.webofscience.com%2Fwos%2Fwoscc%2Ffull-record%2FWOS:000266439900017","View Full Record in Web of Science")</f>
        <v>View Full Record in Web of Science</v>
      </c>
    </row>
    <row r="543" spans="1:72" x14ac:dyDescent="0.15">
      <c r="A543" t="s">
        <v>72</v>
      </c>
      <c r="B543" t="s">
        <v>9947</v>
      </c>
      <c r="C543" t="s">
        <v>74</v>
      </c>
      <c r="D543" t="s">
        <v>74</v>
      </c>
      <c r="E543" t="s">
        <v>74</v>
      </c>
      <c r="F543" t="s">
        <v>9948</v>
      </c>
      <c r="G543" t="s">
        <v>74</v>
      </c>
      <c r="H543" t="s">
        <v>74</v>
      </c>
      <c r="I543" t="s">
        <v>9949</v>
      </c>
      <c r="J543" t="s">
        <v>2464</v>
      </c>
      <c r="K543" t="s">
        <v>74</v>
      </c>
      <c r="L543" t="s">
        <v>74</v>
      </c>
      <c r="M543" t="s">
        <v>78</v>
      </c>
      <c r="N543" t="s">
        <v>79</v>
      </c>
      <c r="O543" t="s">
        <v>74</v>
      </c>
      <c r="P543" t="s">
        <v>74</v>
      </c>
      <c r="Q543" t="s">
        <v>74</v>
      </c>
      <c r="R543" t="s">
        <v>74</v>
      </c>
      <c r="S543" t="s">
        <v>74</v>
      </c>
      <c r="T543" t="s">
        <v>9950</v>
      </c>
      <c r="U543" t="s">
        <v>9951</v>
      </c>
      <c r="V543" t="s">
        <v>9952</v>
      </c>
      <c r="W543" t="s">
        <v>9953</v>
      </c>
      <c r="X543" t="s">
        <v>9954</v>
      </c>
      <c r="Y543" t="s">
        <v>9955</v>
      </c>
      <c r="Z543" t="s">
        <v>2943</v>
      </c>
      <c r="AA543" t="s">
        <v>9956</v>
      </c>
      <c r="AB543" t="s">
        <v>9957</v>
      </c>
      <c r="AC543" t="s">
        <v>9958</v>
      </c>
      <c r="AD543" t="s">
        <v>9958</v>
      </c>
      <c r="AE543" t="s">
        <v>9959</v>
      </c>
      <c r="AF543" t="s">
        <v>74</v>
      </c>
      <c r="AG543">
        <v>89</v>
      </c>
      <c r="AH543">
        <v>38</v>
      </c>
      <c r="AI543">
        <v>42</v>
      </c>
      <c r="AJ543">
        <v>1</v>
      </c>
      <c r="AK543">
        <v>41</v>
      </c>
      <c r="AL543" t="s">
        <v>91</v>
      </c>
      <c r="AM543" t="s">
        <v>92</v>
      </c>
      <c r="AN543" t="s">
        <v>137</v>
      </c>
      <c r="AO543" t="s">
        <v>2476</v>
      </c>
      <c r="AP543" t="s">
        <v>2477</v>
      </c>
      <c r="AQ543" t="s">
        <v>74</v>
      </c>
      <c r="AR543" t="s">
        <v>2464</v>
      </c>
      <c r="AS543" t="s">
        <v>2478</v>
      </c>
      <c r="AT543" t="s">
        <v>8540</v>
      </c>
      <c r="AU543">
        <v>2009</v>
      </c>
      <c r="AV543">
        <v>159</v>
      </c>
      <c r="AW543">
        <v>1</v>
      </c>
      <c r="AX543" t="s">
        <v>74</v>
      </c>
      <c r="AY543" t="s">
        <v>74</v>
      </c>
      <c r="AZ543" t="s">
        <v>74</v>
      </c>
      <c r="BA543" t="s">
        <v>74</v>
      </c>
      <c r="BB543">
        <v>69</v>
      </c>
      <c r="BC543">
        <v>82</v>
      </c>
      <c r="BD543" t="s">
        <v>74</v>
      </c>
      <c r="BE543" t="s">
        <v>9960</v>
      </c>
      <c r="BF543" t="str">
        <f>HYPERLINK("http://dx.doi.org/10.1007/s00442-008-1205-9","http://dx.doi.org/10.1007/s00442-008-1205-9")</f>
        <v>http://dx.doi.org/10.1007/s00442-008-1205-9</v>
      </c>
      <c r="BG543" t="s">
        <v>74</v>
      </c>
      <c r="BH543" t="s">
        <v>74</v>
      </c>
      <c r="BI543">
        <v>14</v>
      </c>
      <c r="BJ543" t="s">
        <v>2480</v>
      </c>
      <c r="BK543" t="s">
        <v>100</v>
      </c>
      <c r="BL543" t="s">
        <v>424</v>
      </c>
      <c r="BM543" t="s">
        <v>9961</v>
      </c>
      <c r="BN543">
        <v>18987892</v>
      </c>
      <c r="BO543" t="s">
        <v>4804</v>
      </c>
      <c r="BP543" t="s">
        <v>74</v>
      </c>
      <c r="BQ543" t="s">
        <v>74</v>
      </c>
      <c r="BR543" t="s">
        <v>103</v>
      </c>
      <c r="BS543" t="s">
        <v>9962</v>
      </c>
      <c r="BT543" t="str">
        <f>HYPERLINK("https%3A%2F%2Fwww.webofscience.com%2Fwos%2Fwoscc%2Ffull-record%2FWOS:000262576700007","View Full Record in Web of Science")</f>
        <v>View Full Record in Web of Science</v>
      </c>
    </row>
    <row r="544" spans="1:72" x14ac:dyDescent="0.15">
      <c r="A544" t="s">
        <v>72</v>
      </c>
      <c r="B544" t="s">
        <v>9963</v>
      </c>
      <c r="C544" t="s">
        <v>74</v>
      </c>
      <c r="D544" t="s">
        <v>74</v>
      </c>
      <c r="E544" t="s">
        <v>74</v>
      </c>
      <c r="F544" t="s">
        <v>9964</v>
      </c>
      <c r="G544" t="s">
        <v>74</v>
      </c>
      <c r="H544" t="s">
        <v>74</v>
      </c>
      <c r="I544" t="s">
        <v>9965</v>
      </c>
      <c r="J544" t="s">
        <v>9966</v>
      </c>
      <c r="K544" t="s">
        <v>74</v>
      </c>
      <c r="L544" t="s">
        <v>74</v>
      </c>
      <c r="M544" t="s">
        <v>78</v>
      </c>
      <c r="N544" t="s">
        <v>79</v>
      </c>
      <c r="O544" t="s">
        <v>74</v>
      </c>
      <c r="P544" t="s">
        <v>74</v>
      </c>
      <c r="Q544" t="s">
        <v>74</v>
      </c>
      <c r="R544" t="s">
        <v>74</v>
      </c>
      <c r="S544" t="s">
        <v>74</v>
      </c>
      <c r="T544" t="s">
        <v>74</v>
      </c>
      <c r="U544" t="s">
        <v>9967</v>
      </c>
      <c r="V544" t="s">
        <v>9968</v>
      </c>
      <c r="W544" t="s">
        <v>9969</v>
      </c>
      <c r="X544" t="s">
        <v>9970</v>
      </c>
      <c r="Y544" t="s">
        <v>9971</v>
      </c>
      <c r="Z544" t="s">
        <v>9972</v>
      </c>
      <c r="AA544" t="s">
        <v>9973</v>
      </c>
      <c r="AB544" t="s">
        <v>9974</v>
      </c>
      <c r="AC544" t="s">
        <v>9975</v>
      </c>
      <c r="AD544" t="s">
        <v>9976</v>
      </c>
      <c r="AE544" t="s">
        <v>9977</v>
      </c>
      <c r="AF544" t="s">
        <v>74</v>
      </c>
      <c r="AG544">
        <v>93</v>
      </c>
      <c r="AH544">
        <v>40</v>
      </c>
      <c r="AI544">
        <v>47</v>
      </c>
      <c r="AJ544">
        <v>1</v>
      </c>
      <c r="AK544">
        <v>22</v>
      </c>
      <c r="AL544" t="s">
        <v>303</v>
      </c>
      <c r="AM544" t="s">
        <v>304</v>
      </c>
      <c r="AN544" t="s">
        <v>305</v>
      </c>
      <c r="AO544" t="s">
        <v>9978</v>
      </c>
      <c r="AP544" t="s">
        <v>74</v>
      </c>
      <c r="AQ544" t="s">
        <v>74</v>
      </c>
      <c r="AR544" t="s">
        <v>9979</v>
      </c>
      <c r="AS544" t="s">
        <v>9980</v>
      </c>
      <c r="AT544" t="s">
        <v>8540</v>
      </c>
      <c r="AU544">
        <v>2009</v>
      </c>
      <c r="AV544">
        <v>40</v>
      </c>
      <c r="AW544">
        <v>2</v>
      </c>
      <c r="AX544" t="s">
        <v>74</v>
      </c>
      <c r="AY544" t="s">
        <v>74</v>
      </c>
      <c r="AZ544" t="s">
        <v>74</v>
      </c>
      <c r="BA544" t="s">
        <v>74</v>
      </c>
      <c r="BB544">
        <v>258</v>
      </c>
      <c r="BC544">
        <v>269</v>
      </c>
      <c r="BD544" t="s">
        <v>74</v>
      </c>
      <c r="BE544" t="s">
        <v>9981</v>
      </c>
      <c r="BF544" t="str">
        <f>HYPERLINK("http://dx.doi.org/10.1016/j.orggeochem.2008.10.002","http://dx.doi.org/10.1016/j.orggeochem.2008.10.002")</f>
        <v>http://dx.doi.org/10.1016/j.orggeochem.2008.10.002</v>
      </c>
      <c r="BG544" t="s">
        <v>74</v>
      </c>
      <c r="BH544" t="s">
        <v>74</v>
      </c>
      <c r="BI544">
        <v>12</v>
      </c>
      <c r="BJ544" t="s">
        <v>534</v>
      </c>
      <c r="BK544" t="s">
        <v>100</v>
      </c>
      <c r="BL544" t="s">
        <v>534</v>
      </c>
      <c r="BM544" t="s">
        <v>9982</v>
      </c>
      <c r="BN544" t="s">
        <v>74</v>
      </c>
      <c r="BO544" t="s">
        <v>74</v>
      </c>
      <c r="BP544" t="s">
        <v>74</v>
      </c>
      <c r="BQ544" t="s">
        <v>74</v>
      </c>
      <c r="BR544" t="s">
        <v>103</v>
      </c>
      <c r="BS544" t="s">
        <v>9983</v>
      </c>
      <c r="BT544" t="str">
        <f>HYPERLINK("https%3A%2F%2Fwww.webofscience.com%2Fwos%2Fwoscc%2Ffull-record%2FWOS:000263950600012","View Full Record in Web of Science")</f>
        <v>View Full Record in Web of Science</v>
      </c>
    </row>
    <row r="545" spans="1:72" x14ac:dyDescent="0.15">
      <c r="A545" t="s">
        <v>72</v>
      </c>
      <c r="B545" t="s">
        <v>9984</v>
      </c>
      <c r="C545" t="s">
        <v>74</v>
      </c>
      <c r="D545" t="s">
        <v>74</v>
      </c>
      <c r="E545" t="s">
        <v>74</v>
      </c>
      <c r="F545" t="s">
        <v>9985</v>
      </c>
      <c r="G545" t="s">
        <v>74</v>
      </c>
      <c r="H545" t="s">
        <v>74</v>
      </c>
      <c r="I545" t="s">
        <v>9986</v>
      </c>
      <c r="J545" t="s">
        <v>77</v>
      </c>
      <c r="K545" t="s">
        <v>74</v>
      </c>
      <c r="L545" t="s">
        <v>74</v>
      </c>
      <c r="M545" t="s">
        <v>78</v>
      </c>
      <c r="N545" t="s">
        <v>79</v>
      </c>
      <c r="O545" t="s">
        <v>74</v>
      </c>
      <c r="P545" t="s">
        <v>74</v>
      </c>
      <c r="Q545" t="s">
        <v>74</v>
      </c>
      <c r="R545" t="s">
        <v>74</v>
      </c>
      <c r="S545" t="s">
        <v>74</v>
      </c>
      <c r="T545" t="s">
        <v>9987</v>
      </c>
      <c r="U545" t="s">
        <v>9988</v>
      </c>
      <c r="V545" t="s">
        <v>9989</v>
      </c>
      <c r="W545" t="s">
        <v>9990</v>
      </c>
      <c r="X545" t="s">
        <v>9991</v>
      </c>
      <c r="Y545" t="s">
        <v>9992</v>
      </c>
      <c r="Z545" t="s">
        <v>9993</v>
      </c>
      <c r="AA545" t="s">
        <v>9994</v>
      </c>
      <c r="AB545" t="s">
        <v>9995</v>
      </c>
      <c r="AC545" t="s">
        <v>9996</v>
      </c>
      <c r="AD545" t="s">
        <v>9996</v>
      </c>
      <c r="AE545" t="s">
        <v>9997</v>
      </c>
      <c r="AF545" t="s">
        <v>74</v>
      </c>
      <c r="AG545">
        <v>25</v>
      </c>
      <c r="AH545">
        <v>142</v>
      </c>
      <c r="AI545">
        <v>158</v>
      </c>
      <c r="AJ545">
        <v>2</v>
      </c>
      <c r="AK545">
        <v>32</v>
      </c>
      <c r="AL545" t="s">
        <v>91</v>
      </c>
      <c r="AM545" t="s">
        <v>92</v>
      </c>
      <c r="AN545" t="s">
        <v>137</v>
      </c>
      <c r="AO545" t="s">
        <v>94</v>
      </c>
      <c r="AP545" t="s">
        <v>119</v>
      </c>
      <c r="AQ545" t="s">
        <v>74</v>
      </c>
      <c r="AR545" t="s">
        <v>95</v>
      </c>
      <c r="AS545" t="s">
        <v>96</v>
      </c>
      <c r="AT545" t="s">
        <v>8540</v>
      </c>
      <c r="AU545">
        <v>2009</v>
      </c>
      <c r="AV545">
        <v>32</v>
      </c>
      <c r="AW545">
        <v>2</v>
      </c>
      <c r="AX545" t="s">
        <v>74</v>
      </c>
      <c r="AY545" t="s">
        <v>74</v>
      </c>
      <c r="AZ545" t="s">
        <v>74</v>
      </c>
      <c r="BA545" t="s">
        <v>74</v>
      </c>
      <c r="BB545">
        <v>161</v>
      </c>
      <c r="BC545">
        <v>167</v>
      </c>
      <c r="BD545" t="s">
        <v>74</v>
      </c>
      <c r="BE545" t="s">
        <v>9998</v>
      </c>
      <c r="BF545" t="str">
        <f>HYPERLINK("http://dx.doi.org/10.1007/s00300-008-0515-z","http://dx.doi.org/10.1007/s00300-008-0515-z")</f>
        <v>http://dx.doi.org/10.1007/s00300-008-0515-z</v>
      </c>
      <c r="BG545" t="s">
        <v>74</v>
      </c>
      <c r="BH545" t="s">
        <v>74</v>
      </c>
      <c r="BI545">
        <v>7</v>
      </c>
      <c r="BJ545" t="s">
        <v>99</v>
      </c>
      <c r="BK545" t="s">
        <v>100</v>
      </c>
      <c r="BL545" t="s">
        <v>101</v>
      </c>
      <c r="BM545" t="s">
        <v>9999</v>
      </c>
      <c r="BN545" t="s">
        <v>74</v>
      </c>
      <c r="BO545" t="s">
        <v>262</v>
      </c>
      <c r="BP545" t="s">
        <v>74</v>
      </c>
      <c r="BQ545" t="s">
        <v>74</v>
      </c>
      <c r="BR545" t="s">
        <v>103</v>
      </c>
      <c r="BS545" t="s">
        <v>10000</v>
      </c>
      <c r="BT545" t="str">
        <f>HYPERLINK("https%3A%2F%2Fwww.webofscience.com%2Fwos%2Fwoscc%2Ffull-record%2FWOS:000262439300003","View Full Record in Web of Science")</f>
        <v>View Full Record in Web of Science</v>
      </c>
    </row>
    <row r="546" spans="1:72" x14ac:dyDescent="0.15">
      <c r="A546" t="s">
        <v>72</v>
      </c>
      <c r="B546" t="s">
        <v>10001</v>
      </c>
      <c r="C546" t="s">
        <v>74</v>
      </c>
      <c r="D546" t="s">
        <v>74</v>
      </c>
      <c r="E546" t="s">
        <v>74</v>
      </c>
      <c r="F546" t="s">
        <v>10002</v>
      </c>
      <c r="G546" t="s">
        <v>74</v>
      </c>
      <c r="H546" t="s">
        <v>74</v>
      </c>
      <c r="I546" t="s">
        <v>10003</v>
      </c>
      <c r="J546" t="s">
        <v>77</v>
      </c>
      <c r="K546" t="s">
        <v>74</v>
      </c>
      <c r="L546" t="s">
        <v>74</v>
      </c>
      <c r="M546" t="s">
        <v>78</v>
      </c>
      <c r="N546" t="s">
        <v>79</v>
      </c>
      <c r="O546" t="s">
        <v>74</v>
      </c>
      <c r="P546" t="s">
        <v>74</v>
      </c>
      <c r="Q546" t="s">
        <v>74</v>
      </c>
      <c r="R546" t="s">
        <v>74</v>
      </c>
      <c r="S546" t="s">
        <v>74</v>
      </c>
      <c r="T546" t="s">
        <v>10004</v>
      </c>
      <c r="U546" t="s">
        <v>10005</v>
      </c>
      <c r="V546" t="s">
        <v>10006</v>
      </c>
      <c r="W546" t="s">
        <v>10007</v>
      </c>
      <c r="X546" t="s">
        <v>10008</v>
      </c>
      <c r="Y546" t="s">
        <v>10009</v>
      </c>
      <c r="Z546" t="s">
        <v>10010</v>
      </c>
      <c r="AA546" t="s">
        <v>10011</v>
      </c>
      <c r="AB546" t="s">
        <v>10012</v>
      </c>
      <c r="AC546" t="s">
        <v>10013</v>
      </c>
      <c r="AD546" t="s">
        <v>10014</v>
      </c>
      <c r="AE546" t="s">
        <v>10015</v>
      </c>
      <c r="AF546" t="s">
        <v>74</v>
      </c>
      <c r="AG546">
        <v>25</v>
      </c>
      <c r="AH546">
        <v>17</v>
      </c>
      <c r="AI546">
        <v>17</v>
      </c>
      <c r="AJ546">
        <v>0</v>
      </c>
      <c r="AK546">
        <v>11</v>
      </c>
      <c r="AL546" t="s">
        <v>91</v>
      </c>
      <c r="AM546" t="s">
        <v>92</v>
      </c>
      <c r="AN546" t="s">
        <v>137</v>
      </c>
      <c r="AO546" t="s">
        <v>94</v>
      </c>
      <c r="AP546" t="s">
        <v>119</v>
      </c>
      <c r="AQ546" t="s">
        <v>74</v>
      </c>
      <c r="AR546" t="s">
        <v>95</v>
      </c>
      <c r="AS546" t="s">
        <v>96</v>
      </c>
      <c r="AT546" t="s">
        <v>8540</v>
      </c>
      <c r="AU546">
        <v>2009</v>
      </c>
      <c r="AV546">
        <v>32</v>
      </c>
      <c r="AW546">
        <v>2</v>
      </c>
      <c r="AX546" t="s">
        <v>74</v>
      </c>
      <c r="AY546" t="s">
        <v>74</v>
      </c>
      <c r="AZ546" t="s">
        <v>74</v>
      </c>
      <c r="BA546" t="s">
        <v>74</v>
      </c>
      <c r="BB546">
        <v>181</v>
      </c>
      <c r="BC546">
        <v>186</v>
      </c>
      <c r="BD546" t="s">
        <v>74</v>
      </c>
      <c r="BE546" t="s">
        <v>10016</v>
      </c>
      <c r="BF546" t="str">
        <f>HYPERLINK("http://dx.doi.org/10.1007/s00300-008-0518-9","http://dx.doi.org/10.1007/s00300-008-0518-9")</f>
        <v>http://dx.doi.org/10.1007/s00300-008-0518-9</v>
      </c>
      <c r="BG546" t="s">
        <v>74</v>
      </c>
      <c r="BH546" t="s">
        <v>74</v>
      </c>
      <c r="BI546">
        <v>6</v>
      </c>
      <c r="BJ546" t="s">
        <v>99</v>
      </c>
      <c r="BK546" t="s">
        <v>100</v>
      </c>
      <c r="BL546" t="s">
        <v>101</v>
      </c>
      <c r="BM546" t="s">
        <v>9999</v>
      </c>
      <c r="BN546" t="s">
        <v>74</v>
      </c>
      <c r="BO546" t="s">
        <v>74</v>
      </c>
      <c r="BP546" t="s">
        <v>74</v>
      </c>
      <c r="BQ546" t="s">
        <v>74</v>
      </c>
      <c r="BR546" t="s">
        <v>103</v>
      </c>
      <c r="BS546" t="s">
        <v>10017</v>
      </c>
      <c r="BT546" t="str">
        <f>HYPERLINK("https%3A%2F%2Fwww.webofscience.com%2Fwos%2Fwoscc%2Ffull-record%2FWOS:000262439300005","View Full Record in Web of Science")</f>
        <v>View Full Record in Web of Science</v>
      </c>
    </row>
    <row r="547" spans="1:72" x14ac:dyDescent="0.15">
      <c r="A547" t="s">
        <v>72</v>
      </c>
      <c r="B547" t="s">
        <v>10018</v>
      </c>
      <c r="C547" t="s">
        <v>74</v>
      </c>
      <c r="D547" t="s">
        <v>74</v>
      </c>
      <c r="E547" t="s">
        <v>74</v>
      </c>
      <c r="F547" t="s">
        <v>10019</v>
      </c>
      <c r="G547" t="s">
        <v>74</v>
      </c>
      <c r="H547" t="s">
        <v>74</v>
      </c>
      <c r="I547" t="s">
        <v>10020</v>
      </c>
      <c r="J547" t="s">
        <v>77</v>
      </c>
      <c r="K547" t="s">
        <v>74</v>
      </c>
      <c r="L547" t="s">
        <v>74</v>
      </c>
      <c r="M547" t="s">
        <v>78</v>
      </c>
      <c r="N547" t="s">
        <v>79</v>
      </c>
      <c r="O547" t="s">
        <v>74</v>
      </c>
      <c r="P547" t="s">
        <v>74</v>
      </c>
      <c r="Q547" t="s">
        <v>74</v>
      </c>
      <c r="R547" t="s">
        <v>74</v>
      </c>
      <c r="S547" t="s">
        <v>74</v>
      </c>
      <c r="T547" t="s">
        <v>10021</v>
      </c>
      <c r="U547" t="s">
        <v>10022</v>
      </c>
      <c r="V547" t="s">
        <v>10023</v>
      </c>
      <c r="W547" t="s">
        <v>10024</v>
      </c>
      <c r="X547" t="s">
        <v>10025</v>
      </c>
      <c r="Y547" t="s">
        <v>10026</v>
      </c>
      <c r="Z547" t="s">
        <v>10027</v>
      </c>
      <c r="AA547" t="s">
        <v>10028</v>
      </c>
      <c r="AB547" t="s">
        <v>10029</v>
      </c>
      <c r="AC547" t="s">
        <v>10030</v>
      </c>
      <c r="AD547" t="s">
        <v>10030</v>
      </c>
      <c r="AE547" t="s">
        <v>10031</v>
      </c>
      <c r="AF547" t="s">
        <v>74</v>
      </c>
      <c r="AG547">
        <v>58</v>
      </c>
      <c r="AH547">
        <v>18</v>
      </c>
      <c r="AI547">
        <v>20</v>
      </c>
      <c r="AJ547">
        <v>1</v>
      </c>
      <c r="AK547">
        <v>20</v>
      </c>
      <c r="AL547" t="s">
        <v>91</v>
      </c>
      <c r="AM547" t="s">
        <v>92</v>
      </c>
      <c r="AN547" t="s">
        <v>93</v>
      </c>
      <c r="AO547" t="s">
        <v>94</v>
      </c>
      <c r="AP547" t="s">
        <v>119</v>
      </c>
      <c r="AQ547" t="s">
        <v>74</v>
      </c>
      <c r="AR547" t="s">
        <v>95</v>
      </c>
      <c r="AS547" t="s">
        <v>96</v>
      </c>
      <c r="AT547" t="s">
        <v>8540</v>
      </c>
      <c r="AU547">
        <v>2009</v>
      </c>
      <c r="AV547">
        <v>32</v>
      </c>
      <c r="AW547">
        <v>2</v>
      </c>
      <c r="AX547" t="s">
        <v>74</v>
      </c>
      <c r="AY547" t="s">
        <v>74</v>
      </c>
      <c r="AZ547" t="s">
        <v>74</v>
      </c>
      <c r="BA547" t="s">
        <v>74</v>
      </c>
      <c r="BB547">
        <v>197</v>
      </c>
      <c r="BC547">
        <v>205</v>
      </c>
      <c r="BD547" t="s">
        <v>74</v>
      </c>
      <c r="BE547" t="s">
        <v>10032</v>
      </c>
      <c r="BF547" t="str">
        <f>HYPERLINK("http://dx.doi.org/10.1007/s00300-008-0520-2","http://dx.doi.org/10.1007/s00300-008-0520-2")</f>
        <v>http://dx.doi.org/10.1007/s00300-008-0520-2</v>
      </c>
      <c r="BG547" t="s">
        <v>74</v>
      </c>
      <c r="BH547" t="s">
        <v>74</v>
      </c>
      <c r="BI547">
        <v>9</v>
      </c>
      <c r="BJ547" t="s">
        <v>99</v>
      </c>
      <c r="BK547" t="s">
        <v>100</v>
      </c>
      <c r="BL547" t="s">
        <v>101</v>
      </c>
      <c r="BM547" t="s">
        <v>9999</v>
      </c>
      <c r="BN547" t="s">
        <v>74</v>
      </c>
      <c r="BO547" t="s">
        <v>74</v>
      </c>
      <c r="BP547" t="s">
        <v>74</v>
      </c>
      <c r="BQ547" t="s">
        <v>74</v>
      </c>
      <c r="BR547" t="s">
        <v>103</v>
      </c>
      <c r="BS547" t="s">
        <v>10033</v>
      </c>
      <c r="BT547" t="str">
        <f>HYPERLINK("https%3A%2F%2Fwww.webofscience.com%2Fwos%2Fwoscc%2Ffull-record%2FWOS:000262439300007","View Full Record in Web of Science")</f>
        <v>View Full Record in Web of Science</v>
      </c>
    </row>
    <row r="548" spans="1:72" x14ac:dyDescent="0.15">
      <c r="A548" t="s">
        <v>72</v>
      </c>
      <c r="B548" t="s">
        <v>10034</v>
      </c>
      <c r="C548" t="s">
        <v>74</v>
      </c>
      <c r="D548" t="s">
        <v>74</v>
      </c>
      <c r="E548" t="s">
        <v>74</v>
      </c>
      <c r="F548" t="s">
        <v>10035</v>
      </c>
      <c r="G548" t="s">
        <v>74</v>
      </c>
      <c r="H548" t="s">
        <v>74</v>
      </c>
      <c r="I548" t="s">
        <v>10036</v>
      </c>
      <c r="J548" t="s">
        <v>77</v>
      </c>
      <c r="K548" t="s">
        <v>74</v>
      </c>
      <c r="L548" t="s">
        <v>74</v>
      </c>
      <c r="M548" t="s">
        <v>78</v>
      </c>
      <c r="N548" t="s">
        <v>79</v>
      </c>
      <c r="O548" t="s">
        <v>74</v>
      </c>
      <c r="P548" t="s">
        <v>74</v>
      </c>
      <c r="Q548" t="s">
        <v>74</v>
      </c>
      <c r="R548" t="s">
        <v>74</v>
      </c>
      <c r="S548" t="s">
        <v>74</v>
      </c>
      <c r="T548" t="s">
        <v>10037</v>
      </c>
      <c r="U548" t="s">
        <v>10038</v>
      </c>
      <c r="V548" t="s">
        <v>10039</v>
      </c>
      <c r="W548" t="s">
        <v>10040</v>
      </c>
      <c r="X548" t="s">
        <v>10041</v>
      </c>
      <c r="Y548" t="s">
        <v>10042</v>
      </c>
      <c r="Z548" t="s">
        <v>10043</v>
      </c>
      <c r="AA548" t="s">
        <v>10044</v>
      </c>
      <c r="AB548" t="s">
        <v>10045</v>
      </c>
      <c r="AC548" t="s">
        <v>10046</v>
      </c>
      <c r="AD548" t="s">
        <v>10047</v>
      </c>
      <c r="AE548" t="s">
        <v>10048</v>
      </c>
      <c r="AF548" t="s">
        <v>74</v>
      </c>
      <c r="AG548">
        <v>41</v>
      </c>
      <c r="AH548">
        <v>10</v>
      </c>
      <c r="AI548">
        <v>11</v>
      </c>
      <c r="AJ548">
        <v>0</v>
      </c>
      <c r="AK548">
        <v>13</v>
      </c>
      <c r="AL548" t="s">
        <v>91</v>
      </c>
      <c r="AM548" t="s">
        <v>92</v>
      </c>
      <c r="AN548" t="s">
        <v>93</v>
      </c>
      <c r="AO548" t="s">
        <v>94</v>
      </c>
      <c r="AP548" t="s">
        <v>74</v>
      </c>
      <c r="AQ548" t="s">
        <v>74</v>
      </c>
      <c r="AR548" t="s">
        <v>95</v>
      </c>
      <c r="AS548" t="s">
        <v>96</v>
      </c>
      <c r="AT548" t="s">
        <v>8540</v>
      </c>
      <c r="AU548">
        <v>2009</v>
      </c>
      <c r="AV548">
        <v>32</v>
      </c>
      <c r="AW548">
        <v>2</v>
      </c>
      <c r="AX548" t="s">
        <v>74</v>
      </c>
      <c r="AY548" t="s">
        <v>74</v>
      </c>
      <c r="AZ548" t="s">
        <v>74</v>
      </c>
      <c r="BA548" t="s">
        <v>74</v>
      </c>
      <c r="BB548">
        <v>215</v>
      </c>
      <c r="BC548">
        <v>223</v>
      </c>
      <c r="BD548" t="s">
        <v>74</v>
      </c>
      <c r="BE548" t="s">
        <v>10049</v>
      </c>
      <c r="BF548" t="str">
        <f>HYPERLINK("http://dx.doi.org/10.1007/s00300-008-0522-0","http://dx.doi.org/10.1007/s00300-008-0522-0")</f>
        <v>http://dx.doi.org/10.1007/s00300-008-0522-0</v>
      </c>
      <c r="BG548" t="s">
        <v>74</v>
      </c>
      <c r="BH548" t="s">
        <v>74</v>
      </c>
      <c r="BI548">
        <v>9</v>
      </c>
      <c r="BJ548" t="s">
        <v>99</v>
      </c>
      <c r="BK548" t="s">
        <v>100</v>
      </c>
      <c r="BL548" t="s">
        <v>101</v>
      </c>
      <c r="BM548" t="s">
        <v>9999</v>
      </c>
      <c r="BN548" t="s">
        <v>74</v>
      </c>
      <c r="BO548" t="s">
        <v>74</v>
      </c>
      <c r="BP548" t="s">
        <v>74</v>
      </c>
      <c r="BQ548" t="s">
        <v>74</v>
      </c>
      <c r="BR548" t="s">
        <v>103</v>
      </c>
      <c r="BS548" t="s">
        <v>10050</v>
      </c>
      <c r="BT548" t="str">
        <f>HYPERLINK("https%3A%2F%2Fwww.webofscience.com%2Fwos%2Fwoscc%2Ffull-record%2FWOS:000262439300009","View Full Record in Web of Science")</f>
        <v>View Full Record in Web of Science</v>
      </c>
    </row>
    <row r="549" spans="1:72" x14ac:dyDescent="0.15">
      <c r="A549" t="s">
        <v>72</v>
      </c>
      <c r="B549" t="s">
        <v>10051</v>
      </c>
      <c r="C549" t="s">
        <v>74</v>
      </c>
      <c r="D549" t="s">
        <v>74</v>
      </c>
      <c r="E549" t="s">
        <v>74</v>
      </c>
      <c r="F549" t="s">
        <v>10052</v>
      </c>
      <c r="G549" t="s">
        <v>74</v>
      </c>
      <c r="H549" t="s">
        <v>74</v>
      </c>
      <c r="I549" t="s">
        <v>10053</v>
      </c>
      <c r="J549" t="s">
        <v>77</v>
      </c>
      <c r="K549" t="s">
        <v>74</v>
      </c>
      <c r="L549" t="s">
        <v>74</v>
      </c>
      <c r="M549" t="s">
        <v>78</v>
      </c>
      <c r="N549" t="s">
        <v>79</v>
      </c>
      <c r="O549" t="s">
        <v>74</v>
      </c>
      <c r="P549" t="s">
        <v>74</v>
      </c>
      <c r="Q549" t="s">
        <v>74</v>
      </c>
      <c r="R549" t="s">
        <v>74</v>
      </c>
      <c r="S549" t="s">
        <v>74</v>
      </c>
      <c r="T549" t="s">
        <v>10054</v>
      </c>
      <c r="U549" t="s">
        <v>10055</v>
      </c>
      <c r="V549" t="s">
        <v>10056</v>
      </c>
      <c r="W549" t="s">
        <v>10057</v>
      </c>
      <c r="X549" t="s">
        <v>10058</v>
      </c>
      <c r="Y549" t="s">
        <v>10059</v>
      </c>
      <c r="Z549" t="s">
        <v>10060</v>
      </c>
      <c r="AA549" t="s">
        <v>74</v>
      </c>
      <c r="AB549" t="s">
        <v>74</v>
      </c>
      <c r="AC549" t="s">
        <v>10061</v>
      </c>
      <c r="AD549" t="s">
        <v>10062</v>
      </c>
      <c r="AE549" t="s">
        <v>10063</v>
      </c>
      <c r="AF549" t="s">
        <v>74</v>
      </c>
      <c r="AG549">
        <v>21</v>
      </c>
      <c r="AH549">
        <v>26</v>
      </c>
      <c r="AI549">
        <v>30</v>
      </c>
      <c r="AJ549">
        <v>2</v>
      </c>
      <c r="AK549">
        <v>117</v>
      </c>
      <c r="AL549" t="s">
        <v>91</v>
      </c>
      <c r="AM549" t="s">
        <v>92</v>
      </c>
      <c r="AN549" t="s">
        <v>137</v>
      </c>
      <c r="AO549" t="s">
        <v>94</v>
      </c>
      <c r="AP549" t="s">
        <v>119</v>
      </c>
      <c r="AQ549" t="s">
        <v>74</v>
      </c>
      <c r="AR549" t="s">
        <v>95</v>
      </c>
      <c r="AS549" t="s">
        <v>96</v>
      </c>
      <c r="AT549" t="s">
        <v>8540</v>
      </c>
      <c r="AU549">
        <v>2009</v>
      </c>
      <c r="AV549">
        <v>32</v>
      </c>
      <c r="AW549">
        <v>2</v>
      </c>
      <c r="AX549" t="s">
        <v>74</v>
      </c>
      <c r="AY549" t="s">
        <v>74</v>
      </c>
      <c r="AZ549" t="s">
        <v>74</v>
      </c>
      <c r="BA549" t="s">
        <v>74</v>
      </c>
      <c r="BB549">
        <v>263</v>
      </c>
      <c r="BC549">
        <v>270</v>
      </c>
      <c r="BD549" t="s">
        <v>74</v>
      </c>
      <c r="BE549" t="s">
        <v>10064</v>
      </c>
      <c r="BF549" t="str">
        <f>HYPERLINK("http://dx.doi.org/10.1007/s00300-008-0527-8","http://dx.doi.org/10.1007/s00300-008-0527-8")</f>
        <v>http://dx.doi.org/10.1007/s00300-008-0527-8</v>
      </c>
      <c r="BG549" t="s">
        <v>74</v>
      </c>
      <c r="BH549" t="s">
        <v>74</v>
      </c>
      <c r="BI549">
        <v>8</v>
      </c>
      <c r="BJ549" t="s">
        <v>99</v>
      </c>
      <c r="BK549" t="s">
        <v>100</v>
      </c>
      <c r="BL549" t="s">
        <v>101</v>
      </c>
      <c r="BM549" t="s">
        <v>9999</v>
      </c>
      <c r="BN549" t="s">
        <v>74</v>
      </c>
      <c r="BO549" t="s">
        <v>74</v>
      </c>
      <c r="BP549" t="s">
        <v>74</v>
      </c>
      <c r="BQ549" t="s">
        <v>74</v>
      </c>
      <c r="BR549" t="s">
        <v>103</v>
      </c>
      <c r="BS549" t="s">
        <v>10065</v>
      </c>
      <c r="BT549" t="str">
        <f>HYPERLINK("https%3A%2F%2Fwww.webofscience.com%2Fwos%2Fwoscc%2Ffull-record%2FWOS:000262439300014","View Full Record in Web of Science")</f>
        <v>View Full Record in Web of Science</v>
      </c>
    </row>
    <row r="550" spans="1:72" x14ac:dyDescent="0.15">
      <c r="A550" t="s">
        <v>72</v>
      </c>
      <c r="B550" t="s">
        <v>10066</v>
      </c>
      <c r="C550" t="s">
        <v>74</v>
      </c>
      <c r="D550" t="s">
        <v>74</v>
      </c>
      <c r="E550" t="s">
        <v>74</v>
      </c>
      <c r="F550" t="s">
        <v>10067</v>
      </c>
      <c r="G550" t="s">
        <v>74</v>
      </c>
      <c r="H550" t="s">
        <v>74</v>
      </c>
      <c r="I550" t="s">
        <v>10068</v>
      </c>
      <c r="J550" t="s">
        <v>77</v>
      </c>
      <c r="K550" t="s">
        <v>74</v>
      </c>
      <c r="L550" t="s">
        <v>74</v>
      </c>
      <c r="M550" t="s">
        <v>78</v>
      </c>
      <c r="N550" t="s">
        <v>79</v>
      </c>
      <c r="O550" t="s">
        <v>74</v>
      </c>
      <c r="P550" t="s">
        <v>74</v>
      </c>
      <c r="Q550" t="s">
        <v>74</v>
      </c>
      <c r="R550" t="s">
        <v>74</v>
      </c>
      <c r="S550" t="s">
        <v>74</v>
      </c>
      <c r="T550" t="s">
        <v>10069</v>
      </c>
      <c r="U550" t="s">
        <v>10070</v>
      </c>
      <c r="V550" t="s">
        <v>10071</v>
      </c>
      <c r="W550" t="s">
        <v>10072</v>
      </c>
      <c r="X550" t="s">
        <v>10073</v>
      </c>
      <c r="Y550" t="s">
        <v>10074</v>
      </c>
      <c r="Z550" t="s">
        <v>10075</v>
      </c>
      <c r="AA550" t="s">
        <v>10076</v>
      </c>
      <c r="AB550" t="s">
        <v>10077</v>
      </c>
      <c r="AC550" t="s">
        <v>10078</v>
      </c>
      <c r="AD550" t="s">
        <v>10079</v>
      </c>
      <c r="AE550" t="s">
        <v>10080</v>
      </c>
      <c r="AF550" t="s">
        <v>74</v>
      </c>
      <c r="AG550">
        <v>40</v>
      </c>
      <c r="AH550">
        <v>9</v>
      </c>
      <c r="AI550">
        <v>9</v>
      </c>
      <c r="AJ550">
        <v>0</v>
      </c>
      <c r="AK550">
        <v>12</v>
      </c>
      <c r="AL550" t="s">
        <v>91</v>
      </c>
      <c r="AM550" t="s">
        <v>92</v>
      </c>
      <c r="AN550" t="s">
        <v>93</v>
      </c>
      <c r="AO550" t="s">
        <v>94</v>
      </c>
      <c r="AP550" t="s">
        <v>119</v>
      </c>
      <c r="AQ550" t="s">
        <v>74</v>
      </c>
      <c r="AR550" t="s">
        <v>95</v>
      </c>
      <c r="AS550" t="s">
        <v>96</v>
      </c>
      <c r="AT550" t="s">
        <v>8540</v>
      </c>
      <c r="AU550">
        <v>2009</v>
      </c>
      <c r="AV550">
        <v>32</v>
      </c>
      <c r="AW550">
        <v>2</v>
      </c>
      <c r="AX550" t="s">
        <v>74</v>
      </c>
      <c r="AY550" t="s">
        <v>74</v>
      </c>
      <c r="AZ550" t="s">
        <v>74</v>
      </c>
      <c r="BA550" t="s">
        <v>74</v>
      </c>
      <c r="BB550">
        <v>271</v>
      </c>
      <c r="BC550">
        <v>280</v>
      </c>
      <c r="BD550" t="s">
        <v>74</v>
      </c>
      <c r="BE550" t="s">
        <v>10081</v>
      </c>
      <c r="BF550" t="str">
        <f>HYPERLINK("http://dx.doi.org/10.1007/s00300-008-0528-7","http://dx.doi.org/10.1007/s00300-008-0528-7")</f>
        <v>http://dx.doi.org/10.1007/s00300-008-0528-7</v>
      </c>
      <c r="BG550" t="s">
        <v>74</v>
      </c>
      <c r="BH550" t="s">
        <v>74</v>
      </c>
      <c r="BI550">
        <v>10</v>
      </c>
      <c r="BJ550" t="s">
        <v>99</v>
      </c>
      <c r="BK550" t="s">
        <v>100</v>
      </c>
      <c r="BL550" t="s">
        <v>101</v>
      </c>
      <c r="BM550" t="s">
        <v>9999</v>
      </c>
      <c r="BN550" t="s">
        <v>74</v>
      </c>
      <c r="BO550" t="s">
        <v>74</v>
      </c>
      <c r="BP550" t="s">
        <v>74</v>
      </c>
      <c r="BQ550" t="s">
        <v>74</v>
      </c>
      <c r="BR550" t="s">
        <v>103</v>
      </c>
      <c r="BS550" t="s">
        <v>10082</v>
      </c>
      <c r="BT550" t="str">
        <f>HYPERLINK("https%3A%2F%2Fwww.webofscience.com%2Fwos%2Fwoscc%2Ffull-record%2FWOS:000262439300015","View Full Record in Web of Science")</f>
        <v>View Full Record in Web of Science</v>
      </c>
    </row>
    <row r="551" spans="1:72" x14ac:dyDescent="0.15">
      <c r="A551" t="s">
        <v>72</v>
      </c>
      <c r="B551" t="s">
        <v>10083</v>
      </c>
      <c r="C551" t="s">
        <v>74</v>
      </c>
      <c r="D551" t="s">
        <v>74</v>
      </c>
      <c r="E551" t="s">
        <v>74</v>
      </c>
      <c r="F551" t="s">
        <v>10084</v>
      </c>
      <c r="G551" t="s">
        <v>74</v>
      </c>
      <c r="H551" t="s">
        <v>74</v>
      </c>
      <c r="I551" t="s">
        <v>10085</v>
      </c>
      <c r="J551" t="s">
        <v>77</v>
      </c>
      <c r="K551" t="s">
        <v>74</v>
      </c>
      <c r="L551" t="s">
        <v>74</v>
      </c>
      <c r="M551" t="s">
        <v>78</v>
      </c>
      <c r="N551" t="s">
        <v>79</v>
      </c>
      <c r="O551" t="s">
        <v>74</v>
      </c>
      <c r="P551" t="s">
        <v>74</v>
      </c>
      <c r="Q551" t="s">
        <v>74</v>
      </c>
      <c r="R551" t="s">
        <v>74</v>
      </c>
      <c r="S551" t="s">
        <v>74</v>
      </c>
      <c r="T551" t="s">
        <v>10086</v>
      </c>
      <c r="U551" t="s">
        <v>10087</v>
      </c>
      <c r="V551" t="s">
        <v>10088</v>
      </c>
      <c r="W551" t="s">
        <v>10089</v>
      </c>
      <c r="X551" t="s">
        <v>10090</v>
      </c>
      <c r="Y551" t="s">
        <v>10091</v>
      </c>
      <c r="Z551" t="s">
        <v>10092</v>
      </c>
      <c r="AA551" t="s">
        <v>10093</v>
      </c>
      <c r="AB551" t="s">
        <v>10094</v>
      </c>
      <c r="AC551" t="s">
        <v>10095</v>
      </c>
      <c r="AD551" t="s">
        <v>10096</v>
      </c>
      <c r="AE551" t="s">
        <v>10097</v>
      </c>
      <c r="AF551" t="s">
        <v>74</v>
      </c>
      <c r="AG551">
        <v>16</v>
      </c>
      <c r="AH551">
        <v>6</v>
      </c>
      <c r="AI551">
        <v>6</v>
      </c>
      <c r="AJ551">
        <v>0</v>
      </c>
      <c r="AK551">
        <v>11</v>
      </c>
      <c r="AL551" t="s">
        <v>91</v>
      </c>
      <c r="AM551" t="s">
        <v>92</v>
      </c>
      <c r="AN551" t="s">
        <v>137</v>
      </c>
      <c r="AO551" t="s">
        <v>94</v>
      </c>
      <c r="AP551" t="s">
        <v>119</v>
      </c>
      <c r="AQ551" t="s">
        <v>74</v>
      </c>
      <c r="AR551" t="s">
        <v>95</v>
      </c>
      <c r="AS551" t="s">
        <v>96</v>
      </c>
      <c r="AT551" t="s">
        <v>8540</v>
      </c>
      <c r="AU551">
        <v>2009</v>
      </c>
      <c r="AV551">
        <v>32</v>
      </c>
      <c r="AW551">
        <v>2</v>
      </c>
      <c r="AX551" t="s">
        <v>74</v>
      </c>
      <c r="AY551" t="s">
        <v>74</v>
      </c>
      <c r="AZ551" t="s">
        <v>74</v>
      </c>
      <c r="BA551" t="s">
        <v>74</v>
      </c>
      <c r="BB551">
        <v>287</v>
      </c>
      <c r="BC551">
        <v>293</v>
      </c>
      <c r="BD551" t="s">
        <v>74</v>
      </c>
      <c r="BE551" t="s">
        <v>10098</v>
      </c>
      <c r="BF551" t="str">
        <f>HYPERLINK("http://dx.doi.org/10.1007/s00300-008-0554-5","http://dx.doi.org/10.1007/s00300-008-0554-5")</f>
        <v>http://dx.doi.org/10.1007/s00300-008-0554-5</v>
      </c>
      <c r="BG551" t="s">
        <v>74</v>
      </c>
      <c r="BH551" t="s">
        <v>74</v>
      </c>
      <c r="BI551">
        <v>7</v>
      </c>
      <c r="BJ551" t="s">
        <v>99</v>
      </c>
      <c r="BK551" t="s">
        <v>100</v>
      </c>
      <c r="BL551" t="s">
        <v>101</v>
      </c>
      <c r="BM551" t="s">
        <v>9999</v>
      </c>
      <c r="BN551" t="s">
        <v>74</v>
      </c>
      <c r="BO551" t="s">
        <v>217</v>
      </c>
      <c r="BP551" t="s">
        <v>74</v>
      </c>
      <c r="BQ551" t="s">
        <v>74</v>
      </c>
      <c r="BR551" t="s">
        <v>103</v>
      </c>
      <c r="BS551" t="s">
        <v>10099</v>
      </c>
      <c r="BT551" t="str">
        <f>HYPERLINK("https%3A%2F%2Fwww.webofscience.com%2Fwos%2Fwoscc%2Ffull-record%2FWOS:000262439300017","View Full Record in Web of Science")</f>
        <v>View Full Record in Web of Science</v>
      </c>
    </row>
    <row r="552" spans="1:72" x14ac:dyDescent="0.15">
      <c r="A552" t="s">
        <v>72</v>
      </c>
      <c r="B552" t="s">
        <v>10100</v>
      </c>
      <c r="C552" t="s">
        <v>74</v>
      </c>
      <c r="D552" t="s">
        <v>74</v>
      </c>
      <c r="E552" t="s">
        <v>74</v>
      </c>
      <c r="F552" t="s">
        <v>10101</v>
      </c>
      <c r="G552" t="s">
        <v>74</v>
      </c>
      <c r="H552" t="s">
        <v>74</v>
      </c>
      <c r="I552" t="s">
        <v>10102</v>
      </c>
      <c r="J552" t="s">
        <v>77</v>
      </c>
      <c r="K552" t="s">
        <v>74</v>
      </c>
      <c r="L552" t="s">
        <v>74</v>
      </c>
      <c r="M552" t="s">
        <v>78</v>
      </c>
      <c r="N552" t="s">
        <v>79</v>
      </c>
      <c r="O552" t="s">
        <v>74</v>
      </c>
      <c r="P552" t="s">
        <v>74</v>
      </c>
      <c r="Q552" t="s">
        <v>74</v>
      </c>
      <c r="R552" t="s">
        <v>74</v>
      </c>
      <c r="S552" t="s">
        <v>74</v>
      </c>
      <c r="T552" t="s">
        <v>10103</v>
      </c>
      <c r="U552" t="s">
        <v>10104</v>
      </c>
      <c r="V552" t="s">
        <v>10105</v>
      </c>
      <c r="W552" t="s">
        <v>10106</v>
      </c>
      <c r="X552" t="s">
        <v>7614</v>
      </c>
      <c r="Y552" t="s">
        <v>10107</v>
      </c>
      <c r="Z552" t="s">
        <v>10108</v>
      </c>
      <c r="AA552" t="s">
        <v>10109</v>
      </c>
      <c r="AB552" t="s">
        <v>10110</v>
      </c>
      <c r="AC552" t="s">
        <v>10111</v>
      </c>
      <c r="AD552" t="s">
        <v>10111</v>
      </c>
      <c r="AE552" t="s">
        <v>10112</v>
      </c>
      <c r="AF552" t="s">
        <v>74</v>
      </c>
      <c r="AG552">
        <v>11</v>
      </c>
      <c r="AH552">
        <v>3</v>
      </c>
      <c r="AI552">
        <v>4</v>
      </c>
      <c r="AJ552">
        <v>0</v>
      </c>
      <c r="AK552">
        <v>18</v>
      </c>
      <c r="AL552" t="s">
        <v>91</v>
      </c>
      <c r="AM552" t="s">
        <v>92</v>
      </c>
      <c r="AN552" t="s">
        <v>93</v>
      </c>
      <c r="AO552" t="s">
        <v>94</v>
      </c>
      <c r="AP552" t="s">
        <v>74</v>
      </c>
      <c r="AQ552" t="s">
        <v>74</v>
      </c>
      <c r="AR552" t="s">
        <v>95</v>
      </c>
      <c r="AS552" t="s">
        <v>96</v>
      </c>
      <c r="AT552" t="s">
        <v>8540</v>
      </c>
      <c r="AU552">
        <v>2009</v>
      </c>
      <c r="AV552">
        <v>32</v>
      </c>
      <c r="AW552">
        <v>2</v>
      </c>
      <c r="AX552" t="s">
        <v>74</v>
      </c>
      <c r="AY552" t="s">
        <v>74</v>
      </c>
      <c r="AZ552" t="s">
        <v>74</v>
      </c>
      <c r="BA552" t="s">
        <v>74</v>
      </c>
      <c r="BB552">
        <v>303</v>
      </c>
      <c r="BC552">
        <v>305</v>
      </c>
      <c r="BD552" t="s">
        <v>74</v>
      </c>
      <c r="BE552" t="s">
        <v>10113</v>
      </c>
      <c r="BF552" t="str">
        <f>HYPERLINK("http://dx.doi.org/10.1007/s00300-008-0566-1","http://dx.doi.org/10.1007/s00300-008-0566-1")</f>
        <v>http://dx.doi.org/10.1007/s00300-008-0566-1</v>
      </c>
      <c r="BG552" t="s">
        <v>74</v>
      </c>
      <c r="BH552" t="s">
        <v>74</v>
      </c>
      <c r="BI552">
        <v>3</v>
      </c>
      <c r="BJ552" t="s">
        <v>99</v>
      </c>
      <c r="BK552" t="s">
        <v>100</v>
      </c>
      <c r="BL552" t="s">
        <v>101</v>
      </c>
      <c r="BM552" t="s">
        <v>9999</v>
      </c>
      <c r="BN552" t="s">
        <v>74</v>
      </c>
      <c r="BO552" t="s">
        <v>1106</v>
      </c>
      <c r="BP552" t="s">
        <v>74</v>
      </c>
      <c r="BQ552" t="s">
        <v>74</v>
      </c>
      <c r="BR552" t="s">
        <v>103</v>
      </c>
      <c r="BS552" t="s">
        <v>10114</v>
      </c>
      <c r="BT552" t="str">
        <f>HYPERLINK("https%3A%2F%2Fwww.webofscience.com%2Fwos%2Fwoscc%2Ffull-record%2FWOS:000262439300019","View Full Record in Web of Science")</f>
        <v>View Full Record in Web of Science</v>
      </c>
    </row>
    <row r="553" spans="1:72" x14ac:dyDescent="0.15">
      <c r="A553" t="s">
        <v>72</v>
      </c>
      <c r="B553" t="s">
        <v>10115</v>
      </c>
      <c r="C553" t="s">
        <v>74</v>
      </c>
      <c r="D553" t="s">
        <v>74</v>
      </c>
      <c r="E553" t="s">
        <v>74</v>
      </c>
      <c r="F553" t="s">
        <v>10116</v>
      </c>
      <c r="G553" t="s">
        <v>74</v>
      </c>
      <c r="H553" t="s">
        <v>74</v>
      </c>
      <c r="I553" t="s">
        <v>10117</v>
      </c>
      <c r="J553" t="s">
        <v>77</v>
      </c>
      <c r="K553" t="s">
        <v>74</v>
      </c>
      <c r="L553" t="s">
        <v>74</v>
      </c>
      <c r="M553" t="s">
        <v>78</v>
      </c>
      <c r="N553" t="s">
        <v>79</v>
      </c>
      <c r="O553" t="s">
        <v>74</v>
      </c>
      <c r="P553" t="s">
        <v>74</v>
      </c>
      <c r="Q553" t="s">
        <v>74</v>
      </c>
      <c r="R553" t="s">
        <v>74</v>
      </c>
      <c r="S553" t="s">
        <v>74</v>
      </c>
      <c r="T553" t="s">
        <v>10118</v>
      </c>
      <c r="U553" t="s">
        <v>10119</v>
      </c>
      <c r="V553" t="s">
        <v>10120</v>
      </c>
      <c r="W553" t="s">
        <v>10121</v>
      </c>
      <c r="X553" t="s">
        <v>10122</v>
      </c>
      <c r="Y553" t="s">
        <v>85</v>
      </c>
      <c r="Z553" t="s">
        <v>86</v>
      </c>
      <c r="AA553" t="s">
        <v>74</v>
      </c>
      <c r="AB553" t="s">
        <v>87</v>
      </c>
      <c r="AC553" t="s">
        <v>74</v>
      </c>
      <c r="AD553" t="s">
        <v>74</v>
      </c>
      <c r="AE553" t="s">
        <v>74</v>
      </c>
      <c r="AF553" t="s">
        <v>74</v>
      </c>
      <c r="AG553">
        <v>25</v>
      </c>
      <c r="AH553">
        <v>23</v>
      </c>
      <c r="AI553">
        <v>29</v>
      </c>
      <c r="AJ553">
        <v>2</v>
      </c>
      <c r="AK553">
        <v>145</v>
      </c>
      <c r="AL553" t="s">
        <v>91</v>
      </c>
      <c r="AM553" t="s">
        <v>92</v>
      </c>
      <c r="AN553" t="s">
        <v>93</v>
      </c>
      <c r="AO553" t="s">
        <v>94</v>
      </c>
      <c r="AP553" t="s">
        <v>74</v>
      </c>
      <c r="AQ553" t="s">
        <v>74</v>
      </c>
      <c r="AR553" t="s">
        <v>95</v>
      </c>
      <c r="AS553" t="s">
        <v>96</v>
      </c>
      <c r="AT553" t="s">
        <v>8540</v>
      </c>
      <c r="AU553">
        <v>2009</v>
      </c>
      <c r="AV553">
        <v>32</v>
      </c>
      <c r="AW553">
        <v>2</v>
      </c>
      <c r="AX553" t="s">
        <v>74</v>
      </c>
      <c r="AY553" t="s">
        <v>74</v>
      </c>
      <c r="AZ553" t="s">
        <v>74</v>
      </c>
      <c r="BA553" t="s">
        <v>74</v>
      </c>
      <c r="BB553">
        <v>307</v>
      </c>
      <c r="BC553">
        <v>310</v>
      </c>
      <c r="BD553" t="s">
        <v>74</v>
      </c>
      <c r="BE553" t="s">
        <v>10123</v>
      </c>
      <c r="BF553" t="str">
        <f>HYPERLINK("http://dx.doi.org/10.1007/s00300-008-0567-0","http://dx.doi.org/10.1007/s00300-008-0567-0")</f>
        <v>http://dx.doi.org/10.1007/s00300-008-0567-0</v>
      </c>
      <c r="BG553" t="s">
        <v>74</v>
      </c>
      <c r="BH553" t="s">
        <v>74</v>
      </c>
      <c r="BI553">
        <v>4</v>
      </c>
      <c r="BJ553" t="s">
        <v>99</v>
      </c>
      <c r="BK553" t="s">
        <v>100</v>
      </c>
      <c r="BL553" t="s">
        <v>101</v>
      </c>
      <c r="BM553" t="s">
        <v>9999</v>
      </c>
      <c r="BN553" t="s">
        <v>74</v>
      </c>
      <c r="BO553" t="s">
        <v>217</v>
      </c>
      <c r="BP553" t="s">
        <v>74</v>
      </c>
      <c r="BQ553" t="s">
        <v>74</v>
      </c>
      <c r="BR553" t="s">
        <v>103</v>
      </c>
      <c r="BS553" t="s">
        <v>10124</v>
      </c>
      <c r="BT553" t="str">
        <f>HYPERLINK("https%3A%2F%2Fwww.webofscience.com%2Fwos%2Fwoscc%2Ffull-record%2FWOS:000262439300020","View Full Record in Web of Science")</f>
        <v>View Full Record in Web of Science</v>
      </c>
    </row>
    <row r="554" spans="1:72" x14ac:dyDescent="0.15">
      <c r="A554" t="s">
        <v>72</v>
      </c>
      <c r="B554" t="s">
        <v>10125</v>
      </c>
      <c r="C554" t="s">
        <v>74</v>
      </c>
      <c r="D554" t="s">
        <v>74</v>
      </c>
      <c r="E554" t="s">
        <v>74</v>
      </c>
      <c r="F554" t="s">
        <v>10126</v>
      </c>
      <c r="G554" t="s">
        <v>74</v>
      </c>
      <c r="H554" t="s">
        <v>74</v>
      </c>
      <c r="I554" t="s">
        <v>10127</v>
      </c>
      <c r="J554" t="s">
        <v>10128</v>
      </c>
      <c r="K554" t="s">
        <v>74</v>
      </c>
      <c r="L554" t="s">
        <v>74</v>
      </c>
      <c r="M554" t="s">
        <v>78</v>
      </c>
      <c r="N554" t="s">
        <v>172</v>
      </c>
      <c r="O554" t="s">
        <v>74</v>
      </c>
      <c r="P554" t="s">
        <v>74</v>
      </c>
      <c r="Q554" t="s">
        <v>74</v>
      </c>
      <c r="R554" t="s">
        <v>74</v>
      </c>
      <c r="S554" t="s">
        <v>74</v>
      </c>
      <c r="T554" t="s">
        <v>10129</v>
      </c>
      <c r="U554" t="s">
        <v>10130</v>
      </c>
      <c r="V554" t="s">
        <v>10131</v>
      </c>
      <c r="W554" t="s">
        <v>10132</v>
      </c>
      <c r="X554" t="s">
        <v>10133</v>
      </c>
      <c r="Y554" t="s">
        <v>10134</v>
      </c>
      <c r="Z554" t="s">
        <v>10135</v>
      </c>
      <c r="AA554" t="s">
        <v>10136</v>
      </c>
      <c r="AB554" t="s">
        <v>10137</v>
      </c>
      <c r="AC554" t="s">
        <v>10138</v>
      </c>
      <c r="AD554" t="s">
        <v>1593</v>
      </c>
      <c r="AE554" t="s">
        <v>74</v>
      </c>
      <c r="AF554" t="s">
        <v>74</v>
      </c>
      <c r="AG554">
        <v>115</v>
      </c>
      <c r="AH554">
        <v>28</v>
      </c>
      <c r="AI554">
        <v>33</v>
      </c>
      <c r="AJ554">
        <v>1</v>
      </c>
      <c r="AK554">
        <v>25</v>
      </c>
      <c r="AL554" t="s">
        <v>9306</v>
      </c>
      <c r="AM554" t="s">
        <v>2924</v>
      </c>
      <c r="AN554" t="s">
        <v>9307</v>
      </c>
      <c r="AO554" t="s">
        <v>10139</v>
      </c>
      <c r="AP554" t="s">
        <v>10140</v>
      </c>
      <c r="AQ554" t="s">
        <v>74</v>
      </c>
      <c r="AR554" t="s">
        <v>10141</v>
      </c>
      <c r="AS554" t="s">
        <v>10142</v>
      </c>
      <c r="AT554" t="s">
        <v>8540</v>
      </c>
      <c r="AU554">
        <v>2009</v>
      </c>
      <c r="AV554">
        <v>33</v>
      </c>
      <c r="AW554">
        <v>1</v>
      </c>
      <c r="AX554" t="s">
        <v>74</v>
      </c>
      <c r="AY554" t="s">
        <v>74</v>
      </c>
      <c r="AZ554" t="s">
        <v>74</v>
      </c>
      <c r="BA554" t="s">
        <v>74</v>
      </c>
      <c r="BB554">
        <v>80</v>
      </c>
      <c r="BC554">
        <v>102</v>
      </c>
      <c r="BD554" t="s">
        <v>74</v>
      </c>
      <c r="BE554" t="s">
        <v>10143</v>
      </c>
      <c r="BF554" t="str">
        <f>HYPERLINK("http://dx.doi.org/10.1177/0309133309105034","http://dx.doi.org/10.1177/0309133309105034")</f>
        <v>http://dx.doi.org/10.1177/0309133309105034</v>
      </c>
      <c r="BG554" t="s">
        <v>74</v>
      </c>
      <c r="BH554" t="s">
        <v>74</v>
      </c>
      <c r="BI554">
        <v>23</v>
      </c>
      <c r="BJ554" t="s">
        <v>312</v>
      </c>
      <c r="BK554" t="s">
        <v>100</v>
      </c>
      <c r="BL554" t="s">
        <v>313</v>
      </c>
      <c r="BM554" t="s">
        <v>10144</v>
      </c>
      <c r="BN554" t="s">
        <v>74</v>
      </c>
      <c r="BO554" t="s">
        <v>74</v>
      </c>
      <c r="BP554" t="s">
        <v>74</v>
      </c>
      <c r="BQ554" t="s">
        <v>74</v>
      </c>
      <c r="BR554" t="s">
        <v>103</v>
      </c>
      <c r="BS554" t="s">
        <v>10145</v>
      </c>
      <c r="BT554" t="str">
        <f>HYPERLINK("https%3A%2F%2Fwww.webofscience.com%2Fwos%2Fwoscc%2Ffull-record%2FWOS:000267087900005","View Full Record in Web of Science")</f>
        <v>View Full Record in Web of Science</v>
      </c>
    </row>
    <row r="555" spans="1:72" x14ac:dyDescent="0.15">
      <c r="A555" t="s">
        <v>72</v>
      </c>
      <c r="B555" t="s">
        <v>10146</v>
      </c>
      <c r="C555" t="s">
        <v>74</v>
      </c>
      <c r="D555" t="s">
        <v>74</v>
      </c>
      <c r="E555" t="s">
        <v>74</v>
      </c>
      <c r="F555" t="s">
        <v>10147</v>
      </c>
      <c r="G555" t="s">
        <v>74</v>
      </c>
      <c r="H555" t="s">
        <v>74</v>
      </c>
      <c r="I555" t="s">
        <v>10148</v>
      </c>
      <c r="J555" t="s">
        <v>10149</v>
      </c>
      <c r="K555" t="s">
        <v>74</v>
      </c>
      <c r="L555" t="s">
        <v>74</v>
      </c>
      <c r="M555" t="s">
        <v>78</v>
      </c>
      <c r="N555" t="s">
        <v>79</v>
      </c>
      <c r="O555" t="s">
        <v>74</v>
      </c>
      <c r="P555" t="s">
        <v>74</v>
      </c>
      <c r="Q555" t="s">
        <v>74</v>
      </c>
      <c r="R555" t="s">
        <v>74</v>
      </c>
      <c r="S555" t="s">
        <v>74</v>
      </c>
      <c r="T555" t="s">
        <v>10150</v>
      </c>
      <c r="U555" t="s">
        <v>10151</v>
      </c>
      <c r="V555" t="s">
        <v>10152</v>
      </c>
      <c r="W555" t="s">
        <v>10153</v>
      </c>
      <c r="X555" t="s">
        <v>10154</v>
      </c>
      <c r="Y555" t="s">
        <v>10155</v>
      </c>
      <c r="Z555" t="s">
        <v>10156</v>
      </c>
      <c r="AA555" t="s">
        <v>74</v>
      </c>
      <c r="AB555" t="s">
        <v>10157</v>
      </c>
      <c r="AC555" t="s">
        <v>10158</v>
      </c>
      <c r="AD555" t="s">
        <v>10159</v>
      </c>
      <c r="AE555" t="s">
        <v>10160</v>
      </c>
      <c r="AF555" t="s">
        <v>74</v>
      </c>
      <c r="AG555">
        <v>51</v>
      </c>
      <c r="AH555">
        <v>26</v>
      </c>
      <c r="AI555">
        <v>37</v>
      </c>
      <c r="AJ555">
        <v>0</v>
      </c>
      <c r="AK555">
        <v>3</v>
      </c>
      <c r="AL555" t="s">
        <v>2124</v>
      </c>
      <c r="AM555" t="s">
        <v>1848</v>
      </c>
      <c r="AN555" t="s">
        <v>1849</v>
      </c>
      <c r="AO555" t="s">
        <v>10161</v>
      </c>
      <c r="AP555" t="s">
        <v>74</v>
      </c>
      <c r="AQ555" t="s">
        <v>74</v>
      </c>
      <c r="AR555" t="s">
        <v>10162</v>
      </c>
      <c r="AS555" t="s">
        <v>10163</v>
      </c>
      <c r="AT555" t="s">
        <v>10164</v>
      </c>
      <c r="AU555">
        <v>2009</v>
      </c>
      <c r="AV555">
        <v>74</v>
      </c>
      <c r="AW555">
        <v>2</v>
      </c>
      <c r="AX555" t="s">
        <v>74</v>
      </c>
      <c r="AY555" t="s">
        <v>74</v>
      </c>
      <c r="AZ555" t="s">
        <v>74</v>
      </c>
      <c r="BA555" t="s">
        <v>74</v>
      </c>
      <c r="BB555">
        <v>489</v>
      </c>
      <c r="BC555">
        <v>496</v>
      </c>
      <c r="BD555" t="s">
        <v>74</v>
      </c>
      <c r="BE555" t="s">
        <v>10165</v>
      </c>
      <c r="BF555" t="str">
        <f>HYPERLINK("http://dx.doi.org/10.1002/prot.22175","http://dx.doi.org/10.1002/prot.22175")</f>
        <v>http://dx.doi.org/10.1002/prot.22175</v>
      </c>
      <c r="BG555" t="s">
        <v>74</v>
      </c>
      <c r="BH555" t="s">
        <v>74</v>
      </c>
      <c r="BI555">
        <v>8</v>
      </c>
      <c r="BJ555" t="s">
        <v>3607</v>
      </c>
      <c r="BK555" t="s">
        <v>100</v>
      </c>
      <c r="BL555" t="s">
        <v>3607</v>
      </c>
      <c r="BM555" t="s">
        <v>10166</v>
      </c>
      <c r="BN555">
        <v>18655058</v>
      </c>
      <c r="BO555" t="s">
        <v>74</v>
      </c>
      <c r="BP555" t="s">
        <v>74</v>
      </c>
      <c r="BQ555" t="s">
        <v>74</v>
      </c>
      <c r="BR555" t="s">
        <v>103</v>
      </c>
      <c r="BS555" t="s">
        <v>10167</v>
      </c>
      <c r="BT555" t="str">
        <f>HYPERLINK("https%3A%2F%2Fwww.webofscience.com%2Fwos%2Fwoscc%2Ffull-record%2FWOS:000262100800018","View Full Record in Web of Science")</f>
        <v>View Full Record in Web of Science</v>
      </c>
    </row>
    <row r="556" spans="1:72" x14ac:dyDescent="0.15">
      <c r="A556" t="s">
        <v>72</v>
      </c>
      <c r="B556" t="s">
        <v>10168</v>
      </c>
      <c r="C556" t="s">
        <v>74</v>
      </c>
      <c r="D556" t="s">
        <v>74</v>
      </c>
      <c r="E556" t="s">
        <v>74</v>
      </c>
      <c r="F556" t="s">
        <v>10169</v>
      </c>
      <c r="G556" t="s">
        <v>74</v>
      </c>
      <c r="H556" t="s">
        <v>74</v>
      </c>
      <c r="I556" t="s">
        <v>10170</v>
      </c>
      <c r="J556" t="s">
        <v>267</v>
      </c>
      <c r="K556" t="s">
        <v>74</v>
      </c>
      <c r="L556" t="s">
        <v>74</v>
      </c>
      <c r="M556" t="s">
        <v>78</v>
      </c>
      <c r="N556" t="s">
        <v>79</v>
      </c>
      <c r="O556" t="s">
        <v>74</v>
      </c>
      <c r="P556" t="s">
        <v>74</v>
      </c>
      <c r="Q556" t="s">
        <v>74</v>
      </c>
      <c r="R556" t="s">
        <v>74</v>
      </c>
      <c r="S556" t="s">
        <v>74</v>
      </c>
      <c r="T556" t="s">
        <v>74</v>
      </c>
      <c r="U556" t="s">
        <v>10171</v>
      </c>
      <c r="V556" t="s">
        <v>10172</v>
      </c>
      <c r="W556" t="s">
        <v>10173</v>
      </c>
      <c r="X556" t="s">
        <v>10174</v>
      </c>
      <c r="Y556" t="s">
        <v>10175</v>
      </c>
      <c r="Z556" t="s">
        <v>74</v>
      </c>
      <c r="AA556" t="s">
        <v>10176</v>
      </c>
      <c r="AB556" t="s">
        <v>10177</v>
      </c>
      <c r="AC556" t="s">
        <v>10178</v>
      </c>
      <c r="AD556" t="s">
        <v>10179</v>
      </c>
      <c r="AE556" t="s">
        <v>74</v>
      </c>
      <c r="AF556" t="s">
        <v>74</v>
      </c>
      <c r="AG556">
        <v>55</v>
      </c>
      <c r="AH556">
        <v>54</v>
      </c>
      <c r="AI556">
        <v>60</v>
      </c>
      <c r="AJ556">
        <v>0</v>
      </c>
      <c r="AK556">
        <v>5</v>
      </c>
      <c r="AL556" t="s">
        <v>277</v>
      </c>
      <c r="AM556" t="s">
        <v>278</v>
      </c>
      <c r="AN556" t="s">
        <v>279</v>
      </c>
      <c r="AO556" t="s">
        <v>280</v>
      </c>
      <c r="AP556" t="s">
        <v>74</v>
      </c>
      <c r="AQ556" t="s">
        <v>74</v>
      </c>
      <c r="AR556" t="s">
        <v>282</v>
      </c>
      <c r="AS556" t="s">
        <v>283</v>
      </c>
      <c r="AT556" t="s">
        <v>8540</v>
      </c>
      <c r="AU556">
        <v>2009</v>
      </c>
      <c r="AV556">
        <v>121</v>
      </c>
      <c r="AW556">
        <v>876</v>
      </c>
      <c r="AX556" t="s">
        <v>74</v>
      </c>
      <c r="AY556" t="s">
        <v>74</v>
      </c>
      <c r="AZ556" t="s">
        <v>74</v>
      </c>
      <c r="BA556" t="s">
        <v>74</v>
      </c>
      <c r="BB556">
        <v>174</v>
      </c>
      <c r="BC556">
        <v>184</v>
      </c>
      <c r="BD556" t="s">
        <v>74</v>
      </c>
      <c r="BE556" t="s">
        <v>10180</v>
      </c>
      <c r="BF556" t="str">
        <f>HYPERLINK("http://dx.doi.org/10.1086/597547","http://dx.doi.org/10.1086/597547")</f>
        <v>http://dx.doi.org/10.1086/597547</v>
      </c>
      <c r="BG556" t="s">
        <v>74</v>
      </c>
      <c r="BH556" t="s">
        <v>74</v>
      </c>
      <c r="BI556">
        <v>11</v>
      </c>
      <c r="BJ556" t="s">
        <v>285</v>
      </c>
      <c r="BK556" t="s">
        <v>100</v>
      </c>
      <c r="BL556" t="s">
        <v>285</v>
      </c>
      <c r="BM556" t="s">
        <v>10181</v>
      </c>
      <c r="BN556" t="s">
        <v>74</v>
      </c>
      <c r="BO556" t="s">
        <v>839</v>
      </c>
      <c r="BP556" t="s">
        <v>74</v>
      </c>
      <c r="BQ556" t="s">
        <v>74</v>
      </c>
      <c r="BR556" t="s">
        <v>103</v>
      </c>
      <c r="BS556" t="s">
        <v>10182</v>
      </c>
      <c r="BT556" t="str">
        <f>HYPERLINK("https%3A%2F%2Fwww.webofscience.com%2Fwos%2Fwoscc%2Ffull-record%2FWOS:000263894700009","View Full Record in Web of Science")</f>
        <v>View Full Record in Web of Science</v>
      </c>
    </row>
    <row r="557" spans="1:72" x14ac:dyDescent="0.15">
      <c r="A557" t="s">
        <v>72</v>
      </c>
      <c r="B557" t="s">
        <v>10183</v>
      </c>
      <c r="C557" t="s">
        <v>74</v>
      </c>
      <c r="D557" t="s">
        <v>74</v>
      </c>
      <c r="E557" t="s">
        <v>74</v>
      </c>
      <c r="F557" t="s">
        <v>10184</v>
      </c>
      <c r="G557" t="s">
        <v>74</v>
      </c>
      <c r="H557" t="s">
        <v>74</v>
      </c>
      <c r="I557" t="s">
        <v>10185</v>
      </c>
      <c r="J557" t="s">
        <v>292</v>
      </c>
      <c r="K557" t="s">
        <v>74</v>
      </c>
      <c r="L557" t="s">
        <v>74</v>
      </c>
      <c r="M557" t="s">
        <v>78</v>
      </c>
      <c r="N557" t="s">
        <v>79</v>
      </c>
      <c r="O557" t="s">
        <v>74</v>
      </c>
      <c r="P557" t="s">
        <v>74</v>
      </c>
      <c r="Q557" t="s">
        <v>74</v>
      </c>
      <c r="R557" t="s">
        <v>74</v>
      </c>
      <c r="S557" t="s">
        <v>74</v>
      </c>
      <c r="T557" t="s">
        <v>74</v>
      </c>
      <c r="U557" t="s">
        <v>10186</v>
      </c>
      <c r="V557" t="s">
        <v>10187</v>
      </c>
      <c r="W557" t="s">
        <v>10188</v>
      </c>
      <c r="X557" t="s">
        <v>10189</v>
      </c>
      <c r="Y557" t="s">
        <v>10190</v>
      </c>
      <c r="Z557" t="s">
        <v>10191</v>
      </c>
      <c r="AA557" t="s">
        <v>10192</v>
      </c>
      <c r="AB557" t="s">
        <v>10193</v>
      </c>
      <c r="AC557" t="s">
        <v>10194</v>
      </c>
      <c r="AD557" t="s">
        <v>1490</v>
      </c>
      <c r="AE557" t="s">
        <v>74</v>
      </c>
      <c r="AF557" t="s">
        <v>74</v>
      </c>
      <c r="AG557">
        <v>84</v>
      </c>
      <c r="AH557">
        <v>58</v>
      </c>
      <c r="AI557">
        <v>69</v>
      </c>
      <c r="AJ557">
        <v>0</v>
      </c>
      <c r="AK557">
        <v>17</v>
      </c>
      <c r="AL557" t="s">
        <v>303</v>
      </c>
      <c r="AM557" t="s">
        <v>304</v>
      </c>
      <c r="AN557" t="s">
        <v>305</v>
      </c>
      <c r="AO557" t="s">
        <v>306</v>
      </c>
      <c r="AP557" t="s">
        <v>74</v>
      </c>
      <c r="AQ557" t="s">
        <v>74</v>
      </c>
      <c r="AR557" t="s">
        <v>308</v>
      </c>
      <c r="AS557" t="s">
        <v>309</v>
      </c>
      <c r="AT557" t="s">
        <v>8540</v>
      </c>
      <c r="AU557">
        <v>2009</v>
      </c>
      <c r="AV557">
        <v>28</v>
      </c>
      <c r="AW557" t="s">
        <v>3346</v>
      </c>
      <c r="AX557" t="s">
        <v>74</v>
      </c>
      <c r="AY557" t="s">
        <v>74</v>
      </c>
      <c r="AZ557" t="s">
        <v>2297</v>
      </c>
      <c r="BA557" t="s">
        <v>74</v>
      </c>
      <c r="BB557">
        <v>223</v>
      </c>
      <c r="BC557">
        <v>236</v>
      </c>
      <c r="BD557" t="s">
        <v>74</v>
      </c>
      <c r="BE557" t="s">
        <v>10195</v>
      </c>
      <c r="BF557" t="str">
        <f>HYPERLINK("http://dx.doi.org/10.1016/j.quascirev.2008.10.014","http://dx.doi.org/10.1016/j.quascirev.2008.10.014")</f>
        <v>http://dx.doi.org/10.1016/j.quascirev.2008.10.014</v>
      </c>
      <c r="BG557" t="s">
        <v>74</v>
      </c>
      <c r="BH557" t="s">
        <v>74</v>
      </c>
      <c r="BI557">
        <v>14</v>
      </c>
      <c r="BJ557" t="s">
        <v>312</v>
      </c>
      <c r="BK557" t="s">
        <v>100</v>
      </c>
      <c r="BL557" t="s">
        <v>313</v>
      </c>
      <c r="BM557" t="s">
        <v>10196</v>
      </c>
      <c r="BN557" t="s">
        <v>74</v>
      </c>
      <c r="BO557" t="s">
        <v>74</v>
      </c>
      <c r="BP557" t="s">
        <v>74</v>
      </c>
      <c r="BQ557" t="s">
        <v>74</v>
      </c>
      <c r="BR557" t="s">
        <v>103</v>
      </c>
      <c r="BS557" t="s">
        <v>10197</v>
      </c>
      <c r="BT557" t="str">
        <f>HYPERLINK("https%3A%2F%2Fwww.webofscience.com%2Fwos%2Fwoscc%2Ffull-record%2FWOS:000263993400004","View Full Record in Web of Science")</f>
        <v>View Full Record in Web of Science</v>
      </c>
    </row>
    <row r="558" spans="1:72" x14ac:dyDescent="0.15">
      <c r="A558" t="s">
        <v>72</v>
      </c>
      <c r="B558" t="s">
        <v>10198</v>
      </c>
      <c r="C558" t="s">
        <v>74</v>
      </c>
      <c r="D558" t="s">
        <v>74</v>
      </c>
      <c r="E558" t="s">
        <v>74</v>
      </c>
      <c r="F558" t="s">
        <v>10199</v>
      </c>
      <c r="G558" t="s">
        <v>74</v>
      </c>
      <c r="H558" t="s">
        <v>74</v>
      </c>
      <c r="I558" t="s">
        <v>10200</v>
      </c>
      <c r="J558" t="s">
        <v>10201</v>
      </c>
      <c r="K558" t="s">
        <v>74</v>
      </c>
      <c r="L558" t="s">
        <v>74</v>
      </c>
      <c r="M558" t="s">
        <v>78</v>
      </c>
      <c r="N558" t="s">
        <v>1437</v>
      </c>
      <c r="O558" t="s">
        <v>10202</v>
      </c>
      <c r="P558" t="s">
        <v>10203</v>
      </c>
      <c r="Q558" t="s">
        <v>10204</v>
      </c>
      <c r="R558" t="s">
        <v>74</v>
      </c>
      <c r="S558" t="s">
        <v>74</v>
      </c>
      <c r="T558" t="s">
        <v>10205</v>
      </c>
      <c r="U558" t="s">
        <v>74</v>
      </c>
      <c r="V558" t="s">
        <v>10206</v>
      </c>
      <c r="W558" t="s">
        <v>10207</v>
      </c>
      <c r="X558" t="s">
        <v>10208</v>
      </c>
      <c r="Y558" t="s">
        <v>10209</v>
      </c>
      <c r="Z558" t="s">
        <v>10210</v>
      </c>
      <c r="AA558" t="s">
        <v>74</v>
      </c>
      <c r="AB558" t="s">
        <v>74</v>
      </c>
      <c r="AC558" t="s">
        <v>74</v>
      </c>
      <c r="AD558" t="s">
        <v>74</v>
      </c>
      <c r="AE558" t="s">
        <v>74</v>
      </c>
      <c r="AF558" t="s">
        <v>74</v>
      </c>
      <c r="AG558">
        <v>11</v>
      </c>
      <c r="AH558">
        <v>12</v>
      </c>
      <c r="AI558">
        <v>12</v>
      </c>
      <c r="AJ558">
        <v>0</v>
      </c>
      <c r="AK558">
        <v>4</v>
      </c>
      <c r="AL558" t="s">
        <v>10211</v>
      </c>
      <c r="AM558" t="s">
        <v>10212</v>
      </c>
      <c r="AN558" t="s">
        <v>10213</v>
      </c>
      <c r="AO558" t="s">
        <v>10214</v>
      </c>
      <c r="AP558" t="s">
        <v>10215</v>
      </c>
      <c r="AQ558" t="s">
        <v>74</v>
      </c>
      <c r="AR558" t="s">
        <v>10216</v>
      </c>
      <c r="AS558" t="s">
        <v>10217</v>
      </c>
      <c r="AT558" t="s">
        <v>8540</v>
      </c>
      <c r="AU558">
        <v>2009</v>
      </c>
      <c r="AV558">
        <v>20</v>
      </c>
      <c r="AW558">
        <v>1</v>
      </c>
      <c r="AX558" t="s">
        <v>74</v>
      </c>
      <c r="AY558" t="s">
        <v>74</v>
      </c>
      <c r="AZ558" t="s">
        <v>74</v>
      </c>
      <c r="BA558" t="s">
        <v>74</v>
      </c>
      <c r="BB558">
        <v>71</v>
      </c>
      <c r="BC558">
        <v>85</v>
      </c>
      <c r="BD558" t="s">
        <v>74</v>
      </c>
      <c r="BE558" t="s">
        <v>10218</v>
      </c>
      <c r="BF558" t="str">
        <f>HYPERLINK("http://dx.doi.org/10.3319/TAO.2007.12.08.01(F3C)","http://dx.doi.org/10.3319/TAO.2007.12.08.01(F3C)")</f>
        <v>http://dx.doi.org/10.3319/TAO.2007.12.08.01(F3C)</v>
      </c>
      <c r="BG558" t="s">
        <v>74</v>
      </c>
      <c r="BH558" t="s">
        <v>74</v>
      </c>
      <c r="BI558">
        <v>15</v>
      </c>
      <c r="BJ558" t="s">
        <v>10219</v>
      </c>
      <c r="BK558" t="s">
        <v>1453</v>
      </c>
      <c r="BL558" t="s">
        <v>10220</v>
      </c>
      <c r="BM558" t="s">
        <v>10221</v>
      </c>
      <c r="BN558" t="s">
        <v>74</v>
      </c>
      <c r="BO558" t="s">
        <v>7315</v>
      </c>
      <c r="BP558" t="s">
        <v>74</v>
      </c>
      <c r="BQ558" t="s">
        <v>74</v>
      </c>
      <c r="BR558" t="s">
        <v>103</v>
      </c>
      <c r="BS558" t="s">
        <v>10222</v>
      </c>
      <c r="BT558" t="str">
        <f>HYPERLINK("https%3A%2F%2Fwww.webofscience.com%2Fwos%2Fwoscc%2Ffull-record%2FWOS:000265264100007","View Full Record in Web of Science")</f>
        <v>View Full Record in Web of Science</v>
      </c>
    </row>
    <row r="559" spans="1:72" x14ac:dyDescent="0.15">
      <c r="A559" t="s">
        <v>72</v>
      </c>
      <c r="B559" t="s">
        <v>10223</v>
      </c>
      <c r="C559" t="s">
        <v>74</v>
      </c>
      <c r="D559" t="s">
        <v>74</v>
      </c>
      <c r="E559" t="s">
        <v>74</v>
      </c>
      <c r="F559" t="s">
        <v>10224</v>
      </c>
      <c r="G559" t="s">
        <v>74</v>
      </c>
      <c r="H559" t="s">
        <v>74</v>
      </c>
      <c r="I559" t="s">
        <v>10225</v>
      </c>
      <c r="J559" t="s">
        <v>10226</v>
      </c>
      <c r="K559" t="s">
        <v>74</v>
      </c>
      <c r="L559" t="s">
        <v>74</v>
      </c>
      <c r="M559" t="s">
        <v>78</v>
      </c>
      <c r="N559" t="s">
        <v>172</v>
      </c>
      <c r="O559" t="s">
        <v>74</v>
      </c>
      <c r="P559" t="s">
        <v>74</v>
      </c>
      <c r="Q559" t="s">
        <v>74</v>
      </c>
      <c r="R559" t="s">
        <v>74</v>
      </c>
      <c r="S559" t="s">
        <v>74</v>
      </c>
      <c r="T559" t="s">
        <v>74</v>
      </c>
      <c r="U559" t="s">
        <v>10227</v>
      </c>
      <c r="V559" t="s">
        <v>10228</v>
      </c>
      <c r="W559" t="s">
        <v>10229</v>
      </c>
      <c r="X559" t="s">
        <v>10230</v>
      </c>
      <c r="Y559" t="s">
        <v>10231</v>
      </c>
      <c r="Z559" t="s">
        <v>10232</v>
      </c>
      <c r="AA559" t="s">
        <v>10233</v>
      </c>
      <c r="AB559" t="s">
        <v>10234</v>
      </c>
      <c r="AC559" t="s">
        <v>10235</v>
      </c>
      <c r="AD559" t="s">
        <v>10236</v>
      </c>
      <c r="AE559" t="s">
        <v>10237</v>
      </c>
      <c r="AF559" t="s">
        <v>74</v>
      </c>
      <c r="AG559">
        <v>62</v>
      </c>
      <c r="AH559">
        <v>92</v>
      </c>
      <c r="AI559">
        <v>100</v>
      </c>
      <c r="AJ559">
        <v>0</v>
      </c>
      <c r="AK559">
        <v>20</v>
      </c>
      <c r="AL559" t="s">
        <v>10238</v>
      </c>
      <c r="AM559" t="s">
        <v>2924</v>
      </c>
      <c r="AN559" t="s">
        <v>10239</v>
      </c>
      <c r="AO559" t="s">
        <v>10240</v>
      </c>
      <c r="AP559" t="s">
        <v>10241</v>
      </c>
      <c r="AQ559" t="s">
        <v>74</v>
      </c>
      <c r="AR559" t="s">
        <v>10242</v>
      </c>
      <c r="AS559" t="s">
        <v>10243</v>
      </c>
      <c r="AT559" t="s">
        <v>8540</v>
      </c>
      <c r="AU559">
        <v>2009</v>
      </c>
      <c r="AV559">
        <v>25</v>
      </c>
      <c r="AW559">
        <v>2</v>
      </c>
      <c r="AX559" t="s">
        <v>74</v>
      </c>
      <c r="AY559" t="s">
        <v>74</v>
      </c>
      <c r="AZ559" t="s">
        <v>74</v>
      </c>
      <c r="BA559" t="s">
        <v>74</v>
      </c>
      <c r="BB559">
        <v>74</v>
      </c>
      <c r="BC559">
        <v>81</v>
      </c>
      <c r="BD559" t="s">
        <v>74</v>
      </c>
      <c r="BE559" t="s">
        <v>10244</v>
      </c>
      <c r="BF559" t="str">
        <f>HYPERLINK("http://dx.doi.org/10.1016/j.tig.2008.11.006","http://dx.doi.org/10.1016/j.tig.2008.11.006")</f>
        <v>http://dx.doi.org/10.1016/j.tig.2008.11.006</v>
      </c>
      <c r="BG559" t="s">
        <v>74</v>
      </c>
      <c r="BH559" t="s">
        <v>74</v>
      </c>
      <c r="BI559">
        <v>8</v>
      </c>
      <c r="BJ559" t="s">
        <v>5815</v>
      </c>
      <c r="BK559" t="s">
        <v>100</v>
      </c>
      <c r="BL559" t="s">
        <v>5815</v>
      </c>
      <c r="BM559" t="s">
        <v>10245</v>
      </c>
      <c r="BN559">
        <v>19108930</v>
      </c>
      <c r="BO559" t="s">
        <v>1012</v>
      </c>
      <c r="BP559" t="s">
        <v>74</v>
      </c>
      <c r="BQ559" t="s">
        <v>74</v>
      </c>
      <c r="BR559" t="s">
        <v>103</v>
      </c>
      <c r="BS559" t="s">
        <v>10246</v>
      </c>
      <c r="BT559" t="str">
        <f>HYPERLINK("https%3A%2F%2Fwww.webofscience.com%2Fwos%2Fwoscc%2Ffull-record%2FWOS:000263926800004","View Full Record in Web of Science")</f>
        <v>View Full Record in Web of Science</v>
      </c>
    </row>
    <row r="560" spans="1:72" x14ac:dyDescent="0.15">
      <c r="A560" t="s">
        <v>72</v>
      </c>
      <c r="B560" t="s">
        <v>10247</v>
      </c>
      <c r="C560" t="s">
        <v>74</v>
      </c>
      <c r="D560" t="s">
        <v>74</v>
      </c>
      <c r="E560" t="s">
        <v>74</v>
      </c>
      <c r="F560" t="s">
        <v>10248</v>
      </c>
      <c r="G560" t="s">
        <v>74</v>
      </c>
      <c r="H560" t="s">
        <v>74</v>
      </c>
      <c r="I560" t="s">
        <v>10249</v>
      </c>
      <c r="J560" t="s">
        <v>10250</v>
      </c>
      <c r="K560" t="s">
        <v>74</v>
      </c>
      <c r="L560" t="s">
        <v>74</v>
      </c>
      <c r="M560" t="s">
        <v>78</v>
      </c>
      <c r="N560" t="s">
        <v>79</v>
      </c>
      <c r="O560" t="s">
        <v>74</v>
      </c>
      <c r="P560" t="s">
        <v>74</v>
      </c>
      <c r="Q560" t="s">
        <v>74</v>
      </c>
      <c r="R560" t="s">
        <v>74</v>
      </c>
      <c r="S560" t="s">
        <v>74</v>
      </c>
      <c r="T560" t="s">
        <v>10251</v>
      </c>
      <c r="U560" t="s">
        <v>10252</v>
      </c>
      <c r="V560" t="s">
        <v>10253</v>
      </c>
      <c r="W560" t="s">
        <v>10254</v>
      </c>
      <c r="X560" t="s">
        <v>10255</v>
      </c>
      <c r="Y560" t="s">
        <v>10256</v>
      </c>
      <c r="Z560" t="s">
        <v>10257</v>
      </c>
      <c r="AA560" t="s">
        <v>74</v>
      </c>
      <c r="AB560" t="s">
        <v>74</v>
      </c>
      <c r="AC560" t="s">
        <v>74</v>
      </c>
      <c r="AD560" t="s">
        <v>74</v>
      </c>
      <c r="AE560" t="s">
        <v>74</v>
      </c>
      <c r="AF560" t="s">
        <v>74</v>
      </c>
      <c r="AG560">
        <v>42</v>
      </c>
      <c r="AH560">
        <v>13</v>
      </c>
      <c r="AI560">
        <v>14</v>
      </c>
      <c r="AJ560">
        <v>1</v>
      </c>
      <c r="AK560">
        <v>17</v>
      </c>
      <c r="AL560" t="s">
        <v>91</v>
      </c>
      <c r="AM560" t="s">
        <v>374</v>
      </c>
      <c r="AN560" t="s">
        <v>375</v>
      </c>
      <c r="AO560" t="s">
        <v>10258</v>
      </c>
      <c r="AP560" t="s">
        <v>74</v>
      </c>
      <c r="AQ560" t="s">
        <v>74</v>
      </c>
      <c r="AR560" t="s">
        <v>10259</v>
      </c>
      <c r="AS560" t="s">
        <v>10260</v>
      </c>
      <c r="AT560" t="s">
        <v>8540</v>
      </c>
      <c r="AU560">
        <v>2009</v>
      </c>
      <c r="AV560">
        <v>197</v>
      </c>
      <c r="AW560" t="s">
        <v>532</v>
      </c>
      <c r="AX560" t="s">
        <v>74</v>
      </c>
      <c r="AY560" t="s">
        <v>74</v>
      </c>
      <c r="AZ560" t="s">
        <v>74</v>
      </c>
      <c r="BA560" t="s">
        <v>74</v>
      </c>
      <c r="BB560">
        <v>3</v>
      </c>
      <c r="BC560">
        <v>14</v>
      </c>
      <c r="BD560" t="s">
        <v>74</v>
      </c>
      <c r="BE560" t="s">
        <v>10261</v>
      </c>
      <c r="BF560" t="str">
        <f>HYPERLINK("http://dx.doi.org/10.1007/s11270-008-9752-6","http://dx.doi.org/10.1007/s11270-008-9752-6")</f>
        <v>http://dx.doi.org/10.1007/s11270-008-9752-6</v>
      </c>
      <c r="BG560" t="s">
        <v>74</v>
      </c>
      <c r="BH560" t="s">
        <v>74</v>
      </c>
      <c r="BI560">
        <v>12</v>
      </c>
      <c r="BJ560" t="s">
        <v>10262</v>
      </c>
      <c r="BK560" t="s">
        <v>100</v>
      </c>
      <c r="BL560" t="s">
        <v>10263</v>
      </c>
      <c r="BM560" t="s">
        <v>10264</v>
      </c>
      <c r="BN560" t="s">
        <v>74</v>
      </c>
      <c r="BO560" t="s">
        <v>74</v>
      </c>
      <c r="BP560" t="s">
        <v>74</v>
      </c>
      <c r="BQ560" t="s">
        <v>74</v>
      </c>
      <c r="BR560" t="s">
        <v>103</v>
      </c>
      <c r="BS560" t="s">
        <v>10265</v>
      </c>
      <c r="BT560" t="str">
        <f>HYPERLINK("https%3A%2F%2Fwww.webofscience.com%2Fwos%2Fwoscc%2Ffull-record%2FWOS:000262551000002","View Full Record in Web of Science")</f>
        <v>View Full Record in Web of Science</v>
      </c>
    </row>
    <row r="561" spans="1:72" x14ac:dyDescent="0.15">
      <c r="A561" t="s">
        <v>72</v>
      </c>
      <c r="B561" t="s">
        <v>10266</v>
      </c>
      <c r="C561" t="s">
        <v>74</v>
      </c>
      <c r="D561" t="s">
        <v>74</v>
      </c>
      <c r="E561" t="s">
        <v>74</v>
      </c>
      <c r="F561" t="s">
        <v>10267</v>
      </c>
      <c r="G561" t="s">
        <v>74</v>
      </c>
      <c r="H561" t="s">
        <v>74</v>
      </c>
      <c r="I561" t="s">
        <v>10268</v>
      </c>
      <c r="J561" t="s">
        <v>5974</v>
      </c>
      <c r="K561" t="s">
        <v>74</v>
      </c>
      <c r="L561" t="s">
        <v>74</v>
      </c>
      <c r="M561" t="s">
        <v>78</v>
      </c>
      <c r="N561" t="s">
        <v>79</v>
      </c>
      <c r="O561" t="s">
        <v>74</v>
      </c>
      <c r="P561" t="s">
        <v>74</v>
      </c>
      <c r="Q561" t="s">
        <v>74</v>
      </c>
      <c r="R561" t="s">
        <v>74</v>
      </c>
      <c r="S561" t="s">
        <v>74</v>
      </c>
      <c r="T561" t="s">
        <v>74</v>
      </c>
      <c r="U561" t="s">
        <v>10269</v>
      </c>
      <c r="V561" t="s">
        <v>10270</v>
      </c>
      <c r="W561" t="s">
        <v>10271</v>
      </c>
      <c r="X561" t="s">
        <v>9357</v>
      </c>
      <c r="Y561" t="s">
        <v>10272</v>
      </c>
      <c r="Z561" t="s">
        <v>10273</v>
      </c>
      <c r="AA561" t="s">
        <v>74</v>
      </c>
      <c r="AB561" t="s">
        <v>74</v>
      </c>
      <c r="AC561" t="s">
        <v>10274</v>
      </c>
      <c r="AD561" t="s">
        <v>10275</v>
      </c>
      <c r="AE561" t="s">
        <v>10276</v>
      </c>
      <c r="AF561" t="s">
        <v>74</v>
      </c>
      <c r="AG561">
        <v>46</v>
      </c>
      <c r="AH561">
        <v>6</v>
      </c>
      <c r="AI561">
        <v>6</v>
      </c>
      <c r="AJ561">
        <v>1</v>
      </c>
      <c r="AK561">
        <v>6</v>
      </c>
      <c r="AL561" t="s">
        <v>605</v>
      </c>
      <c r="AM561" t="s">
        <v>606</v>
      </c>
      <c r="AN561" t="s">
        <v>607</v>
      </c>
      <c r="AO561" t="s">
        <v>5986</v>
      </c>
      <c r="AP561" t="s">
        <v>5987</v>
      </c>
      <c r="AQ561" t="s">
        <v>74</v>
      </c>
      <c r="AR561" t="s">
        <v>5988</v>
      </c>
      <c r="AS561" t="s">
        <v>5989</v>
      </c>
      <c r="AT561" t="s">
        <v>10277</v>
      </c>
      <c r="AU561">
        <v>2009</v>
      </c>
      <c r="AV561">
        <v>114</v>
      </c>
      <c r="AW561" t="s">
        <v>74</v>
      </c>
      <c r="AX561" t="s">
        <v>74</v>
      </c>
      <c r="AY561" t="s">
        <v>74</v>
      </c>
      <c r="AZ561" t="s">
        <v>74</v>
      </c>
      <c r="BA561" t="s">
        <v>74</v>
      </c>
      <c r="BB561" t="s">
        <v>74</v>
      </c>
      <c r="BC561" t="s">
        <v>74</v>
      </c>
      <c r="BD561" t="s">
        <v>10278</v>
      </c>
      <c r="BE561" t="s">
        <v>10279</v>
      </c>
      <c r="BF561" t="str">
        <f>HYPERLINK("http://dx.doi.org/10.1029/2008JB005714","http://dx.doi.org/10.1029/2008JB005714")</f>
        <v>http://dx.doi.org/10.1029/2008JB005714</v>
      </c>
      <c r="BG561" t="s">
        <v>74</v>
      </c>
      <c r="BH561" t="s">
        <v>74</v>
      </c>
      <c r="BI561">
        <v>20</v>
      </c>
      <c r="BJ561" t="s">
        <v>534</v>
      </c>
      <c r="BK561" t="s">
        <v>100</v>
      </c>
      <c r="BL561" t="s">
        <v>534</v>
      </c>
      <c r="BM561" t="s">
        <v>10280</v>
      </c>
      <c r="BN561" t="s">
        <v>74</v>
      </c>
      <c r="BO561" t="s">
        <v>616</v>
      </c>
      <c r="BP561" t="s">
        <v>74</v>
      </c>
      <c r="BQ561" t="s">
        <v>74</v>
      </c>
      <c r="BR561" t="s">
        <v>103</v>
      </c>
      <c r="BS561" t="s">
        <v>10281</v>
      </c>
      <c r="BT561" t="str">
        <f>HYPERLINK("https%3A%2F%2Fwww.webofscience.com%2Fwos%2Fwoscc%2Ffull-record%2FWOS:000262984000002","View Full Record in Web of Science")</f>
        <v>View Full Record in Web of Science</v>
      </c>
    </row>
    <row r="562" spans="1:72" x14ac:dyDescent="0.15">
      <c r="A562" t="s">
        <v>72</v>
      </c>
      <c r="B562" t="s">
        <v>10282</v>
      </c>
      <c r="C562" t="s">
        <v>74</v>
      </c>
      <c r="D562" t="s">
        <v>74</v>
      </c>
      <c r="E562" t="s">
        <v>74</v>
      </c>
      <c r="F562" t="s">
        <v>10283</v>
      </c>
      <c r="G562" t="s">
        <v>74</v>
      </c>
      <c r="H562" t="s">
        <v>74</v>
      </c>
      <c r="I562" t="s">
        <v>10284</v>
      </c>
      <c r="J562" t="s">
        <v>5780</v>
      </c>
      <c r="K562" t="s">
        <v>74</v>
      </c>
      <c r="L562" t="s">
        <v>74</v>
      </c>
      <c r="M562" t="s">
        <v>78</v>
      </c>
      <c r="N562" t="s">
        <v>79</v>
      </c>
      <c r="O562" t="s">
        <v>74</v>
      </c>
      <c r="P562" t="s">
        <v>74</v>
      </c>
      <c r="Q562" t="s">
        <v>74</v>
      </c>
      <c r="R562" t="s">
        <v>74</v>
      </c>
      <c r="S562" t="s">
        <v>74</v>
      </c>
      <c r="T562" t="s">
        <v>10285</v>
      </c>
      <c r="U562" t="s">
        <v>10286</v>
      </c>
      <c r="V562" t="s">
        <v>10287</v>
      </c>
      <c r="W562" t="s">
        <v>10288</v>
      </c>
      <c r="X562" t="s">
        <v>10289</v>
      </c>
      <c r="Y562" t="s">
        <v>10290</v>
      </c>
      <c r="Z562" t="s">
        <v>10291</v>
      </c>
      <c r="AA562" t="s">
        <v>10292</v>
      </c>
      <c r="AB562" t="s">
        <v>10293</v>
      </c>
      <c r="AC562" t="s">
        <v>74</v>
      </c>
      <c r="AD562" t="s">
        <v>74</v>
      </c>
      <c r="AE562" t="s">
        <v>74</v>
      </c>
      <c r="AF562" t="s">
        <v>74</v>
      </c>
      <c r="AG562">
        <v>94</v>
      </c>
      <c r="AH562">
        <v>77</v>
      </c>
      <c r="AI562">
        <v>82</v>
      </c>
      <c r="AJ562">
        <v>0</v>
      </c>
      <c r="AK562">
        <v>38</v>
      </c>
      <c r="AL562" t="s">
        <v>553</v>
      </c>
      <c r="AM562" t="s">
        <v>252</v>
      </c>
      <c r="AN562" t="s">
        <v>554</v>
      </c>
      <c r="AO562" t="s">
        <v>5793</v>
      </c>
      <c r="AP562" t="s">
        <v>74</v>
      </c>
      <c r="AQ562" t="s">
        <v>74</v>
      </c>
      <c r="AR562" t="s">
        <v>5795</v>
      </c>
      <c r="AS562" t="s">
        <v>5796</v>
      </c>
      <c r="AT562" t="s">
        <v>10294</v>
      </c>
      <c r="AU562">
        <v>2009</v>
      </c>
      <c r="AV562">
        <v>258</v>
      </c>
      <c r="AW562" t="s">
        <v>3346</v>
      </c>
      <c r="AX562" t="s">
        <v>74</v>
      </c>
      <c r="AY562" t="s">
        <v>74</v>
      </c>
      <c r="AZ562" t="s">
        <v>74</v>
      </c>
      <c r="BA562" t="s">
        <v>74</v>
      </c>
      <c r="BB562">
        <v>207</v>
      </c>
      <c r="BC562">
        <v>218</v>
      </c>
      <c r="BD562" t="s">
        <v>74</v>
      </c>
      <c r="BE562" t="s">
        <v>10295</v>
      </c>
      <c r="BF562" t="str">
        <f>HYPERLINK("http://dx.doi.org/10.1016/j.chemgeo.2008.10.006","http://dx.doi.org/10.1016/j.chemgeo.2008.10.006")</f>
        <v>http://dx.doi.org/10.1016/j.chemgeo.2008.10.006</v>
      </c>
      <c r="BG562" t="s">
        <v>74</v>
      </c>
      <c r="BH562" t="s">
        <v>74</v>
      </c>
      <c r="BI562">
        <v>12</v>
      </c>
      <c r="BJ562" t="s">
        <v>534</v>
      </c>
      <c r="BK562" t="s">
        <v>100</v>
      </c>
      <c r="BL562" t="s">
        <v>534</v>
      </c>
      <c r="BM562" t="s">
        <v>10296</v>
      </c>
      <c r="BN562" t="s">
        <v>74</v>
      </c>
      <c r="BO562" t="s">
        <v>74</v>
      </c>
      <c r="BP562" t="s">
        <v>74</v>
      </c>
      <c r="BQ562" t="s">
        <v>74</v>
      </c>
      <c r="BR562" t="s">
        <v>103</v>
      </c>
      <c r="BS562" t="s">
        <v>10297</v>
      </c>
      <c r="BT562" t="str">
        <f>HYPERLINK("https%3A%2F%2Fwww.webofscience.com%2Fwos%2Fwoscc%2Ffull-record%2FWOS:000263400300009","View Full Record in Web of Science")</f>
        <v>View Full Record in Web of Science</v>
      </c>
    </row>
    <row r="563" spans="1:72" x14ac:dyDescent="0.15">
      <c r="A563" t="s">
        <v>72</v>
      </c>
      <c r="B563" t="s">
        <v>10298</v>
      </c>
      <c r="C563" t="s">
        <v>74</v>
      </c>
      <c r="D563" t="s">
        <v>74</v>
      </c>
      <c r="E563" t="s">
        <v>74</v>
      </c>
      <c r="F563" t="s">
        <v>10299</v>
      </c>
      <c r="G563" t="s">
        <v>74</v>
      </c>
      <c r="H563" t="s">
        <v>74</v>
      </c>
      <c r="I563" t="s">
        <v>10300</v>
      </c>
      <c r="J563" t="s">
        <v>1017</v>
      </c>
      <c r="K563" t="s">
        <v>74</v>
      </c>
      <c r="L563" t="s">
        <v>74</v>
      </c>
      <c r="M563" t="s">
        <v>78</v>
      </c>
      <c r="N563" t="s">
        <v>79</v>
      </c>
      <c r="O563" t="s">
        <v>74</v>
      </c>
      <c r="P563" t="s">
        <v>74</v>
      </c>
      <c r="Q563" t="s">
        <v>74</v>
      </c>
      <c r="R563" t="s">
        <v>74</v>
      </c>
      <c r="S563" t="s">
        <v>74</v>
      </c>
      <c r="T563" t="s">
        <v>74</v>
      </c>
      <c r="U563" t="s">
        <v>10301</v>
      </c>
      <c r="V563" t="s">
        <v>10302</v>
      </c>
      <c r="W563" t="s">
        <v>10303</v>
      </c>
      <c r="X563" t="s">
        <v>10304</v>
      </c>
      <c r="Y563" t="s">
        <v>10305</v>
      </c>
      <c r="Z563" t="s">
        <v>10306</v>
      </c>
      <c r="AA563" t="s">
        <v>10307</v>
      </c>
      <c r="AB563" t="s">
        <v>10308</v>
      </c>
      <c r="AC563" t="s">
        <v>10309</v>
      </c>
      <c r="AD563" t="s">
        <v>10310</v>
      </c>
      <c r="AE563" t="s">
        <v>10311</v>
      </c>
      <c r="AF563" t="s">
        <v>74</v>
      </c>
      <c r="AG563">
        <v>44</v>
      </c>
      <c r="AH563">
        <v>23</v>
      </c>
      <c r="AI563">
        <v>30</v>
      </c>
      <c r="AJ563">
        <v>0</v>
      </c>
      <c r="AK563">
        <v>16</v>
      </c>
      <c r="AL563" t="s">
        <v>605</v>
      </c>
      <c r="AM563" t="s">
        <v>606</v>
      </c>
      <c r="AN563" t="s">
        <v>607</v>
      </c>
      <c r="AO563" t="s">
        <v>1028</v>
      </c>
      <c r="AP563" t="s">
        <v>1029</v>
      </c>
      <c r="AQ563" t="s">
        <v>74</v>
      </c>
      <c r="AR563" t="s">
        <v>1030</v>
      </c>
      <c r="AS563" t="s">
        <v>1031</v>
      </c>
      <c r="AT563" t="s">
        <v>10294</v>
      </c>
      <c r="AU563">
        <v>2009</v>
      </c>
      <c r="AV563">
        <v>114</v>
      </c>
      <c r="AW563" t="s">
        <v>74</v>
      </c>
      <c r="AX563" t="s">
        <v>74</v>
      </c>
      <c r="AY563" t="s">
        <v>74</v>
      </c>
      <c r="AZ563" t="s">
        <v>74</v>
      </c>
      <c r="BA563" t="s">
        <v>74</v>
      </c>
      <c r="BB563" t="s">
        <v>74</v>
      </c>
      <c r="BC563" t="s">
        <v>74</v>
      </c>
      <c r="BD563" t="s">
        <v>10312</v>
      </c>
      <c r="BE563" t="s">
        <v>10313</v>
      </c>
      <c r="BF563" t="str">
        <f>HYPERLINK("http://dx.doi.org/10.1029/2008JF001094","http://dx.doi.org/10.1029/2008JF001094")</f>
        <v>http://dx.doi.org/10.1029/2008JF001094</v>
      </c>
      <c r="BG563" t="s">
        <v>74</v>
      </c>
      <c r="BH563" t="s">
        <v>74</v>
      </c>
      <c r="BI563">
        <v>13</v>
      </c>
      <c r="BJ563" t="s">
        <v>496</v>
      </c>
      <c r="BK563" t="s">
        <v>100</v>
      </c>
      <c r="BL563" t="s">
        <v>497</v>
      </c>
      <c r="BM563" t="s">
        <v>10314</v>
      </c>
      <c r="BN563" t="s">
        <v>74</v>
      </c>
      <c r="BO563" t="s">
        <v>217</v>
      </c>
      <c r="BP563" t="s">
        <v>74</v>
      </c>
      <c r="BQ563" t="s">
        <v>74</v>
      </c>
      <c r="BR563" t="s">
        <v>103</v>
      </c>
      <c r="BS563" t="s">
        <v>10315</v>
      </c>
      <c r="BT563" t="str">
        <f>HYPERLINK("https%3A%2F%2Fwww.webofscience.com%2Fwos%2Fwoscc%2Ffull-record%2FWOS:000262982800001","View Full Record in Web of Science")</f>
        <v>View Full Record in Web of Science</v>
      </c>
    </row>
    <row r="564" spans="1:72" x14ac:dyDescent="0.15">
      <c r="A564" t="s">
        <v>72</v>
      </c>
      <c r="B564" t="s">
        <v>10316</v>
      </c>
      <c r="C564" t="s">
        <v>74</v>
      </c>
      <c r="D564" t="s">
        <v>74</v>
      </c>
      <c r="E564" t="s">
        <v>74</v>
      </c>
      <c r="F564" t="s">
        <v>10317</v>
      </c>
      <c r="G564" t="s">
        <v>74</v>
      </c>
      <c r="H564" t="s">
        <v>74</v>
      </c>
      <c r="I564" t="s">
        <v>10318</v>
      </c>
      <c r="J564" t="s">
        <v>10319</v>
      </c>
      <c r="K564" t="s">
        <v>74</v>
      </c>
      <c r="L564" t="s">
        <v>74</v>
      </c>
      <c r="M564" t="s">
        <v>78</v>
      </c>
      <c r="N564" t="s">
        <v>79</v>
      </c>
      <c r="O564" t="s">
        <v>74</v>
      </c>
      <c r="P564" t="s">
        <v>74</v>
      </c>
      <c r="Q564" t="s">
        <v>74</v>
      </c>
      <c r="R564" t="s">
        <v>74</v>
      </c>
      <c r="S564" t="s">
        <v>74</v>
      </c>
      <c r="T564" t="s">
        <v>10320</v>
      </c>
      <c r="U564" t="s">
        <v>10321</v>
      </c>
      <c r="V564" t="s">
        <v>10322</v>
      </c>
      <c r="W564" t="s">
        <v>10323</v>
      </c>
      <c r="X564" t="s">
        <v>10324</v>
      </c>
      <c r="Y564" t="s">
        <v>10325</v>
      </c>
      <c r="Z564" t="s">
        <v>10326</v>
      </c>
      <c r="AA564" t="s">
        <v>10327</v>
      </c>
      <c r="AB564" t="s">
        <v>10328</v>
      </c>
      <c r="AC564" t="s">
        <v>10329</v>
      </c>
      <c r="AD564" t="s">
        <v>10330</v>
      </c>
      <c r="AE564" t="s">
        <v>10331</v>
      </c>
      <c r="AF564" t="s">
        <v>74</v>
      </c>
      <c r="AG564">
        <v>33</v>
      </c>
      <c r="AH564">
        <v>11</v>
      </c>
      <c r="AI564">
        <v>11</v>
      </c>
      <c r="AJ564">
        <v>0</v>
      </c>
      <c r="AK564">
        <v>16</v>
      </c>
      <c r="AL564" t="s">
        <v>251</v>
      </c>
      <c r="AM564" t="s">
        <v>252</v>
      </c>
      <c r="AN564" t="s">
        <v>253</v>
      </c>
      <c r="AO564" t="s">
        <v>10332</v>
      </c>
      <c r="AP564" t="s">
        <v>10333</v>
      </c>
      <c r="AQ564" t="s">
        <v>74</v>
      </c>
      <c r="AR564" t="s">
        <v>10334</v>
      </c>
      <c r="AS564" t="s">
        <v>10335</v>
      </c>
      <c r="AT564" t="s">
        <v>10294</v>
      </c>
      <c r="AU564">
        <v>2009</v>
      </c>
      <c r="AV564">
        <v>113</v>
      </c>
      <c r="AW564" t="s">
        <v>972</v>
      </c>
      <c r="AX564" t="s">
        <v>74</v>
      </c>
      <c r="AY564" t="s">
        <v>74</v>
      </c>
      <c r="AZ564" t="s">
        <v>74</v>
      </c>
      <c r="BA564" t="s">
        <v>74</v>
      </c>
      <c r="BB564">
        <v>129</v>
      </c>
      <c r="BC564">
        <v>136</v>
      </c>
      <c r="BD564" t="s">
        <v>74</v>
      </c>
      <c r="BE564" t="s">
        <v>10336</v>
      </c>
      <c r="BF564" t="str">
        <f>HYPERLINK("http://dx.doi.org/10.1016/j.marchem.2009.01.010","http://dx.doi.org/10.1016/j.marchem.2009.01.010")</f>
        <v>http://dx.doi.org/10.1016/j.marchem.2009.01.010</v>
      </c>
      <c r="BG564" t="s">
        <v>74</v>
      </c>
      <c r="BH564" t="s">
        <v>74</v>
      </c>
      <c r="BI564">
        <v>8</v>
      </c>
      <c r="BJ564" t="s">
        <v>10337</v>
      </c>
      <c r="BK564" t="s">
        <v>100</v>
      </c>
      <c r="BL564" t="s">
        <v>10338</v>
      </c>
      <c r="BM564" t="s">
        <v>10339</v>
      </c>
      <c r="BN564" t="s">
        <v>74</v>
      </c>
      <c r="BO564" t="s">
        <v>74</v>
      </c>
      <c r="BP564" t="s">
        <v>74</v>
      </c>
      <c r="BQ564" t="s">
        <v>74</v>
      </c>
      <c r="BR564" t="s">
        <v>103</v>
      </c>
      <c r="BS564" t="s">
        <v>10340</v>
      </c>
      <c r="BT564" t="str">
        <f>HYPERLINK("https%3A%2F%2Fwww.webofscience.com%2Fwos%2Fwoscc%2Ffull-record%2FWOS:000264652400013","View Full Record in Web of Science")</f>
        <v>View Full Record in Web of Science</v>
      </c>
    </row>
    <row r="565" spans="1:72" x14ac:dyDescent="0.15">
      <c r="A565" t="s">
        <v>72</v>
      </c>
      <c r="B565" t="s">
        <v>10341</v>
      </c>
      <c r="C565" t="s">
        <v>74</v>
      </c>
      <c r="D565" t="s">
        <v>74</v>
      </c>
      <c r="E565" t="s">
        <v>74</v>
      </c>
      <c r="F565" t="s">
        <v>10342</v>
      </c>
      <c r="G565" t="s">
        <v>74</v>
      </c>
      <c r="H565" t="s">
        <v>74</v>
      </c>
      <c r="I565" t="s">
        <v>10343</v>
      </c>
      <c r="J565" t="s">
        <v>10344</v>
      </c>
      <c r="K565" t="s">
        <v>74</v>
      </c>
      <c r="L565" t="s">
        <v>74</v>
      </c>
      <c r="M565" t="s">
        <v>78</v>
      </c>
      <c r="N565" t="s">
        <v>172</v>
      </c>
      <c r="O565" t="s">
        <v>74</v>
      </c>
      <c r="P565" t="s">
        <v>74</v>
      </c>
      <c r="Q565" t="s">
        <v>74</v>
      </c>
      <c r="R565" t="s">
        <v>74</v>
      </c>
      <c r="S565" t="s">
        <v>74</v>
      </c>
      <c r="T565" t="s">
        <v>74</v>
      </c>
      <c r="U565" t="s">
        <v>10345</v>
      </c>
      <c r="V565" t="s">
        <v>10346</v>
      </c>
      <c r="W565" t="s">
        <v>10347</v>
      </c>
      <c r="X565" t="s">
        <v>10348</v>
      </c>
      <c r="Y565" t="s">
        <v>10349</v>
      </c>
      <c r="Z565" t="s">
        <v>10350</v>
      </c>
      <c r="AA565" t="s">
        <v>10351</v>
      </c>
      <c r="AB565" t="s">
        <v>10352</v>
      </c>
      <c r="AC565" t="s">
        <v>10353</v>
      </c>
      <c r="AD565" t="s">
        <v>10354</v>
      </c>
      <c r="AE565" t="s">
        <v>74</v>
      </c>
      <c r="AF565" t="s">
        <v>74</v>
      </c>
      <c r="AG565">
        <v>306</v>
      </c>
      <c r="AH565">
        <v>175</v>
      </c>
      <c r="AI565">
        <v>215</v>
      </c>
      <c r="AJ565">
        <v>1</v>
      </c>
      <c r="AK565">
        <v>55</v>
      </c>
      <c r="AL565" t="s">
        <v>605</v>
      </c>
      <c r="AM565" t="s">
        <v>606</v>
      </c>
      <c r="AN565" t="s">
        <v>607</v>
      </c>
      <c r="AO565" t="s">
        <v>10355</v>
      </c>
      <c r="AP565" t="s">
        <v>10356</v>
      </c>
      <c r="AQ565" t="s">
        <v>74</v>
      </c>
      <c r="AR565" t="s">
        <v>10357</v>
      </c>
      <c r="AS565" t="s">
        <v>10358</v>
      </c>
      <c r="AT565" t="s">
        <v>10294</v>
      </c>
      <c r="AU565">
        <v>2009</v>
      </c>
      <c r="AV565">
        <v>47</v>
      </c>
      <c r="AW565" t="s">
        <v>74</v>
      </c>
      <c r="AX565" t="s">
        <v>74</v>
      </c>
      <c r="AY565" t="s">
        <v>74</v>
      </c>
      <c r="AZ565" t="s">
        <v>74</v>
      </c>
      <c r="BA565" t="s">
        <v>74</v>
      </c>
      <c r="BB565" t="s">
        <v>74</v>
      </c>
      <c r="BC565" t="s">
        <v>74</v>
      </c>
      <c r="BD565" t="s">
        <v>10359</v>
      </c>
      <c r="BE565" t="s">
        <v>10360</v>
      </c>
      <c r="BF565" t="str">
        <f>HYPERLINK("http://dx.doi.org/10.1029/2007RG000231","http://dx.doi.org/10.1029/2007RG000231")</f>
        <v>http://dx.doi.org/10.1029/2007RG000231</v>
      </c>
      <c r="BG565" t="s">
        <v>74</v>
      </c>
      <c r="BH565" t="s">
        <v>74</v>
      </c>
      <c r="BI565">
        <v>38</v>
      </c>
      <c r="BJ565" t="s">
        <v>534</v>
      </c>
      <c r="BK565" t="s">
        <v>100</v>
      </c>
      <c r="BL565" t="s">
        <v>534</v>
      </c>
      <c r="BM565" t="s">
        <v>10361</v>
      </c>
      <c r="BN565" t="s">
        <v>74</v>
      </c>
      <c r="BO565" t="s">
        <v>8305</v>
      </c>
      <c r="BP565" t="s">
        <v>74</v>
      </c>
      <c r="BQ565" t="s">
        <v>74</v>
      </c>
      <c r="BR565" t="s">
        <v>103</v>
      </c>
      <c r="BS565" t="s">
        <v>10362</v>
      </c>
      <c r="BT565" t="str">
        <f>HYPERLINK("https%3A%2F%2Fwww.webofscience.com%2Fwos%2Fwoscc%2Ffull-record%2FWOS:000262984900001","View Full Record in Web of Science")</f>
        <v>View Full Record in Web of Science</v>
      </c>
    </row>
    <row r="566" spans="1:72" x14ac:dyDescent="0.15">
      <c r="A566" t="s">
        <v>72</v>
      </c>
      <c r="B566" t="s">
        <v>10363</v>
      </c>
      <c r="C566" t="s">
        <v>74</v>
      </c>
      <c r="D566" t="s">
        <v>74</v>
      </c>
      <c r="E566" t="s">
        <v>74</v>
      </c>
      <c r="F566" t="s">
        <v>10364</v>
      </c>
      <c r="G566" t="s">
        <v>74</v>
      </c>
      <c r="H566" t="s">
        <v>74</v>
      </c>
      <c r="I566" t="s">
        <v>10365</v>
      </c>
      <c r="J566" t="s">
        <v>645</v>
      </c>
      <c r="K566" t="s">
        <v>74</v>
      </c>
      <c r="L566" t="s">
        <v>74</v>
      </c>
      <c r="M566" t="s">
        <v>78</v>
      </c>
      <c r="N566" t="s">
        <v>79</v>
      </c>
      <c r="O566" t="s">
        <v>74</v>
      </c>
      <c r="P566" t="s">
        <v>74</v>
      </c>
      <c r="Q566" t="s">
        <v>74</v>
      </c>
      <c r="R566" t="s">
        <v>74</v>
      </c>
      <c r="S566" t="s">
        <v>74</v>
      </c>
      <c r="T566" t="s">
        <v>74</v>
      </c>
      <c r="U566" t="s">
        <v>10366</v>
      </c>
      <c r="V566" t="s">
        <v>10367</v>
      </c>
      <c r="W566" t="s">
        <v>10368</v>
      </c>
      <c r="X566" t="s">
        <v>10369</v>
      </c>
      <c r="Y566" t="s">
        <v>10370</v>
      </c>
      <c r="Z566" t="s">
        <v>10371</v>
      </c>
      <c r="AA566" t="s">
        <v>10372</v>
      </c>
      <c r="AB566" t="s">
        <v>10373</v>
      </c>
      <c r="AC566" t="s">
        <v>10374</v>
      </c>
      <c r="AD566" t="s">
        <v>10375</v>
      </c>
      <c r="AE566" t="s">
        <v>10376</v>
      </c>
      <c r="AF566" t="s">
        <v>74</v>
      </c>
      <c r="AG566">
        <v>23</v>
      </c>
      <c r="AH566">
        <v>22</v>
      </c>
      <c r="AI566">
        <v>24</v>
      </c>
      <c r="AJ566">
        <v>0</v>
      </c>
      <c r="AK566">
        <v>8</v>
      </c>
      <c r="AL566" t="s">
        <v>605</v>
      </c>
      <c r="AM566" t="s">
        <v>606</v>
      </c>
      <c r="AN566" t="s">
        <v>607</v>
      </c>
      <c r="AO566" t="s">
        <v>657</v>
      </c>
      <c r="AP566" t="s">
        <v>74</v>
      </c>
      <c r="AQ566" t="s">
        <v>74</v>
      </c>
      <c r="AR566" t="s">
        <v>659</v>
      </c>
      <c r="AS566" t="s">
        <v>660</v>
      </c>
      <c r="AT566" t="s">
        <v>10377</v>
      </c>
      <c r="AU566">
        <v>2009</v>
      </c>
      <c r="AV566">
        <v>36</v>
      </c>
      <c r="AW566" t="s">
        <v>74</v>
      </c>
      <c r="AX566" t="s">
        <v>74</v>
      </c>
      <c r="AY566" t="s">
        <v>74</v>
      </c>
      <c r="AZ566" t="s">
        <v>74</v>
      </c>
      <c r="BA566" t="s">
        <v>74</v>
      </c>
      <c r="BB566" t="s">
        <v>74</v>
      </c>
      <c r="BC566" t="s">
        <v>74</v>
      </c>
      <c r="BD566" t="s">
        <v>10378</v>
      </c>
      <c r="BE566" t="s">
        <v>10379</v>
      </c>
      <c r="BF566" t="str">
        <f>HYPERLINK("http://dx.doi.org/10.1029/2008GL036369","http://dx.doi.org/10.1029/2008GL036369")</f>
        <v>http://dx.doi.org/10.1029/2008GL036369</v>
      </c>
      <c r="BG566" t="s">
        <v>74</v>
      </c>
      <c r="BH566" t="s">
        <v>74</v>
      </c>
      <c r="BI566">
        <v>5</v>
      </c>
      <c r="BJ566" t="s">
        <v>496</v>
      </c>
      <c r="BK566" t="s">
        <v>100</v>
      </c>
      <c r="BL566" t="s">
        <v>497</v>
      </c>
      <c r="BM566" t="s">
        <v>10380</v>
      </c>
      <c r="BN566" t="s">
        <v>74</v>
      </c>
      <c r="BO566" t="s">
        <v>839</v>
      </c>
      <c r="BP566" t="s">
        <v>74</v>
      </c>
      <c r="BQ566" t="s">
        <v>74</v>
      </c>
      <c r="BR566" t="s">
        <v>103</v>
      </c>
      <c r="BS566" t="s">
        <v>10381</v>
      </c>
      <c r="BT566" t="str">
        <f>HYPERLINK("https%3A%2F%2Fwww.webofscience.com%2Fwos%2Fwoscc%2Ffull-record%2FWOS:000262981900005","View Full Record in Web of Science")</f>
        <v>View Full Record in Web of Science</v>
      </c>
    </row>
    <row r="567" spans="1:72" x14ac:dyDescent="0.15">
      <c r="A567" t="s">
        <v>72</v>
      </c>
      <c r="B567" t="s">
        <v>10382</v>
      </c>
      <c r="C567" t="s">
        <v>74</v>
      </c>
      <c r="D567" t="s">
        <v>74</v>
      </c>
      <c r="E567" t="s">
        <v>74</v>
      </c>
      <c r="F567" t="s">
        <v>10383</v>
      </c>
      <c r="G567" t="s">
        <v>74</v>
      </c>
      <c r="H567" t="s">
        <v>74</v>
      </c>
      <c r="I567" t="s">
        <v>10384</v>
      </c>
      <c r="J567" t="s">
        <v>593</v>
      </c>
      <c r="K567" t="s">
        <v>74</v>
      </c>
      <c r="L567" t="s">
        <v>74</v>
      </c>
      <c r="M567" t="s">
        <v>78</v>
      </c>
      <c r="N567" t="s">
        <v>79</v>
      </c>
      <c r="O567" t="s">
        <v>74</v>
      </c>
      <c r="P567" t="s">
        <v>74</v>
      </c>
      <c r="Q567" t="s">
        <v>74</v>
      </c>
      <c r="R567" t="s">
        <v>74</v>
      </c>
      <c r="S567" t="s">
        <v>74</v>
      </c>
      <c r="T567" t="s">
        <v>74</v>
      </c>
      <c r="U567" t="s">
        <v>10385</v>
      </c>
      <c r="V567" t="s">
        <v>10386</v>
      </c>
      <c r="W567" t="s">
        <v>10387</v>
      </c>
      <c r="X567" t="s">
        <v>10388</v>
      </c>
      <c r="Y567" t="s">
        <v>10389</v>
      </c>
      <c r="Z567" t="s">
        <v>10390</v>
      </c>
      <c r="AA567" t="s">
        <v>10391</v>
      </c>
      <c r="AB567" t="s">
        <v>10392</v>
      </c>
      <c r="AC567" t="s">
        <v>10393</v>
      </c>
      <c r="AD567" t="s">
        <v>10394</v>
      </c>
      <c r="AE567" t="s">
        <v>10395</v>
      </c>
      <c r="AF567" t="s">
        <v>74</v>
      </c>
      <c r="AG567">
        <v>45</v>
      </c>
      <c r="AH567">
        <v>7</v>
      </c>
      <c r="AI567">
        <v>10</v>
      </c>
      <c r="AJ567">
        <v>0</v>
      </c>
      <c r="AK567">
        <v>4</v>
      </c>
      <c r="AL567" t="s">
        <v>605</v>
      </c>
      <c r="AM567" t="s">
        <v>606</v>
      </c>
      <c r="AN567" t="s">
        <v>607</v>
      </c>
      <c r="AO567" t="s">
        <v>608</v>
      </c>
      <c r="AP567" t="s">
        <v>609</v>
      </c>
      <c r="AQ567" t="s">
        <v>74</v>
      </c>
      <c r="AR567" t="s">
        <v>610</v>
      </c>
      <c r="AS567" t="s">
        <v>611</v>
      </c>
      <c r="AT567" t="s">
        <v>10377</v>
      </c>
      <c r="AU567">
        <v>2009</v>
      </c>
      <c r="AV567">
        <v>114</v>
      </c>
      <c r="AW567" t="s">
        <v>74</v>
      </c>
      <c r="AX567" t="s">
        <v>74</v>
      </c>
      <c r="AY567" t="s">
        <v>74</v>
      </c>
      <c r="AZ567" t="s">
        <v>74</v>
      </c>
      <c r="BA567" t="s">
        <v>74</v>
      </c>
      <c r="BB567" t="s">
        <v>74</v>
      </c>
      <c r="BC567" t="s">
        <v>74</v>
      </c>
      <c r="BD567" t="s">
        <v>10396</v>
      </c>
      <c r="BE567" t="s">
        <v>10397</v>
      </c>
      <c r="BF567" t="str">
        <f>HYPERLINK("http://dx.doi.org/10.1029/2008JA013507","http://dx.doi.org/10.1029/2008JA013507")</f>
        <v>http://dx.doi.org/10.1029/2008JA013507</v>
      </c>
      <c r="BG567" t="s">
        <v>74</v>
      </c>
      <c r="BH567" t="s">
        <v>74</v>
      </c>
      <c r="BI567">
        <v>10</v>
      </c>
      <c r="BJ567" t="s">
        <v>285</v>
      </c>
      <c r="BK567" t="s">
        <v>100</v>
      </c>
      <c r="BL567" t="s">
        <v>285</v>
      </c>
      <c r="BM567" t="s">
        <v>10398</v>
      </c>
      <c r="BN567" t="s">
        <v>74</v>
      </c>
      <c r="BO567" t="s">
        <v>217</v>
      </c>
      <c r="BP567" t="s">
        <v>74</v>
      </c>
      <c r="BQ567" t="s">
        <v>74</v>
      </c>
      <c r="BR567" t="s">
        <v>103</v>
      </c>
      <c r="BS567" t="s">
        <v>10399</v>
      </c>
      <c r="BT567" t="str">
        <f>HYPERLINK("https%3A%2F%2Fwww.webofscience.com%2Fwos%2Fwoscc%2Ffull-record%2FWOS:000262984200005","View Full Record in Web of Science")</f>
        <v>View Full Record in Web of Science</v>
      </c>
    </row>
    <row r="568" spans="1:72" x14ac:dyDescent="0.15">
      <c r="A568" t="s">
        <v>72</v>
      </c>
      <c r="B568" t="s">
        <v>10400</v>
      </c>
      <c r="C568" t="s">
        <v>74</v>
      </c>
      <c r="D568" t="s">
        <v>74</v>
      </c>
      <c r="E568" t="s">
        <v>74</v>
      </c>
      <c r="F568" t="s">
        <v>10401</v>
      </c>
      <c r="G568" t="s">
        <v>74</v>
      </c>
      <c r="H568" t="s">
        <v>74</v>
      </c>
      <c r="I568" t="s">
        <v>10402</v>
      </c>
      <c r="J568" t="s">
        <v>3218</v>
      </c>
      <c r="K568" t="s">
        <v>74</v>
      </c>
      <c r="L568" t="s">
        <v>74</v>
      </c>
      <c r="M568" t="s">
        <v>78</v>
      </c>
      <c r="N568" t="s">
        <v>79</v>
      </c>
      <c r="O568" t="s">
        <v>74</v>
      </c>
      <c r="P568" t="s">
        <v>74</v>
      </c>
      <c r="Q568" t="s">
        <v>74</v>
      </c>
      <c r="R568" t="s">
        <v>74</v>
      </c>
      <c r="S568" t="s">
        <v>74</v>
      </c>
      <c r="T568" t="s">
        <v>74</v>
      </c>
      <c r="U568" t="s">
        <v>10403</v>
      </c>
      <c r="V568" t="s">
        <v>10404</v>
      </c>
      <c r="W568" t="s">
        <v>10405</v>
      </c>
      <c r="X568" t="s">
        <v>10406</v>
      </c>
      <c r="Y568" t="s">
        <v>10407</v>
      </c>
      <c r="Z568" t="s">
        <v>10408</v>
      </c>
      <c r="AA568" t="s">
        <v>10409</v>
      </c>
      <c r="AB568" t="s">
        <v>10410</v>
      </c>
      <c r="AC568" t="s">
        <v>10411</v>
      </c>
      <c r="AD568" t="s">
        <v>5494</v>
      </c>
      <c r="AE568" t="s">
        <v>10412</v>
      </c>
      <c r="AF568" t="s">
        <v>74</v>
      </c>
      <c r="AG568">
        <v>32</v>
      </c>
      <c r="AH568">
        <v>272</v>
      </c>
      <c r="AI568">
        <v>292</v>
      </c>
      <c r="AJ568">
        <v>7</v>
      </c>
      <c r="AK568">
        <v>223</v>
      </c>
      <c r="AL568" t="s">
        <v>3225</v>
      </c>
      <c r="AM568" t="s">
        <v>2924</v>
      </c>
      <c r="AN568" t="s">
        <v>3226</v>
      </c>
      <c r="AO568" t="s">
        <v>3227</v>
      </c>
      <c r="AP568" t="s">
        <v>5702</v>
      </c>
      <c r="AQ568" t="s">
        <v>74</v>
      </c>
      <c r="AR568" t="s">
        <v>3218</v>
      </c>
      <c r="AS568" t="s">
        <v>3228</v>
      </c>
      <c r="AT568" t="s">
        <v>10377</v>
      </c>
      <c r="AU568">
        <v>2009</v>
      </c>
      <c r="AV568">
        <v>457</v>
      </c>
      <c r="AW568">
        <v>7229</v>
      </c>
      <c r="AX568" t="s">
        <v>74</v>
      </c>
      <c r="AY568" t="s">
        <v>74</v>
      </c>
      <c r="AZ568" t="s">
        <v>74</v>
      </c>
      <c r="BA568" t="s">
        <v>74</v>
      </c>
      <c r="BB568">
        <v>577</v>
      </c>
      <c r="BC568" t="s">
        <v>10413</v>
      </c>
      <c r="BD568" t="s">
        <v>74</v>
      </c>
      <c r="BE568" t="s">
        <v>10414</v>
      </c>
      <c r="BF568" t="str">
        <f>HYPERLINK("http://dx.doi.org/10.1038/nature07716","http://dx.doi.org/10.1038/nature07716")</f>
        <v>http://dx.doi.org/10.1038/nature07716</v>
      </c>
      <c r="BG568" t="s">
        <v>74</v>
      </c>
      <c r="BH568" t="s">
        <v>74</v>
      </c>
      <c r="BI568">
        <v>5</v>
      </c>
      <c r="BJ568" t="s">
        <v>790</v>
      </c>
      <c r="BK568" t="s">
        <v>100</v>
      </c>
      <c r="BL568" t="s">
        <v>791</v>
      </c>
      <c r="BM568" t="s">
        <v>10415</v>
      </c>
      <c r="BN568">
        <v>19177128</v>
      </c>
      <c r="BO568" t="s">
        <v>74</v>
      </c>
      <c r="BP568" t="s">
        <v>74</v>
      </c>
      <c r="BQ568" t="s">
        <v>74</v>
      </c>
      <c r="BR568" t="s">
        <v>103</v>
      </c>
      <c r="BS568" t="s">
        <v>10416</v>
      </c>
      <c r="BT568" t="str">
        <f>HYPERLINK("https%3A%2F%2Fwww.webofscience.com%2Fwos%2Fwoscc%2Ffull-record%2FWOS:000262852200040","View Full Record in Web of Science")</f>
        <v>View Full Record in Web of Science</v>
      </c>
    </row>
    <row r="569" spans="1:72" x14ac:dyDescent="0.15">
      <c r="A569" t="s">
        <v>72</v>
      </c>
      <c r="B569" t="s">
        <v>10417</v>
      </c>
      <c r="C569" t="s">
        <v>74</v>
      </c>
      <c r="D569" t="s">
        <v>74</v>
      </c>
      <c r="E569" t="s">
        <v>74</v>
      </c>
      <c r="F569" t="s">
        <v>10418</v>
      </c>
      <c r="G569" t="s">
        <v>74</v>
      </c>
      <c r="H569" t="s">
        <v>74</v>
      </c>
      <c r="I569" t="s">
        <v>10419</v>
      </c>
      <c r="J569" t="s">
        <v>820</v>
      </c>
      <c r="K569" t="s">
        <v>74</v>
      </c>
      <c r="L569" t="s">
        <v>74</v>
      </c>
      <c r="M569" t="s">
        <v>78</v>
      </c>
      <c r="N569" t="s">
        <v>79</v>
      </c>
      <c r="O569" t="s">
        <v>74</v>
      </c>
      <c r="P569" t="s">
        <v>74</v>
      </c>
      <c r="Q569" t="s">
        <v>74</v>
      </c>
      <c r="R569" t="s">
        <v>74</v>
      </c>
      <c r="S569" t="s">
        <v>74</v>
      </c>
      <c r="T569" t="s">
        <v>74</v>
      </c>
      <c r="U569" t="s">
        <v>10420</v>
      </c>
      <c r="V569" t="s">
        <v>10421</v>
      </c>
      <c r="W569" t="s">
        <v>10422</v>
      </c>
      <c r="X569" t="s">
        <v>10423</v>
      </c>
      <c r="Y569" t="s">
        <v>10424</v>
      </c>
      <c r="Z569" t="s">
        <v>10425</v>
      </c>
      <c r="AA569" t="s">
        <v>10426</v>
      </c>
      <c r="AB569" t="s">
        <v>10427</v>
      </c>
      <c r="AC569" t="s">
        <v>10428</v>
      </c>
      <c r="AD569" t="s">
        <v>10429</v>
      </c>
      <c r="AE569" t="s">
        <v>10430</v>
      </c>
      <c r="AF569" t="s">
        <v>74</v>
      </c>
      <c r="AG569">
        <v>80</v>
      </c>
      <c r="AH569">
        <v>227</v>
      </c>
      <c r="AI569">
        <v>239</v>
      </c>
      <c r="AJ569">
        <v>2</v>
      </c>
      <c r="AK569">
        <v>59</v>
      </c>
      <c r="AL569" t="s">
        <v>605</v>
      </c>
      <c r="AM569" t="s">
        <v>606</v>
      </c>
      <c r="AN569" t="s">
        <v>607</v>
      </c>
      <c r="AO569" t="s">
        <v>831</v>
      </c>
      <c r="AP569" t="s">
        <v>832</v>
      </c>
      <c r="AQ569" t="s">
        <v>74</v>
      </c>
      <c r="AR569" t="s">
        <v>833</v>
      </c>
      <c r="AS569" t="s">
        <v>834</v>
      </c>
      <c r="AT569" t="s">
        <v>10431</v>
      </c>
      <c r="AU569">
        <v>2009</v>
      </c>
      <c r="AV569">
        <v>114</v>
      </c>
      <c r="AW569" t="s">
        <v>74</v>
      </c>
      <c r="AX569" t="s">
        <v>74</v>
      </c>
      <c r="AY569" t="s">
        <v>74</v>
      </c>
      <c r="AZ569" t="s">
        <v>74</v>
      </c>
      <c r="BA569" t="s">
        <v>74</v>
      </c>
      <c r="BB569" t="s">
        <v>74</v>
      </c>
      <c r="BC569" t="s">
        <v>74</v>
      </c>
      <c r="BD569" t="s">
        <v>10432</v>
      </c>
      <c r="BE569" t="s">
        <v>10433</v>
      </c>
      <c r="BF569" t="str">
        <f>HYPERLINK("http://dx.doi.org/10.1029/2008JD010421","http://dx.doi.org/10.1029/2008JD010421")</f>
        <v>http://dx.doi.org/10.1029/2008JD010421</v>
      </c>
      <c r="BG569" t="s">
        <v>74</v>
      </c>
      <c r="BH569" t="s">
        <v>74</v>
      </c>
      <c r="BI569">
        <v>21</v>
      </c>
      <c r="BJ569" t="s">
        <v>398</v>
      </c>
      <c r="BK569" t="s">
        <v>100</v>
      </c>
      <c r="BL569" t="s">
        <v>398</v>
      </c>
      <c r="BM569" t="s">
        <v>10434</v>
      </c>
      <c r="BN569" t="s">
        <v>74</v>
      </c>
      <c r="BO569" t="s">
        <v>1353</v>
      </c>
      <c r="BP569" t="s">
        <v>74</v>
      </c>
      <c r="BQ569" t="s">
        <v>74</v>
      </c>
      <c r="BR569" t="s">
        <v>103</v>
      </c>
      <c r="BS569" t="s">
        <v>10435</v>
      </c>
      <c r="BT569" t="str">
        <f>HYPERLINK("https%3A%2F%2Fwww.webofscience.com%2Fwos%2Fwoscc%2Ffull-record%2FWOS:000262749300003","View Full Record in Web of Science")</f>
        <v>View Full Record in Web of Science</v>
      </c>
    </row>
    <row r="570" spans="1:72" x14ac:dyDescent="0.15">
      <c r="A570" t="s">
        <v>72</v>
      </c>
      <c r="B570" t="s">
        <v>10436</v>
      </c>
      <c r="C570" t="s">
        <v>74</v>
      </c>
      <c r="D570" t="s">
        <v>74</v>
      </c>
      <c r="E570" t="s">
        <v>74</v>
      </c>
      <c r="F570" t="s">
        <v>10437</v>
      </c>
      <c r="G570" t="s">
        <v>74</v>
      </c>
      <c r="H570" t="s">
        <v>74</v>
      </c>
      <c r="I570" t="s">
        <v>10438</v>
      </c>
      <c r="J570" t="s">
        <v>645</v>
      </c>
      <c r="K570" t="s">
        <v>74</v>
      </c>
      <c r="L570" t="s">
        <v>74</v>
      </c>
      <c r="M570" t="s">
        <v>78</v>
      </c>
      <c r="N570" t="s">
        <v>79</v>
      </c>
      <c r="O570" t="s">
        <v>74</v>
      </c>
      <c r="P570" t="s">
        <v>74</v>
      </c>
      <c r="Q570" t="s">
        <v>74</v>
      </c>
      <c r="R570" t="s">
        <v>74</v>
      </c>
      <c r="S570" t="s">
        <v>74</v>
      </c>
      <c r="T570" t="s">
        <v>74</v>
      </c>
      <c r="U570" t="s">
        <v>10439</v>
      </c>
      <c r="V570" t="s">
        <v>10440</v>
      </c>
      <c r="W570" t="s">
        <v>10441</v>
      </c>
      <c r="X570" t="s">
        <v>10442</v>
      </c>
      <c r="Y570" t="s">
        <v>10443</v>
      </c>
      <c r="Z570" t="s">
        <v>10444</v>
      </c>
      <c r="AA570" t="s">
        <v>10445</v>
      </c>
      <c r="AB570" t="s">
        <v>10446</v>
      </c>
      <c r="AC570" t="s">
        <v>10447</v>
      </c>
      <c r="AD570" t="s">
        <v>10448</v>
      </c>
      <c r="AE570" t="s">
        <v>10449</v>
      </c>
      <c r="AF570" t="s">
        <v>74</v>
      </c>
      <c r="AG570">
        <v>17</v>
      </c>
      <c r="AH570">
        <v>46</v>
      </c>
      <c r="AI570">
        <v>47</v>
      </c>
      <c r="AJ570">
        <v>0</v>
      </c>
      <c r="AK570">
        <v>4</v>
      </c>
      <c r="AL570" t="s">
        <v>605</v>
      </c>
      <c r="AM570" t="s">
        <v>606</v>
      </c>
      <c r="AN570" t="s">
        <v>607</v>
      </c>
      <c r="AO570" t="s">
        <v>657</v>
      </c>
      <c r="AP570" t="s">
        <v>658</v>
      </c>
      <c r="AQ570" t="s">
        <v>74</v>
      </c>
      <c r="AR570" t="s">
        <v>659</v>
      </c>
      <c r="AS570" t="s">
        <v>660</v>
      </c>
      <c r="AT570" t="s">
        <v>10450</v>
      </c>
      <c r="AU570">
        <v>2009</v>
      </c>
      <c r="AV570">
        <v>36</v>
      </c>
      <c r="AW570" t="s">
        <v>74</v>
      </c>
      <c r="AX570" t="s">
        <v>74</v>
      </c>
      <c r="AY570" t="s">
        <v>74</v>
      </c>
      <c r="AZ570" t="s">
        <v>74</v>
      </c>
      <c r="BA570" t="s">
        <v>74</v>
      </c>
      <c r="BB570" t="s">
        <v>74</v>
      </c>
      <c r="BC570" t="s">
        <v>74</v>
      </c>
      <c r="BD570" t="s">
        <v>10451</v>
      </c>
      <c r="BE570" t="s">
        <v>10452</v>
      </c>
      <c r="BF570" t="str">
        <f>HYPERLINK("http://dx.doi.org/10.1029/2008GL036629","http://dx.doi.org/10.1029/2008GL036629")</f>
        <v>http://dx.doi.org/10.1029/2008GL036629</v>
      </c>
      <c r="BG570" t="s">
        <v>74</v>
      </c>
      <c r="BH570" t="s">
        <v>74</v>
      </c>
      <c r="BI570">
        <v>4</v>
      </c>
      <c r="BJ570" t="s">
        <v>496</v>
      </c>
      <c r="BK570" t="s">
        <v>100</v>
      </c>
      <c r="BL570" t="s">
        <v>497</v>
      </c>
      <c r="BM570" t="s">
        <v>10453</v>
      </c>
      <c r="BN570" t="s">
        <v>74</v>
      </c>
      <c r="BO570" t="s">
        <v>1353</v>
      </c>
      <c r="BP570" t="s">
        <v>74</v>
      </c>
      <c r="BQ570" t="s">
        <v>74</v>
      </c>
      <c r="BR570" t="s">
        <v>103</v>
      </c>
      <c r="BS570" t="s">
        <v>10454</v>
      </c>
      <c r="BT570" t="str">
        <f>HYPERLINK("https%3A%2F%2Fwww.webofscience.com%2Fwos%2Fwoscc%2Ffull-record%2FWOS:000262747700006","View Full Record in Web of Science")</f>
        <v>View Full Record in Web of Science</v>
      </c>
    </row>
    <row r="571" spans="1:72" x14ac:dyDescent="0.15">
      <c r="A571" t="s">
        <v>72</v>
      </c>
      <c r="B571" t="s">
        <v>10455</v>
      </c>
      <c r="C571" t="s">
        <v>74</v>
      </c>
      <c r="D571" t="s">
        <v>74</v>
      </c>
      <c r="E571" t="s">
        <v>74</v>
      </c>
      <c r="F571" t="s">
        <v>10456</v>
      </c>
      <c r="G571" t="s">
        <v>74</v>
      </c>
      <c r="H571" t="s">
        <v>74</v>
      </c>
      <c r="I571" t="s">
        <v>10457</v>
      </c>
      <c r="J571" t="s">
        <v>820</v>
      </c>
      <c r="K571" t="s">
        <v>74</v>
      </c>
      <c r="L571" t="s">
        <v>74</v>
      </c>
      <c r="M571" t="s">
        <v>78</v>
      </c>
      <c r="N571" t="s">
        <v>79</v>
      </c>
      <c r="O571" t="s">
        <v>74</v>
      </c>
      <c r="P571" t="s">
        <v>74</v>
      </c>
      <c r="Q571" t="s">
        <v>74</v>
      </c>
      <c r="R571" t="s">
        <v>74</v>
      </c>
      <c r="S571" t="s">
        <v>74</v>
      </c>
      <c r="T571" t="s">
        <v>74</v>
      </c>
      <c r="U571" t="s">
        <v>10458</v>
      </c>
      <c r="V571" t="s">
        <v>10459</v>
      </c>
      <c r="W571" t="s">
        <v>10460</v>
      </c>
      <c r="X571" t="s">
        <v>10461</v>
      </c>
      <c r="Y571" t="s">
        <v>10462</v>
      </c>
      <c r="Z571" t="s">
        <v>10463</v>
      </c>
      <c r="AA571" t="s">
        <v>10464</v>
      </c>
      <c r="AB571" t="s">
        <v>10465</v>
      </c>
      <c r="AC571" t="s">
        <v>10466</v>
      </c>
      <c r="AD571" t="s">
        <v>10467</v>
      </c>
      <c r="AE571" t="s">
        <v>10468</v>
      </c>
      <c r="AF571" t="s">
        <v>74</v>
      </c>
      <c r="AG571">
        <v>37</v>
      </c>
      <c r="AH571">
        <v>50</v>
      </c>
      <c r="AI571">
        <v>60</v>
      </c>
      <c r="AJ571">
        <v>0</v>
      </c>
      <c r="AK571">
        <v>20</v>
      </c>
      <c r="AL571" t="s">
        <v>605</v>
      </c>
      <c r="AM571" t="s">
        <v>606</v>
      </c>
      <c r="AN571" t="s">
        <v>607</v>
      </c>
      <c r="AO571" t="s">
        <v>831</v>
      </c>
      <c r="AP571" t="s">
        <v>832</v>
      </c>
      <c r="AQ571" t="s">
        <v>74</v>
      </c>
      <c r="AR571" t="s">
        <v>833</v>
      </c>
      <c r="AS571" t="s">
        <v>834</v>
      </c>
      <c r="AT571" t="s">
        <v>10450</v>
      </c>
      <c r="AU571">
        <v>2009</v>
      </c>
      <c r="AV571">
        <v>114</v>
      </c>
      <c r="AW571" t="s">
        <v>74</v>
      </c>
      <c r="AX571" t="s">
        <v>74</v>
      </c>
      <c r="AY571" t="s">
        <v>74</v>
      </c>
      <c r="AZ571" t="s">
        <v>74</v>
      </c>
      <c r="BA571" t="s">
        <v>74</v>
      </c>
      <c r="BB571" t="s">
        <v>74</v>
      </c>
      <c r="BC571" t="s">
        <v>74</v>
      </c>
      <c r="BD571" t="s">
        <v>10469</v>
      </c>
      <c r="BE571" t="s">
        <v>10470</v>
      </c>
      <c r="BF571" t="str">
        <f>HYPERLINK("http://dx.doi.org/10.1029/2008JD010045","http://dx.doi.org/10.1029/2008JD010045")</f>
        <v>http://dx.doi.org/10.1029/2008JD010045</v>
      </c>
      <c r="BG571" t="s">
        <v>74</v>
      </c>
      <c r="BH571" t="s">
        <v>74</v>
      </c>
      <c r="BI571">
        <v>13</v>
      </c>
      <c r="BJ571" t="s">
        <v>398</v>
      </c>
      <c r="BK571" t="s">
        <v>100</v>
      </c>
      <c r="BL571" t="s">
        <v>398</v>
      </c>
      <c r="BM571" t="s">
        <v>10471</v>
      </c>
      <c r="BN571" t="s">
        <v>74</v>
      </c>
      <c r="BO571" t="s">
        <v>499</v>
      </c>
      <c r="BP571" t="s">
        <v>74</v>
      </c>
      <c r="BQ571" t="s">
        <v>74</v>
      </c>
      <c r="BR571" t="s">
        <v>103</v>
      </c>
      <c r="BS571" t="s">
        <v>10472</v>
      </c>
      <c r="BT571" t="str">
        <f>HYPERLINK("https%3A%2F%2Fwww.webofscience.com%2Fwos%2Fwoscc%2Ffull-record%2FWOS:000262749200002","View Full Record in Web of Science")</f>
        <v>View Full Record in Web of Science</v>
      </c>
    </row>
    <row r="572" spans="1:72" x14ac:dyDescent="0.15">
      <c r="A572" t="s">
        <v>72</v>
      </c>
      <c r="B572" t="s">
        <v>10473</v>
      </c>
      <c r="C572" t="s">
        <v>74</v>
      </c>
      <c r="D572" t="s">
        <v>74</v>
      </c>
      <c r="E572" t="s">
        <v>74</v>
      </c>
      <c r="F572" t="s">
        <v>10474</v>
      </c>
      <c r="G572" t="s">
        <v>74</v>
      </c>
      <c r="H572" t="s">
        <v>74</v>
      </c>
      <c r="I572" t="s">
        <v>10475</v>
      </c>
      <c r="J572" t="s">
        <v>3218</v>
      </c>
      <c r="K572" t="s">
        <v>74</v>
      </c>
      <c r="L572" t="s">
        <v>74</v>
      </c>
      <c r="M572" t="s">
        <v>78</v>
      </c>
      <c r="N572" t="s">
        <v>79</v>
      </c>
      <c r="O572" t="s">
        <v>74</v>
      </c>
      <c r="P572" t="s">
        <v>74</v>
      </c>
      <c r="Q572" t="s">
        <v>74</v>
      </c>
      <c r="R572" t="s">
        <v>74</v>
      </c>
      <c r="S572" t="s">
        <v>74</v>
      </c>
      <c r="T572" t="s">
        <v>74</v>
      </c>
      <c r="U572" t="s">
        <v>10476</v>
      </c>
      <c r="V572" t="s">
        <v>10477</v>
      </c>
      <c r="W572" t="s">
        <v>10478</v>
      </c>
      <c r="X572" t="s">
        <v>10479</v>
      </c>
      <c r="Y572" t="s">
        <v>10480</v>
      </c>
      <c r="Z572" t="s">
        <v>10481</v>
      </c>
      <c r="AA572" t="s">
        <v>10482</v>
      </c>
      <c r="AB572" t="s">
        <v>10483</v>
      </c>
      <c r="AC572" t="s">
        <v>10484</v>
      </c>
      <c r="AD572" t="s">
        <v>10485</v>
      </c>
      <c r="AE572" t="s">
        <v>10486</v>
      </c>
      <c r="AF572" t="s">
        <v>74</v>
      </c>
      <c r="AG572">
        <v>30</v>
      </c>
      <c r="AH572">
        <v>526</v>
      </c>
      <c r="AI572">
        <v>602</v>
      </c>
      <c r="AJ572">
        <v>4</v>
      </c>
      <c r="AK572">
        <v>164</v>
      </c>
      <c r="AL572" t="s">
        <v>3225</v>
      </c>
      <c r="AM572" t="s">
        <v>2924</v>
      </c>
      <c r="AN572" t="s">
        <v>3226</v>
      </c>
      <c r="AO572" t="s">
        <v>3227</v>
      </c>
      <c r="AP572" t="s">
        <v>5702</v>
      </c>
      <c r="AQ572" t="s">
        <v>74</v>
      </c>
      <c r="AR572" t="s">
        <v>3218</v>
      </c>
      <c r="AS572" t="s">
        <v>3228</v>
      </c>
      <c r="AT572" t="s">
        <v>10450</v>
      </c>
      <c r="AU572">
        <v>2009</v>
      </c>
      <c r="AV572">
        <v>457</v>
      </c>
      <c r="AW572">
        <v>7228</v>
      </c>
      <c r="AX572" t="s">
        <v>74</v>
      </c>
      <c r="AY572" t="s">
        <v>74</v>
      </c>
      <c r="AZ572" t="s">
        <v>74</v>
      </c>
      <c r="BA572" t="s">
        <v>74</v>
      </c>
      <c r="BB572">
        <v>459</v>
      </c>
      <c r="BC572">
        <v>462</v>
      </c>
      <c r="BD572" t="s">
        <v>74</v>
      </c>
      <c r="BE572" t="s">
        <v>10487</v>
      </c>
      <c r="BF572" t="str">
        <f>HYPERLINK("http://dx.doi.org/10.1038/nature07669","http://dx.doi.org/10.1038/nature07669")</f>
        <v>http://dx.doi.org/10.1038/nature07669</v>
      </c>
      <c r="BG572" t="s">
        <v>74</v>
      </c>
      <c r="BH572" t="s">
        <v>74</v>
      </c>
      <c r="BI572">
        <v>4</v>
      </c>
      <c r="BJ572" t="s">
        <v>790</v>
      </c>
      <c r="BK572" t="s">
        <v>100</v>
      </c>
      <c r="BL572" t="s">
        <v>791</v>
      </c>
      <c r="BM572" t="s">
        <v>10488</v>
      </c>
      <c r="BN572">
        <v>19158794</v>
      </c>
      <c r="BO572" t="s">
        <v>217</v>
      </c>
      <c r="BP572" t="s">
        <v>74</v>
      </c>
      <c r="BQ572" t="s">
        <v>74</v>
      </c>
      <c r="BR572" t="s">
        <v>103</v>
      </c>
      <c r="BS572" t="s">
        <v>10489</v>
      </c>
      <c r="BT572" t="str">
        <f>HYPERLINK("https%3A%2F%2Fwww.webofscience.com%2Fwos%2Fwoscc%2Ffull-record%2FWOS:000262519200042","View Full Record in Web of Science")</f>
        <v>View Full Record in Web of Science</v>
      </c>
    </row>
    <row r="573" spans="1:72" x14ac:dyDescent="0.15">
      <c r="A573" t="s">
        <v>72</v>
      </c>
      <c r="B573" t="s">
        <v>10490</v>
      </c>
      <c r="C573" t="s">
        <v>74</v>
      </c>
      <c r="D573" t="s">
        <v>74</v>
      </c>
      <c r="E573" t="s">
        <v>74</v>
      </c>
      <c r="F573" t="s">
        <v>10491</v>
      </c>
      <c r="G573" t="s">
        <v>74</v>
      </c>
      <c r="H573" t="s">
        <v>74</v>
      </c>
      <c r="I573" t="s">
        <v>10492</v>
      </c>
      <c r="J573" t="s">
        <v>621</v>
      </c>
      <c r="K573" t="s">
        <v>74</v>
      </c>
      <c r="L573" t="s">
        <v>74</v>
      </c>
      <c r="M573" t="s">
        <v>78</v>
      </c>
      <c r="N573" t="s">
        <v>79</v>
      </c>
      <c r="O573" t="s">
        <v>74</v>
      </c>
      <c r="P573" t="s">
        <v>74</v>
      </c>
      <c r="Q573" t="s">
        <v>74</v>
      </c>
      <c r="R573" t="s">
        <v>74</v>
      </c>
      <c r="S573" t="s">
        <v>74</v>
      </c>
      <c r="T573" t="s">
        <v>74</v>
      </c>
      <c r="U573" t="s">
        <v>10493</v>
      </c>
      <c r="V573" t="s">
        <v>10494</v>
      </c>
      <c r="W573" t="s">
        <v>10495</v>
      </c>
      <c r="X573" t="s">
        <v>10496</v>
      </c>
      <c r="Y573" t="s">
        <v>10497</v>
      </c>
      <c r="Z573" t="s">
        <v>10498</v>
      </c>
      <c r="AA573" t="s">
        <v>10499</v>
      </c>
      <c r="AB573" t="s">
        <v>10500</v>
      </c>
      <c r="AC573" t="s">
        <v>74</v>
      </c>
      <c r="AD573" t="s">
        <v>74</v>
      </c>
      <c r="AE573" t="s">
        <v>74</v>
      </c>
      <c r="AF573" t="s">
        <v>74</v>
      </c>
      <c r="AG573">
        <v>70</v>
      </c>
      <c r="AH573">
        <v>73</v>
      </c>
      <c r="AI573">
        <v>81</v>
      </c>
      <c r="AJ573">
        <v>0</v>
      </c>
      <c r="AK573">
        <v>24</v>
      </c>
      <c r="AL573" t="s">
        <v>605</v>
      </c>
      <c r="AM573" t="s">
        <v>606</v>
      </c>
      <c r="AN573" t="s">
        <v>607</v>
      </c>
      <c r="AO573" t="s">
        <v>633</v>
      </c>
      <c r="AP573" t="s">
        <v>634</v>
      </c>
      <c r="AQ573" t="s">
        <v>74</v>
      </c>
      <c r="AR573" t="s">
        <v>621</v>
      </c>
      <c r="AS573" t="s">
        <v>635</v>
      </c>
      <c r="AT573" t="s">
        <v>10450</v>
      </c>
      <c r="AU573">
        <v>2009</v>
      </c>
      <c r="AV573">
        <v>24</v>
      </c>
      <c r="AW573" t="s">
        <v>74</v>
      </c>
      <c r="AX573" t="s">
        <v>74</v>
      </c>
      <c r="AY573" t="s">
        <v>74</v>
      </c>
      <c r="AZ573" t="s">
        <v>74</v>
      </c>
      <c r="BA573" t="s">
        <v>74</v>
      </c>
      <c r="BB573" t="s">
        <v>74</v>
      </c>
      <c r="BC573" t="s">
        <v>74</v>
      </c>
      <c r="BD573" t="s">
        <v>10501</v>
      </c>
      <c r="BE573" t="s">
        <v>10502</v>
      </c>
      <c r="BF573" t="str">
        <f>HYPERLINK("http://dx.doi.org/10.1029/2008PA001603","http://dx.doi.org/10.1029/2008PA001603")</f>
        <v>http://dx.doi.org/10.1029/2008PA001603</v>
      </c>
      <c r="BG573" t="s">
        <v>74</v>
      </c>
      <c r="BH573" t="s">
        <v>74</v>
      </c>
      <c r="BI573">
        <v>14</v>
      </c>
      <c r="BJ573" t="s">
        <v>638</v>
      </c>
      <c r="BK573" t="s">
        <v>100</v>
      </c>
      <c r="BL573" t="s">
        <v>639</v>
      </c>
      <c r="BM573" t="s">
        <v>10503</v>
      </c>
      <c r="BN573" t="s">
        <v>74</v>
      </c>
      <c r="BO573" t="s">
        <v>1353</v>
      </c>
      <c r="BP573" t="s">
        <v>74</v>
      </c>
      <c r="BQ573" t="s">
        <v>74</v>
      </c>
      <c r="BR573" t="s">
        <v>103</v>
      </c>
      <c r="BS573" t="s">
        <v>10504</v>
      </c>
      <c r="BT573" t="str">
        <f>HYPERLINK("https%3A%2F%2Fwww.webofscience.com%2Fwos%2Fwoscc%2Ffull-record%2FWOS:000262754500001","View Full Record in Web of Science")</f>
        <v>View Full Record in Web of Science</v>
      </c>
    </row>
    <row r="574" spans="1:72" x14ac:dyDescent="0.15">
      <c r="A574" t="s">
        <v>72</v>
      </c>
      <c r="B574" t="s">
        <v>10505</v>
      </c>
      <c r="C574" t="s">
        <v>74</v>
      </c>
      <c r="D574" t="s">
        <v>74</v>
      </c>
      <c r="E574" t="s">
        <v>74</v>
      </c>
      <c r="F574" t="s">
        <v>10506</v>
      </c>
      <c r="G574" t="s">
        <v>74</v>
      </c>
      <c r="H574" t="s">
        <v>74</v>
      </c>
      <c r="I574" t="s">
        <v>10507</v>
      </c>
      <c r="J574" t="s">
        <v>3122</v>
      </c>
      <c r="K574" t="s">
        <v>74</v>
      </c>
      <c r="L574" t="s">
        <v>74</v>
      </c>
      <c r="M574" t="s">
        <v>78</v>
      </c>
      <c r="N574" t="s">
        <v>79</v>
      </c>
      <c r="O574" t="s">
        <v>74</v>
      </c>
      <c r="P574" t="s">
        <v>74</v>
      </c>
      <c r="Q574" t="s">
        <v>74</v>
      </c>
      <c r="R574" t="s">
        <v>74</v>
      </c>
      <c r="S574" t="s">
        <v>74</v>
      </c>
      <c r="T574" t="s">
        <v>10508</v>
      </c>
      <c r="U574" t="s">
        <v>10509</v>
      </c>
      <c r="V574" t="s">
        <v>10510</v>
      </c>
      <c r="W574" t="s">
        <v>10511</v>
      </c>
      <c r="X574" t="s">
        <v>10512</v>
      </c>
      <c r="Y574" t="s">
        <v>10513</v>
      </c>
      <c r="Z574" t="s">
        <v>10514</v>
      </c>
      <c r="AA574" t="s">
        <v>10515</v>
      </c>
      <c r="AB574" t="s">
        <v>10516</v>
      </c>
      <c r="AC574" t="s">
        <v>10517</v>
      </c>
      <c r="AD574" t="s">
        <v>10517</v>
      </c>
      <c r="AE574" t="s">
        <v>10518</v>
      </c>
      <c r="AF574" t="s">
        <v>74</v>
      </c>
      <c r="AG574">
        <v>32</v>
      </c>
      <c r="AH574">
        <v>51</v>
      </c>
      <c r="AI574">
        <v>57</v>
      </c>
      <c r="AJ574">
        <v>1</v>
      </c>
      <c r="AK574">
        <v>31</v>
      </c>
      <c r="AL574" t="s">
        <v>3054</v>
      </c>
      <c r="AM574" t="s">
        <v>2924</v>
      </c>
      <c r="AN574" t="s">
        <v>3055</v>
      </c>
      <c r="AO574" t="s">
        <v>3134</v>
      </c>
      <c r="AP574" t="s">
        <v>3465</v>
      </c>
      <c r="AQ574" t="s">
        <v>74</v>
      </c>
      <c r="AR574" t="s">
        <v>3135</v>
      </c>
      <c r="AS574" t="s">
        <v>3136</v>
      </c>
      <c r="AT574" t="s">
        <v>10450</v>
      </c>
      <c r="AU574">
        <v>2009</v>
      </c>
      <c r="AV574">
        <v>276</v>
      </c>
      <c r="AW574">
        <v>1655</v>
      </c>
      <c r="AX574" t="s">
        <v>74</v>
      </c>
      <c r="AY574" t="s">
        <v>74</v>
      </c>
      <c r="AZ574" t="s">
        <v>74</v>
      </c>
      <c r="BA574" t="s">
        <v>74</v>
      </c>
      <c r="BB574">
        <v>375</v>
      </c>
      <c r="BC574">
        <v>382</v>
      </c>
      <c r="BD574" t="s">
        <v>74</v>
      </c>
      <c r="BE574" t="s">
        <v>10519</v>
      </c>
      <c r="BF574" t="str">
        <f>HYPERLINK("http://dx.doi.org/10.1098/rspb.2008.0925","http://dx.doi.org/10.1098/rspb.2008.0925")</f>
        <v>http://dx.doi.org/10.1098/rspb.2008.0925</v>
      </c>
      <c r="BG574" t="s">
        <v>74</v>
      </c>
      <c r="BH574" t="s">
        <v>74</v>
      </c>
      <c r="BI574">
        <v>8</v>
      </c>
      <c r="BJ574" t="s">
        <v>3062</v>
      </c>
      <c r="BK574" t="s">
        <v>100</v>
      </c>
      <c r="BL574" t="s">
        <v>3063</v>
      </c>
      <c r="BM574" t="s">
        <v>10520</v>
      </c>
      <c r="BN574">
        <v>18832060</v>
      </c>
      <c r="BO574" t="s">
        <v>217</v>
      </c>
      <c r="BP574" t="s">
        <v>74</v>
      </c>
      <c r="BQ574" t="s">
        <v>74</v>
      </c>
      <c r="BR574" t="s">
        <v>103</v>
      </c>
      <c r="BS574" t="s">
        <v>10521</v>
      </c>
      <c r="BT574" t="str">
        <f>HYPERLINK("https%3A%2F%2Fwww.webofscience.com%2Fwos%2Fwoscc%2Ffull-record%2FWOS:000262005200024","View Full Record in Web of Science")</f>
        <v>View Full Record in Web of Science</v>
      </c>
    </row>
    <row r="575" spans="1:72" x14ac:dyDescent="0.15">
      <c r="A575" t="s">
        <v>72</v>
      </c>
      <c r="B575" t="s">
        <v>10522</v>
      </c>
      <c r="C575" t="s">
        <v>74</v>
      </c>
      <c r="D575" t="s">
        <v>74</v>
      </c>
      <c r="E575" t="s">
        <v>74</v>
      </c>
      <c r="F575" t="s">
        <v>10523</v>
      </c>
      <c r="G575" t="s">
        <v>74</v>
      </c>
      <c r="H575" t="s">
        <v>74</v>
      </c>
      <c r="I575" t="s">
        <v>10524</v>
      </c>
      <c r="J575" t="s">
        <v>5438</v>
      </c>
      <c r="K575" t="s">
        <v>74</v>
      </c>
      <c r="L575" t="s">
        <v>74</v>
      </c>
      <c r="M575" t="s">
        <v>78</v>
      </c>
      <c r="N575" t="s">
        <v>1437</v>
      </c>
      <c r="O575" t="s">
        <v>10525</v>
      </c>
      <c r="P575" t="s">
        <v>10526</v>
      </c>
      <c r="Q575" t="s">
        <v>10527</v>
      </c>
      <c r="R575" t="s">
        <v>74</v>
      </c>
      <c r="S575" t="s">
        <v>74</v>
      </c>
      <c r="T575" t="s">
        <v>10528</v>
      </c>
      <c r="U575" t="s">
        <v>10529</v>
      </c>
      <c r="V575" t="s">
        <v>10530</v>
      </c>
      <c r="W575" t="s">
        <v>10531</v>
      </c>
      <c r="X575" t="s">
        <v>10532</v>
      </c>
      <c r="Y575" t="s">
        <v>10533</v>
      </c>
      <c r="Z575" t="s">
        <v>10534</v>
      </c>
      <c r="AA575" t="s">
        <v>74</v>
      </c>
      <c r="AB575" t="s">
        <v>74</v>
      </c>
      <c r="AC575" t="s">
        <v>74</v>
      </c>
      <c r="AD575" t="s">
        <v>74</v>
      </c>
      <c r="AE575" t="s">
        <v>74</v>
      </c>
      <c r="AF575" t="s">
        <v>74</v>
      </c>
      <c r="AG575">
        <v>82</v>
      </c>
      <c r="AH575">
        <v>170</v>
      </c>
      <c r="AI575">
        <v>187</v>
      </c>
      <c r="AJ575">
        <v>0</v>
      </c>
      <c r="AK575">
        <v>34</v>
      </c>
      <c r="AL575" t="s">
        <v>251</v>
      </c>
      <c r="AM575" t="s">
        <v>252</v>
      </c>
      <c r="AN575" t="s">
        <v>253</v>
      </c>
      <c r="AO575" t="s">
        <v>5451</v>
      </c>
      <c r="AP575" t="s">
        <v>5452</v>
      </c>
      <c r="AQ575" t="s">
        <v>74</v>
      </c>
      <c r="AR575" t="s">
        <v>5438</v>
      </c>
      <c r="AS575" t="s">
        <v>5453</v>
      </c>
      <c r="AT575" t="s">
        <v>10535</v>
      </c>
      <c r="AU575">
        <v>2009</v>
      </c>
      <c r="AV575">
        <v>464</v>
      </c>
      <c r="AW575" t="s">
        <v>532</v>
      </c>
      <c r="AX575" t="s">
        <v>74</v>
      </c>
      <c r="AY575" t="s">
        <v>74</v>
      </c>
      <c r="AZ575" t="s">
        <v>2297</v>
      </c>
      <c r="BA575" t="s">
        <v>74</v>
      </c>
      <c r="BB575">
        <v>10</v>
      </c>
      <c r="BC575">
        <v>20</v>
      </c>
      <c r="BD575" t="s">
        <v>74</v>
      </c>
      <c r="BE575" t="s">
        <v>10536</v>
      </c>
      <c r="BF575" t="str">
        <f>HYPERLINK("http://dx.doi.org/10.1016/j.tecto.2008.02.013","http://dx.doi.org/10.1016/j.tecto.2008.02.013")</f>
        <v>http://dx.doi.org/10.1016/j.tecto.2008.02.013</v>
      </c>
      <c r="BG575" t="s">
        <v>74</v>
      </c>
      <c r="BH575" t="s">
        <v>74</v>
      </c>
      <c r="BI575">
        <v>11</v>
      </c>
      <c r="BJ575" t="s">
        <v>534</v>
      </c>
      <c r="BK575" t="s">
        <v>1453</v>
      </c>
      <c r="BL575" t="s">
        <v>534</v>
      </c>
      <c r="BM575" t="s">
        <v>10537</v>
      </c>
      <c r="BN575" t="s">
        <v>74</v>
      </c>
      <c r="BO575" t="s">
        <v>74</v>
      </c>
      <c r="BP575" t="s">
        <v>74</v>
      </c>
      <c r="BQ575" t="s">
        <v>74</v>
      </c>
      <c r="BR575" t="s">
        <v>103</v>
      </c>
      <c r="BS575" t="s">
        <v>10538</v>
      </c>
      <c r="BT575" t="str">
        <f>HYPERLINK("https%3A%2F%2Fwww.webofscience.com%2Fwos%2Fwoscc%2Ffull-record%2FWOS:000263220500003","View Full Record in Web of Science")</f>
        <v>View Full Record in Web of Science</v>
      </c>
    </row>
    <row r="576" spans="1:72" x14ac:dyDescent="0.15">
      <c r="A576" t="s">
        <v>72</v>
      </c>
      <c r="B576" t="s">
        <v>10539</v>
      </c>
      <c r="C576" t="s">
        <v>74</v>
      </c>
      <c r="D576" t="s">
        <v>74</v>
      </c>
      <c r="E576" t="s">
        <v>74</v>
      </c>
      <c r="F576" t="s">
        <v>10540</v>
      </c>
      <c r="G576" t="s">
        <v>74</v>
      </c>
      <c r="H576" t="s">
        <v>74</v>
      </c>
      <c r="I576" t="s">
        <v>10541</v>
      </c>
      <c r="J576" t="s">
        <v>5438</v>
      </c>
      <c r="K576" t="s">
        <v>74</v>
      </c>
      <c r="L576" t="s">
        <v>74</v>
      </c>
      <c r="M576" t="s">
        <v>78</v>
      </c>
      <c r="N576" t="s">
        <v>1437</v>
      </c>
      <c r="O576" t="s">
        <v>10525</v>
      </c>
      <c r="P576" t="s">
        <v>10526</v>
      </c>
      <c r="Q576" t="s">
        <v>10527</v>
      </c>
      <c r="R576" t="s">
        <v>74</v>
      </c>
      <c r="S576" t="s">
        <v>74</v>
      </c>
      <c r="T576" t="s">
        <v>10542</v>
      </c>
      <c r="U576" t="s">
        <v>10543</v>
      </c>
      <c r="V576" t="s">
        <v>10544</v>
      </c>
      <c r="W576" t="s">
        <v>10545</v>
      </c>
      <c r="X576" t="s">
        <v>10546</v>
      </c>
      <c r="Y576" t="s">
        <v>10547</v>
      </c>
      <c r="Z576" t="s">
        <v>10548</v>
      </c>
      <c r="AA576" t="s">
        <v>74</v>
      </c>
      <c r="AB576" t="s">
        <v>10549</v>
      </c>
      <c r="AC576" t="s">
        <v>10550</v>
      </c>
      <c r="AD576" t="s">
        <v>1490</v>
      </c>
      <c r="AE576" t="s">
        <v>74</v>
      </c>
      <c r="AF576" t="s">
        <v>74</v>
      </c>
      <c r="AG576">
        <v>44</v>
      </c>
      <c r="AH576">
        <v>43</v>
      </c>
      <c r="AI576">
        <v>46</v>
      </c>
      <c r="AJ576">
        <v>0</v>
      </c>
      <c r="AK576">
        <v>12</v>
      </c>
      <c r="AL576" t="s">
        <v>251</v>
      </c>
      <c r="AM576" t="s">
        <v>252</v>
      </c>
      <c r="AN576" t="s">
        <v>253</v>
      </c>
      <c r="AO576" t="s">
        <v>5451</v>
      </c>
      <c r="AP576" t="s">
        <v>5452</v>
      </c>
      <c r="AQ576" t="s">
        <v>74</v>
      </c>
      <c r="AR576" t="s">
        <v>5438</v>
      </c>
      <c r="AS576" t="s">
        <v>5453</v>
      </c>
      <c r="AT576" t="s">
        <v>10535</v>
      </c>
      <c r="AU576">
        <v>2009</v>
      </c>
      <c r="AV576">
        <v>464</v>
      </c>
      <c r="AW576" t="s">
        <v>532</v>
      </c>
      <c r="AX576" t="s">
        <v>74</v>
      </c>
      <c r="AY576" t="s">
        <v>74</v>
      </c>
      <c r="AZ576" t="s">
        <v>2297</v>
      </c>
      <c r="BA576" t="s">
        <v>74</v>
      </c>
      <c r="BB576">
        <v>21</v>
      </c>
      <c r="BC576">
        <v>29</v>
      </c>
      <c r="BD576" t="s">
        <v>74</v>
      </c>
      <c r="BE576" t="s">
        <v>10551</v>
      </c>
      <c r="BF576" t="str">
        <f>HYPERLINK("http://dx.doi.org/10.1016/j.tecto.2007.10.005","http://dx.doi.org/10.1016/j.tecto.2007.10.005")</f>
        <v>http://dx.doi.org/10.1016/j.tecto.2007.10.005</v>
      </c>
      <c r="BG576" t="s">
        <v>74</v>
      </c>
      <c r="BH576" t="s">
        <v>74</v>
      </c>
      <c r="BI576">
        <v>9</v>
      </c>
      <c r="BJ576" t="s">
        <v>534</v>
      </c>
      <c r="BK576" t="s">
        <v>1453</v>
      </c>
      <c r="BL576" t="s">
        <v>534</v>
      </c>
      <c r="BM576" t="s">
        <v>10537</v>
      </c>
      <c r="BN576" t="s">
        <v>74</v>
      </c>
      <c r="BO576" t="s">
        <v>217</v>
      </c>
      <c r="BP576" t="s">
        <v>74</v>
      </c>
      <c r="BQ576" t="s">
        <v>74</v>
      </c>
      <c r="BR576" t="s">
        <v>103</v>
      </c>
      <c r="BS576" t="s">
        <v>10552</v>
      </c>
      <c r="BT576" t="str">
        <f>HYPERLINK("https%3A%2F%2Fwww.webofscience.com%2Fwos%2Fwoscc%2Ffull-record%2FWOS:000263220500004","View Full Record in Web of Science")</f>
        <v>View Full Record in Web of Science</v>
      </c>
    </row>
    <row r="577" spans="1:72" x14ac:dyDescent="0.15">
      <c r="A577" t="s">
        <v>72</v>
      </c>
      <c r="B577" t="s">
        <v>10553</v>
      </c>
      <c r="C577" t="s">
        <v>74</v>
      </c>
      <c r="D577" t="s">
        <v>74</v>
      </c>
      <c r="E577" t="s">
        <v>74</v>
      </c>
      <c r="F577" t="s">
        <v>10554</v>
      </c>
      <c r="G577" t="s">
        <v>74</v>
      </c>
      <c r="H577" t="s">
        <v>74</v>
      </c>
      <c r="I577" t="s">
        <v>10555</v>
      </c>
      <c r="J577" t="s">
        <v>10556</v>
      </c>
      <c r="K577" t="s">
        <v>74</v>
      </c>
      <c r="L577" t="s">
        <v>74</v>
      </c>
      <c r="M577" t="s">
        <v>78</v>
      </c>
      <c r="N577" t="s">
        <v>79</v>
      </c>
      <c r="O577" t="s">
        <v>74</v>
      </c>
      <c r="P577" t="s">
        <v>74</v>
      </c>
      <c r="Q577" t="s">
        <v>74</v>
      </c>
      <c r="R577" t="s">
        <v>74</v>
      </c>
      <c r="S577" t="s">
        <v>74</v>
      </c>
      <c r="T577" t="s">
        <v>74</v>
      </c>
      <c r="U577" t="s">
        <v>10557</v>
      </c>
      <c r="V577" t="s">
        <v>10558</v>
      </c>
      <c r="W577" t="s">
        <v>10559</v>
      </c>
      <c r="X577" t="s">
        <v>10560</v>
      </c>
      <c r="Y577" t="s">
        <v>10561</v>
      </c>
      <c r="Z577" t="s">
        <v>10562</v>
      </c>
      <c r="AA577" t="s">
        <v>74</v>
      </c>
      <c r="AB577" t="s">
        <v>10563</v>
      </c>
      <c r="AC577" t="s">
        <v>10564</v>
      </c>
      <c r="AD577" t="s">
        <v>10565</v>
      </c>
      <c r="AE577" t="s">
        <v>10566</v>
      </c>
      <c r="AF577" t="s">
        <v>74</v>
      </c>
      <c r="AG577">
        <v>53</v>
      </c>
      <c r="AH577">
        <v>31</v>
      </c>
      <c r="AI577">
        <v>32</v>
      </c>
      <c r="AJ577">
        <v>1</v>
      </c>
      <c r="AK577">
        <v>31</v>
      </c>
      <c r="AL577" t="s">
        <v>5873</v>
      </c>
      <c r="AM577" t="s">
        <v>2924</v>
      </c>
      <c r="AN577" t="s">
        <v>5874</v>
      </c>
      <c r="AO577" t="s">
        <v>10567</v>
      </c>
      <c r="AP577" t="s">
        <v>74</v>
      </c>
      <c r="AQ577" t="s">
        <v>74</v>
      </c>
      <c r="AR577" t="s">
        <v>10568</v>
      </c>
      <c r="AS577" t="s">
        <v>10569</v>
      </c>
      <c r="AT577" t="s">
        <v>10570</v>
      </c>
      <c r="AU577">
        <v>2009</v>
      </c>
      <c r="AV577">
        <v>9</v>
      </c>
      <c r="AW577" t="s">
        <v>74</v>
      </c>
      <c r="AX577" t="s">
        <v>74</v>
      </c>
      <c r="AY577" t="s">
        <v>74</v>
      </c>
      <c r="AZ577" t="s">
        <v>74</v>
      </c>
      <c r="BA577" t="s">
        <v>74</v>
      </c>
      <c r="BB577" t="s">
        <v>74</v>
      </c>
      <c r="BC577" t="s">
        <v>74</v>
      </c>
      <c r="BD577">
        <v>15</v>
      </c>
      <c r="BE577" t="s">
        <v>10571</v>
      </c>
      <c r="BF577" t="str">
        <f>HYPERLINK("http://dx.doi.org/10.1186/1471-2148-9-15","http://dx.doi.org/10.1186/1471-2148-9-15")</f>
        <v>http://dx.doi.org/10.1186/1471-2148-9-15</v>
      </c>
      <c r="BG577" t="s">
        <v>74</v>
      </c>
      <c r="BH577" t="s">
        <v>74</v>
      </c>
      <c r="BI577">
        <v>13</v>
      </c>
      <c r="BJ577" t="s">
        <v>10572</v>
      </c>
      <c r="BK577" t="s">
        <v>100</v>
      </c>
      <c r="BL577" t="s">
        <v>10572</v>
      </c>
      <c r="BM577" t="s">
        <v>10573</v>
      </c>
      <c r="BN577">
        <v>19149894</v>
      </c>
      <c r="BO577" t="s">
        <v>8401</v>
      </c>
      <c r="BP577" t="s">
        <v>74</v>
      </c>
      <c r="BQ577" t="s">
        <v>74</v>
      </c>
      <c r="BR577" t="s">
        <v>103</v>
      </c>
      <c r="BS577" t="s">
        <v>10574</v>
      </c>
      <c r="BT577" t="str">
        <f>HYPERLINK("https%3A%2F%2Fwww.webofscience.com%2Fwos%2Fwoscc%2Ffull-record%2FWOS:000263055400001","View Full Record in Web of Science")</f>
        <v>View Full Record in Web of Science</v>
      </c>
    </row>
    <row r="578" spans="1:72" x14ac:dyDescent="0.15">
      <c r="A578" t="s">
        <v>72</v>
      </c>
      <c r="B578" t="s">
        <v>10575</v>
      </c>
      <c r="C578" t="s">
        <v>74</v>
      </c>
      <c r="D578" t="s">
        <v>74</v>
      </c>
      <c r="E578" t="s">
        <v>74</v>
      </c>
      <c r="F578" t="s">
        <v>10576</v>
      </c>
      <c r="G578" t="s">
        <v>74</v>
      </c>
      <c r="H578" t="s">
        <v>74</v>
      </c>
      <c r="I578" t="s">
        <v>10577</v>
      </c>
      <c r="J578" t="s">
        <v>10578</v>
      </c>
      <c r="K578" t="s">
        <v>74</v>
      </c>
      <c r="L578" t="s">
        <v>74</v>
      </c>
      <c r="M578" t="s">
        <v>78</v>
      </c>
      <c r="N578" t="s">
        <v>172</v>
      </c>
      <c r="O578" t="s">
        <v>74</v>
      </c>
      <c r="P578" t="s">
        <v>74</v>
      </c>
      <c r="Q578" t="s">
        <v>74</v>
      </c>
      <c r="R578" t="s">
        <v>74</v>
      </c>
      <c r="S578" t="s">
        <v>74</v>
      </c>
      <c r="T578" t="s">
        <v>10579</v>
      </c>
      <c r="U578" t="s">
        <v>10580</v>
      </c>
      <c r="V578" t="s">
        <v>10581</v>
      </c>
      <c r="W578" t="s">
        <v>10582</v>
      </c>
      <c r="X578" t="s">
        <v>10583</v>
      </c>
      <c r="Y578" t="s">
        <v>10584</v>
      </c>
      <c r="Z578" t="s">
        <v>10585</v>
      </c>
      <c r="AA578" t="s">
        <v>412</v>
      </c>
      <c r="AB578" t="s">
        <v>10586</v>
      </c>
      <c r="AC578" t="s">
        <v>74</v>
      </c>
      <c r="AD578" t="s">
        <v>74</v>
      </c>
      <c r="AE578" t="s">
        <v>74</v>
      </c>
      <c r="AF578" t="s">
        <v>74</v>
      </c>
      <c r="AG578">
        <v>104</v>
      </c>
      <c r="AH578">
        <v>119</v>
      </c>
      <c r="AI578">
        <v>127</v>
      </c>
      <c r="AJ578">
        <v>4</v>
      </c>
      <c r="AK578">
        <v>82</v>
      </c>
      <c r="AL578" t="s">
        <v>251</v>
      </c>
      <c r="AM578" t="s">
        <v>252</v>
      </c>
      <c r="AN578" t="s">
        <v>253</v>
      </c>
      <c r="AO578" t="s">
        <v>10587</v>
      </c>
      <c r="AP578" t="s">
        <v>10588</v>
      </c>
      <c r="AQ578" t="s">
        <v>74</v>
      </c>
      <c r="AR578" t="s">
        <v>10589</v>
      </c>
      <c r="AS578" t="s">
        <v>10590</v>
      </c>
      <c r="AT578" t="s">
        <v>10570</v>
      </c>
      <c r="AU578">
        <v>2009</v>
      </c>
      <c r="AV578">
        <v>1216</v>
      </c>
      <c r="AW578">
        <v>3</v>
      </c>
      <c r="AX578" t="s">
        <v>74</v>
      </c>
      <c r="AY578" t="s">
        <v>74</v>
      </c>
      <c r="AZ578" t="s">
        <v>74</v>
      </c>
      <c r="BA578" t="s">
        <v>74</v>
      </c>
      <c r="BB578">
        <v>598</v>
      </c>
      <c r="BC578">
        <v>612</v>
      </c>
      <c r="BD578" t="s">
        <v>74</v>
      </c>
      <c r="BE578" t="s">
        <v>10591</v>
      </c>
      <c r="BF578" t="str">
        <f>HYPERLINK("http://dx.doi.org/10.1016/j.chroma.2008.08.012","http://dx.doi.org/10.1016/j.chroma.2008.08.012")</f>
        <v>http://dx.doi.org/10.1016/j.chroma.2008.08.012</v>
      </c>
      <c r="BG578" t="s">
        <v>74</v>
      </c>
      <c r="BH578" t="s">
        <v>74</v>
      </c>
      <c r="BI578">
        <v>15</v>
      </c>
      <c r="BJ578" t="s">
        <v>10592</v>
      </c>
      <c r="BK578" t="s">
        <v>100</v>
      </c>
      <c r="BL578" t="s">
        <v>8200</v>
      </c>
      <c r="BM578" t="s">
        <v>10593</v>
      </c>
      <c r="BN578">
        <v>18723171</v>
      </c>
      <c r="BO578" t="s">
        <v>74</v>
      </c>
      <c r="BP578" t="s">
        <v>74</v>
      </c>
      <c r="BQ578" t="s">
        <v>74</v>
      </c>
      <c r="BR578" t="s">
        <v>103</v>
      </c>
      <c r="BS578" t="s">
        <v>10594</v>
      </c>
      <c r="BT578" t="str">
        <f>HYPERLINK("https%3A%2F%2Fwww.webofscience.com%2Fwos%2Fwoscc%2Ffull-record%2FWOS:000262762900024","View Full Record in Web of Science")</f>
        <v>View Full Record in Web of Science</v>
      </c>
    </row>
    <row r="579" spans="1:72" x14ac:dyDescent="0.15">
      <c r="A579" t="s">
        <v>72</v>
      </c>
      <c r="B579" t="s">
        <v>10595</v>
      </c>
      <c r="C579" t="s">
        <v>74</v>
      </c>
      <c r="D579" t="s">
        <v>74</v>
      </c>
      <c r="E579" t="s">
        <v>74</v>
      </c>
      <c r="F579" t="s">
        <v>10596</v>
      </c>
      <c r="G579" t="s">
        <v>74</v>
      </c>
      <c r="H579" t="s">
        <v>74</v>
      </c>
      <c r="I579" t="s">
        <v>10597</v>
      </c>
      <c r="J579" t="s">
        <v>5974</v>
      </c>
      <c r="K579" t="s">
        <v>74</v>
      </c>
      <c r="L579" t="s">
        <v>74</v>
      </c>
      <c r="M579" t="s">
        <v>78</v>
      </c>
      <c r="N579" t="s">
        <v>79</v>
      </c>
      <c r="O579" t="s">
        <v>74</v>
      </c>
      <c r="P579" t="s">
        <v>74</v>
      </c>
      <c r="Q579" t="s">
        <v>74</v>
      </c>
      <c r="R579" t="s">
        <v>74</v>
      </c>
      <c r="S579" t="s">
        <v>74</v>
      </c>
      <c r="T579" t="s">
        <v>74</v>
      </c>
      <c r="U579" t="s">
        <v>10598</v>
      </c>
      <c r="V579" t="s">
        <v>10599</v>
      </c>
      <c r="W579" t="s">
        <v>10600</v>
      </c>
      <c r="X579" t="s">
        <v>10601</v>
      </c>
      <c r="Y579" t="s">
        <v>10602</v>
      </c>
      <c r="Z579" t="s">
        <v>74</v>
      </c>
      <c r="AA579" t="s">
        <v>74</v>
      </c>
      <c r="AB579" t="s">
        <v>74</v>
      </c>
      <c r="AC579" t="s">
        <v>10603</v>
      </c>
      <c r="AD579" t="s">
        <v>1026</v>
      </c>
      <c r="AE579" t="s">
        <v>10604</v>
      </c>
      <c r="AF579" t="s">
        <v>74</v>
      </c>
      <c r="AG579">
        <v>34</v>
      </c>
      <c r="AH579">
        <v>36</v>
      </c>
      <c r="AI579">
        <v>39</v>
      </c>
      <c r="AJ579">
        <v>0</v>
      </c>
      <c r="AK579">
        <v>3</v>
      </c>
      <c r="AL579" t="s">
        <v>605</v>
      </c>
      <c r="AM579" t="s">
        <v>606</v>
      </c>
      <c r="AN579" t="s">
        <v>607</v>
      </c>
      <c r="AO579" t="s">
        <v>5986</v>
      </c>
      <c r="AP579" t="s">
        <v>5987</v>
      </c>
      <c r="AQ579" t="s">
        <v>74</v>
      </c>
      <c r="AR579" t="s">
        <v>5988</v>
      </c>
      <c r="AS579" t="s">
        <v>5989</v>
      </c>
      <c r="AT579" t="s">
        <v>10570</v>
      </c>
      <c r="AU579">
        <v>2009</v>
      </c>
      <c r="AV579">
        <v>114</v>
      </c>
      <c r="AW579" t="s">
        <v>74</v>
      </c>
      <c r="AX579" t="s">
        <v>74</v>
      </c>
      <c r="AY579" t="s">
        <v>74</v>
      </c>
      <c r="AZ579" t="s">
        <v>74</v>
      </c>
      <c r="BA579" t="s">
        <v>74</v>
      </c>
      <c r="BB579" t="s">
        <v>74</v>
      </c>
      <c r="BC579" t="s">
        <v>74</v>
      </c>
      <c r="BD579" t="s">
        <v>10605</v>
      </c>
      <c r="BE579" t="s">
        <v>10606</v>
      </c>
      <c r="BF579" t="str">
        <f>HYPERLINK("http://dx.doi.org/10.1029/2007JB005473","http://dx.doi.org/10.1029/2007JB005473")</f>
        <v>http://dx.doi.org/10.1029/2007JB005473</v>
      </c>
      <c r="BG579" t="s">
        <v>74</v>
      </c>
      <c r="BH579" t="s">
        <v>74</v>
      </c>
      <c r="BI579">
        <v>8</v>
      </c>
      <c r="BJ579" t="s">
        <v>534</v>
      </c>
      <c r="BK579" t="s">
        <v>100</v>
      </c>
      <c r="BL579" t="s">
        <v>534</v>
      </c>
      <c r="BM579" t="s">
        <v>10607</v>
      </c>
      <c r="BN579" t="s">
        <v>74</v>
      </c>
      <c r="BO579" t="s">
        <v>499</v>
      </c>
      <c r="BP579" t="s">
        <v>74</v>
      </c>
      <c r="BQ579" t="s">
        <v>74</v>
      </c>
      <c r="BR579" t="s">
        <v>103</v>
      </c>
      <c r="BS579" t="s">
        <v>10608</v>
      </c>
      <c r="BT579" t="str">
        <f>HYPERLINK("https%3A%2F%2Fwww.webofscience.com%2Fwos%2Fwoscc%2Ffull-record%2FWOS:000262629200001","View Full Record in Web of Science")</f>
        <v>View Full Record in Web of Science</v>
      </c>
    </row>
    <row r="580" spans="1:72" x14ac:dyDescent="0.15">
      <c r="A580" t="s">
        <v>72</v>
      </c>
      <c r="B580" t="s">
        <v>10609</v>
      </c>
      <c r="C580" t="s">
        <v>74</v>
      </c>
      <c r="D580" t="s">
        <v>74</v>
      </c>
      <c r="E580" t="s">
        <v>74</v>
      </c>
      <c r="F580" t="s">
        <v>10610</v>
      </c>
      <c r="G580" t="s">
        <v>74</v>
      </c>
      <c r="H580" t="s">
        <v>74</v>
      </c>
      <c r="I580" t="s">
        <v>10611</v>
      </c>
      <c r="J580" t="s">
        <v>772</v>
      </c>
      <c r="K580" t="s">
        <v>74</v>
      </c>
      <c r="L580" t="s">
        <v>74</v>
      </c>
      <c r="M580" t="s">
        <v>78</v>
      </c>
      <c r="N580" t="s">
        <v>79</v>
      </c>
      <c r="O580" t="s">
        <v>74</v>
      </c>
      <c r="P580" t="s">
        <v>74</v>
      </c>
      <c r="Q580" t="s">
        <v>74</v>
      </c>
      <c r="R580" t="s">
        <v>74</v>
      </c>
      <c r="S580" t="s">
        <v>74</v>
      </c>
      <c r="T580" t="s">
        <v>74</v>
      </c>
      <c r="U580" t="s">
        <v>10612</v>
      </c>
      <c r="V580" t="s">
        <v>10613</v>
      </c>
      <c r="W580" t="s">
        <v>10614</v>
      </c>
      <c r="X580" t="s">
        <v>10615</v>
      </c>
      <c r="Y580" t="s">
        <v>10616</v>
      </c>
      <c r="Z580" t="s">
        <v>10617</v>
      </c>
      <c r="AA580" t="s">
        <v>10618</v>
      </c>
      <c r="AB580" t="s">
        <v>10619</v>
      </c>
      <c r="AC580" t="s">
        <v>10620</v>
      </c>
      <c r="AD580" t="s">
        <v>10621</v>
      </c>
      <c r="AE580" t="s">
        <v>10622</v>
      </c>
      <c r="AF580" t="s">
        <v>74</v>
      </c>
      <c r="AG580">
        <v>37</v>
      </c>
      <c r="AH580">
        <v>194</v>
      </c>
      <c r="AI580">
        <v>217</v>
      </c>
      <c r="AJ580">
        <v>11</v>
      </c>
      <c r="AK580">
        <v>144</v>
      </c>
      <c r="AL580" t="s">
        <v>784</v>
      </c>
      <c r="AM580" t="s">
        <v>606</v>
      </c>
      <c r="AN580" t="s">
        <v>785</v>
      </c>
      <c r="AO580" t="s">
        <v>786</v>
      </c>
      <c r="AP580" t="s">
        <v>787</v>
      </c>
      <c r="AQ580" t="s">
        <v>74</v>
      </c>
      <c r="AR580" t="s">
        <v>772</v>
      </c>
      <c r="AS580" t="s">
        <v>788</v>
      </c>
      <c r="AT580" t="s">
        <v>10570</v>
      </c>
      <c r="AU580">
        <v>2009</v>
      </c>
      <c r="AV580">
        <v>323</v>
      </c>
      <c r="AW580">
        <v>5912</v>
      </c>
      <c r="AX580" t="s">
        <v>74</v>
      </c>
      <c r="AY580" t="s">
        <v>74</v>
      </c>
      <c r="AZ580" t="s">
        <v>74</v>
      </c>
      <c r="BA580" t="s">
        <v>74</v>
      </c>
      <c r="BB580">
        <v>359</v>
      </c>
      <c r="BC580">
        <v>362</v>
      </c>
      <c r="BD580" t="s">
        <v>74</v>
      </c>
      <c r="BE580" t="s">
        <v>10623</v>
      </c>
      <c r="BF580" t="str">
        <f>HYPERLINK("http://dx.doi.org/10.1126/science.1157972","http://dx.doi.org/10.1126/science.1157972")</f>
        <v>http://dx.doi.org/10.1126/science.1157972</v>
      </c>
      <c r="BG580" t="s">
        <v>74</v>
      </c>
      <c r="BH580" t="s">
        <v>74</v>
      </c>
      <c r="BI580">
        <v>4</v>
      </c>
      <c r="BJ580" t="s">
        <v>790</v>
      </c>
      <c r="BK580" t="s">
        <v>100</v>
      </c>
      <c r="BL580" t="s">
        <v>791</v>
      </c>
      <c r="BM580" t="s">
        <v>10624</v>
      </c>
      <c r="BN580">
        <v>19150840</v>
      </c>
      <c r="BO580" t="s">
        <v>74</v>
      </c>
      <c r="BP580" t="s">
        <v>74</v>
      </c>
      <c r="BQ580" t="s">
        <v>74</v>
      </c>
      <c r="BR580" t="s">
        <v>103</v>
      </c>
      <c r="BS580" t="s">
        <v>10625</v>
      </c>
      <c r="BT580" t="str">
        <f>HYPERLINK("https%3A%2F%2Fwww.webofscience.com%2Fwos%2Fwoscc%2Ffull-record%2FWOS:000262481400032","View Full Record in Web of Science")</f>
        <v>View Full Record in Web of Science</v>
      </c>
    </row>
    <row r="581" spans="1:72" x14ac:dyDescent="0.15">
      <c r="A581" t="s">
        <v>72</v>
      </c>
      <c r="B581" t="s">
        <v>10626</v>
      </c>
      <c r="C581" t="s">
        <v>74</v>
      </c>
      <c r="D581" t="s">
        <v>74</v>
      </c>
      <c r="E581" t="s">
        <v>74</v>
      </c>
      <c r="F581" t="s">
        <v>10627</v>
      </c>
      <c r="G581" t="s">
        <v>74</v>
      </c>
      <c r="H581" t="s">
        <v>74</v>
      </c>
      <c r="I581" t="s">
        <v>10628</v>
      </c>
      <c r="J581" t="s">
        <v>4483</v>
      </c>
      <c r="K581" t="s">
        <v>74</v>
      </c>
      <c r="L581" t="s">
        <v>74</v>
      </c>
      <c r="M581" t="s">
        <v>78</v>
      </c>
      <c r="N581" t="s">
        <v>79</v>
      </c>
      <c r="O581" t="s">
        <v>74</v>
      </c>
      <c r="P581" t="s">
        <v>74</v>
      </c>
      <c r="Q581" t="s">
        <v>74</v>
      </c>
      <c r="R581" t="s">
        <v>74</v>
      </c>
      <c r="S581" t="s">
        <v>74</v>
      </c>
      <c r="T581" t="s">
        <v>74</v>
      </c>
      <c r="U581" t="s">
        <v>10629</v>
      </c>
      <c r="V581" t="s">
        <v>10630</v>
      </c>
      <c r="W581" t="s">
        <v>10631</v>
      </c>
      <c r="X581" t="s">
        <v>10632</v>
      </c>
      <c r="Y581" t="s">
        <v>10633</v>
      </c>
      <c r="Z581" t="s">
        <v>10634</v>
      </c>
      <c r="AA581" t="s">
        <v>10635</v>
      </c>
      <c r="AB581" t="s">
        <v>10636</v>
      </c>
      <c r="AC581" t="s">
        <v>10637</v>
      </c>
      <c r="AD581" t="s">
        <v>10638</v>
      </c>
      <c r="AE581" t="s">
        <v>10639</v>
      </c>
      <c r="AF581" t="s">
        <v>74</v>
      </c>
      <c r="AG581">
        <v>38</v>
      </c>
      <c r="AH581">
        <v>70</v>
      </c>
      <c r="AI581">
        <v>84</v>
      </c>
      <c r="AJ581">
        <v>2</v>
      </c>
      <c r="AK581">
        <v>23</v>
      </c>
      <c r="AL581" t="s">
        <v>4494</v>
      </c>
      <c r="AM581" t="s">
        <v>606</v>
      </c>
      <c r="AN581" t="s">
        <v>4495</v>
      </c>
      <c r="AO581" t="s">
        <v>4496</v>
      </c>
      <c r="AP581" t="s">
        <v>4497</v>
      </c>
      <c r="AQ581" t="s">
        <v>74</v>
      </c>
      <c r="AR581" t="s">
        <v>4498</v>
      </c>
      <c r="AS581" t="s">
        <v>4499</v>
      </c>
      <c r="AT581" t="s">
        <v>10640</v>
      </c>
      <c r="AU581">
        <v>2009</v>
      </c>
      <c r="AV581">
        <v>191</v>
      </c>
      <c r="AW581">
        <v>2</v>
      </c>
      <c r="AX581" t="s">
        <v>74</v>
      </c>
      <c r="AY581" t="s">
        <v>74</v>
      </c>
      <c r="AZ581" t="s">
        <v>74</v>
      </c>
      <c r="BA581" t="s">
        <v>74</v>
      </c>
      <c r="BB581">
        <v>632</v>
      </c>
      <c r="BC581">
        <v>640</v>
      </c>
      <c r="BD581" t="s">
        <v>74</v>
      </c>
      <c r="BE581" t="s">
        <v>10641</v>
      </c>
      <c r="BF581" t="str">
        <f>HYPERLINK("http://dx.doi.org/10.1128/JB.00881-08","http://dx.doi.org/10.1128/JB.00881-08")</f>
        <v>http://dx.doi.org/10.1128/JB.00881-08</v>
      </c>
      <c r="BG581" t="s">
        <v>74</v>
      </c>
      <c r="BH581" t="s">
        <v>74</v>
      </c>
      <c r="BI581">
        <v>9</v>
      </c>
      <c r="BJ581" t="s">
        <v>2749</v>
      </c>
      <c r="BK581" t="s">
        <v>100</v>
      </c>
      <c r="BL581" t="s">
        <v>2749</v>
      </c>
      <c r="BM581" t="s">
        <v>10642</v>
      </c>
      <c r="BN581">
        <v>19011019</v>
      </c>
      <c r="BO581" t="s">
        <v>217</v>
      </c>
      <c r="BP581" t="s">
        <v>74</v>
      </c>
      <c r="BQ581" t="s">
        <v>74</v>
      </c>
      <c r="BR581" t="s">
        <v>103</v>
      </c>
      <c r="BS581" t="s">
        <v>10643</v>
      </c>
      <c r="BT581" t="str">
        <f>HYPERLINK("https%3A%2F%2Fwww.webofscience.com%2Fwos%2Fwoscc%2Ffull-record%2FWOS:000262117700020","View Full Record in Web of Science")</f>
        <v>View Full Record in Web of Science</v>
      </c>
    </row>
    <row r="582" spans="1:72" x14ac:dyDescent="0.15">
      <c r="A582" t="s">
        <v>72</v>
      </c>
      <c r="B582" t="s">
        <v>10644</v>
      </c>
      <c r="C582" t="s">
        <v>74</v>
      </c>
      <c r="D582" t="s">
        <v>74</v>
      </c>
      <c r="E582" t="s">
        <v>74</v>
      </c>
      <c r="F582" t="s">
        <v>10645</v>
      </c>
      <c r="G582" t="s">
        <v>74</v>
      </c>
      <c r="H582" t="s">
        <v>74</v>
      </c>
      <c r="I582" t="s">
        <v>10646</v>
      </c>
      <c r="J582" t="s">
        <v>10647</v>
      </c>
      <c r="K582" t="s">
        <v>74</v>
      </c>
      <c r="L582" t="s">
        <v>74</v>
      </c>
      <c r="M582" t="s">
        <v>78</v>
      </c>
      <c r="N582" t="s">
        <v>79</v>
      </c>
      <c r="O582" t="s">
        <v>74</v>
      </c>
      <c r="P582" t="s">
        <v>74</v>
      </c>
      <c r="Q582" t="s">
        <v>74</v>
      </c>
      <c r="R582" t="s">
        <v>74</v>
      </c>
      <c r="S582" t="s">
        <v>74</v>
      </c>
      <c r="T582" t="s">
        <v>10648</v>
      </c>
      <c r="U582" t="s">
        <v>10649</v>
      </c>
      <c r="V582" t="s">
        <v>10650</v>
      </c>
      <c r="W582" t="s">
        <v>10651</v>
      </c>
      <c r="X582" t="s">
        <v>10652</v>
      </c>
      <c r="Y582" t="s">
        <v>10653</v>
      </c>
      <c r="Z582" t="s">
        <v>10654</v>
      </c>
      <c r="AA582" t="s">
        <v>10655</v>
      </c>
      <c r="AB582" t="s">
        <v>10656</v>
      </c>
      <c r="AC582" t="s">
        <v>10657</v>
      </c>
      <c r="AD582" t="s">
        <v>10658</v>
      </c>
      <c r="AE582" t="s">
        <v>10659</v>
      </c>
      <c r="AF582" t="s">
        <v>74</v>
      </c>
      <c r="AG582">
        <v>58</v>
      </c>
      <c r="AH582">
        <v>56</v>
      </c>
      <c r="AI582">
        <v>61</v>
      </c>
      <c r="AJ582">
        <v>1</v>
      </c>
      <c r="AK582">
        <v>43</v>
      </c>
      <c r="AL582" t="s">
        <v>489</v>
      </c>
      <c r="AM582" t="s">
        <v>490</v>
      </c>
      <c r="AN582" t="s">
        <v>491</v>
      </c>
      <c r="AO582" t="s">
        <v>10660</v>
      </c>
      <c r="AP582" t="s">
        <v>10661</v>
      </c>
      <c r="AQ582" t="s">
        <v>74</v>
      </c>
      <c r="AR582" t="s">
        <v>10662</v>
      </c>
      <c r="AS582" t="s">
        <v>10663</v>
      </c>
      <c r="AT582" t="s">
        <v>10640</v>
      </c>
      <c r="AU582">
        <v>2009</v>
      </c>
      <c r="AV582">
        <v>89</v>
      </c>
      <c r="AW582">
        <v>1</v>
      </c>
      <c r="AX582" t="s">
        <v>74</v>
      </c>
      <c r="AY582" t="s">
        <v>74</v>
      </c>
      <c r="AZ582" t="s">
        <v>74</v>
      </c>
      <c r="BA582" t="s">
        <v>74</v>
      </c>
      <c r="BB582">
        <v>88</v>
      </c>
      <c r="BC582">
        <v>100</v>
      </c>
      <c r="BD582" t="s">
        <v>74</v>
      </c>
      <c r="BE582" t="s">
        <v>10664</v>
      </c>
      <c r="BF582" t="str">
        <f>HYPERLINK("http://dx.doi.org/10.1002/jsfa.3414","http://dx.doi.org/10.1002/jsfa.3414")</f>
        <v>http://dx.doi.org/10.1002/jsfa.3414</v>
      </c>
      <c r="BG582" t="s">
        <v>74</v>
      </c>
      <c r="BH582" t="s">
        <v>74</v>
      </c>
      <c r="BI582">
        <v>13</v>
      </c>
      <c r="BJ582" t="s">
        <v>10665</v>
      </c>
      <c r="BK582" t="s">
        <v>100</v>
      </c>
      <c r="BL582" t="s">
        <v>10666</v>
      </c>
      <c r="BM582" t="s">
        <v>10667</v>
      </c>
      <c r="BN582" t="s">
        <v>74</v>
      </c>
      <c r="BO582" t="s">
        <v>74</v>
      </c>
      <c r="BP582" t="s">
        <v>74</v>
      </c>
      <c r="BQ582" t="s">
        <v>74</v>
      </c>
      <c r="BR582" t="s">
        <v>103</v>
      </c>
      <c r="BS582" t="s">
        <v>10668</v>
      </c>
      <c r="BT582" t="str">
        <f>HYPERLINK("https%3A%2F%2Fwww.webofscience.com%2Fwos%2Fwoscc%2Ffull-record%2FWOS:000261773500012","View Full Record in Web of Science")</f>
        <v>View Full Record in Web of Science</v>
      </c>
    </row>
    <row r="583" spans="1:72" x14ac:dyDescent="0.15">
      <c r="A583" t="s">
        <v>72</v>
      </c>
      <c r="B583" t="s">
        <v>10669</v>
      </c>
      <c r="C583" t="s">
        <v>74</v>
      </c>
      <c r="D583" t="s">
        <v>74</v>
      </c>
      <c r="E583" t="s">
        <v>74</v>
      </c>
      <c r="F583" t="s">
        <v>10670</v>
      </c>
      <c r="G583" t="s">
        <v>74</v>
      </c>
      <c r="H583" t="s">
        <v>74</v>
      </c>
      <c r="I583" t="s">
        <v>10671</v>
      </c>
      <c r="J583" t="s">
        <v>6567</v>
      </c>
      <c r="K583" t="s">
        <v>74</v>
      </c>
      <c r="L583" t="s">
        <v>74</v>
      </c>
      <c r="M583" t="s">
        <v>78</v>
      </c>
      <c r="N583" t="s">
        <v>79</v>
      </c>
      <c r="O583" t="s">
        <v>74</v>
      </c>
      <c r="P583" t="s">
        <v>74</v>
      </c>
      <c r="Q583" t="s">
        <v>74</v>
      </c>
      <c r="R583" t="s">
        <v>74</v>
      </c>
      <c r="S583" t="s">
        <v>74</v>
      </c>
      <c r="T583" t="s">
        <v>10672</v>
      </c>
      <c r="U583" t="s">
        <v>10673</v>
      </c>
      <c r="V583" t="s">
        <v>10674</v>
      </c>
      <c r="W583" t="s">
        <v>10675</v>
      </c>
      <c r="X583" t="s">
        <v>10676</v>
      </c>
      <c r="Y583" t="s">
        <v>10677</v>
      </c>
      <c r="Z583" t="s">
        <v>10678</v>
      </c>
      <c r="AA583" t="s">
        <v>10679</v>
      </c>
      <c r="AB583" t="s">
        <v>10680</v>
      </c>
      <c r="AC583" t="s">
        <v>74</v>
      </c>
      <c r="AD583" t="s">
        <v>74</v>
      </c>
      <c r="AE583" t="s">
        <v>74</v>
      </c>
      <c r="AF583" t="s">
        <v>74</v>
      </c>
      <c r="AG583">
        <v>41</v>
      </c>
      <c r="AH583">
        <v>71</v>
      </c>
      <c r="AI583">
        <v>75</v>
      </c>
      <c r="AJ583">
        <v>4</v>
      </c>
      <c r="AK583">
        <v>110</v>
      </c>
      <c r="AL583" t="s">
        <v>553</v>
      </c>
      <c r="AM583" t="s">
        <v>252</v>
      </c>
      <c r="AN583" t="s">
        <v>554</v>
      </c>
      <c r="AO583" t="s">
        <v>6576</v>
      </c>
      <c r="AP583" t="s">
        <v>74</v>
      </c>
      <c r="AQ583" t="s">
        <v>74</v>
      </c>
      <c r="AR583" t="s">
        <v>6577</v>
      </c>
      <c r="AS583" t="s">
        <v>6578</v>
      </c>
      <c r="AT583" t="s">
        <v>10681</v>
      </c>
      <c r="AU583">
        <v>2009</v>
      </c>
      <c r="AV583">
        <v>95</v>
      </c>
      <c r="AW583" t="s">
        <v>6579</v>
      </c>
      <c r="AX583" t="s">
        <v>74</v>
      </c>
      <c r="AY583" t="s">
        <v>74</v>
      </c>
      <c r="AZ583" t="s">
        <v>74</v>
      </c>
      <c r="BA583" t="s">
        <v>74</v>
      </c>
      <c r="BB583">
        <v>350</v>
      </c>
      <c r="BC583">
        <v>361</v>
      </c>
      <c r="BD583" t="s">
        <v>74</v>
      </c>
      <c r="BE583" t="s">
        <v>10682</v>
      </c>
      <c r="BF583" t="str">
        <f>HYPERLINK("http://dx.doi.org/10.1016/j.fishres.2008.10.005","http://dx.doi.org/10.1016/j.fishres.2008.10.005")</f>
        <v>http://dx.doi.org/10.1016/j.fishres.2008.10.005</v>
      </c>
      <c r="BG583" t="s">
        <v>74</v>
      </c>
      <c r="BH583" t="s">
        <v>74</v>
      </c>
      <c r="BI583">
        <v>12</v>
      </c>
      <c r="BJ583" t="s">
        <v>6525</v>
      </c>
      <c r="BK583" t="s">
        <v>100</v>
      </c>
      <c r="BL583" t="s">
        <v>6525</v>
      </c>
      <c r="BM583" t="s">
        <v>10683</v>
      </c>
      <c r="BN583" t="s">
        <v>74</v>
      </c>
      <c r="BO583" t="s">
        <v>74</v>
      </c>
      <c r="BP583" t="s">
        <v>74</v>
      </c>
      <c r="BQ583" t="s">
        <v>74</v>
      </c>
      <c r="BR583" t="s">
        <v>103</v>
      </c>
      <c r="BS583" t="s">
        <v>10684</v>
      </c>
      <c r="BT583" t="str">
        <f>HYPERLINK("https%3A%2F%2Fwww.webofscience.com%2Fwos%2Fwoscc%2Ffull-record%2FWOS:000262350300025","View Full Record in Web of Science")</f>
        <v>View Full Record in Web of Science</v>
      </c>
    </row>
    <row r="584" spans="1:72" x14ac:dyDescent="0.15">
      <c r="A584" t="s">
        <v>72</v>
      </c>
      <c r="B584" t="s">
        <v>10685</v>
      </c>
      <c r="C584" t="s">
        <v>74</v>
      </c>
      <c r="D584" t="s">
        <v>74</v>
      </c>
      <c r="E584" t="s">
        <v>74</v>
      </c>
      <c r="F584" t="s">
        <v>10686</v>
      </c>
      <c r="G584" t="s">
        <v>74</v>
      </c>
      <c r="H584" t="s">
        <v>74</v>
      </c>
      <c r="I584" t="s">
        <v>10687</v>
      </c>
      <c r="J584" t="s">
        <v>887</v>
      </c>
      <c r="K584" t="s">
        <v>74</v>
      </c>
      <c r="L584" t="s">
        <v>74</v>
      </c>
      <c r="M584" t="s">
        <v>78</v>
      </c>
      <c r="N584" t="s">
        <v>79</v>
      </c>
      <c r="O584" t="s">
        <v>74</v>
      </c>
      <c r="P584" t="s">
        <v>74</v>
      </c>
      <c r="Q584" t="s">
        <v>74</v>
      </c>
      <c r="R584" t="s">
        <v>74</v>
      </c>
      <c r="S584" t="s">
        <v>74</v>
      </c>
      <c r="T584" t="s">
        <v>10688</v>
      </c>
      <c r="U584" t="s">
        <v>10689</v>
      </c>
      <c r="V584" t="s">
        <v>10690</v>
      </c>
      <c r="W584" t="s">
        <v>10691</v>
      </c>
      <c r="X584" t="s">
        <v>74</v>
      </c>
      <c r="Y584" t="s">
        <v>10692</v>
      </c>
      <c r="Z584" t="s">
        <v>10693</v>
      </c>
      <c r="AA584" t="s">
        <v>74</v>
      </c>
      <c r="AB584" t="s">
        <v>74</v>
      </c>
      <c r="AC584" t="s">
        <v>74</v>
      </c>
      <c r="AD584" t="s">
        <v>74</v>
      </c>
      <c r="AE584" t="s">
        <v>74</v>
      </c>
      <c r="AF584" t="s">
        <v>74</v>
      </c>
      <c r="AG584">
        <v>30</v>
      </c>
      <c r="AH584">
        <v>7</v>
      </c>
      <c r="AI584">
        <v>7</v>
      </c>
      <c r="AJ584">
        <v>0</v>
      </c>
      <c r="AK584">
        <v>2</v>
      </c>
      <c r="AL584" t="s">
        <v>900</v>
      </c>
      <c r="AM584" t="s">
        <v>901</v>
      </c>
      <c r="AN584" t="s">
        <v>902</v>
      </c>
      <c r="AO584" t="s">
        <v>903</v>
      </c>
      <c r="AP584" t="s">
        <v>904</v>
      </c>
      <c r="AQ584" t="s">
        <v>74</v>
      </c>
      <c r="AR584" t="s">
        <v>887</v>
      </c>
      <c r="AS584" t="s">
        <v>905</v>
      </c>
      <c r="AT584" t="s">
        <v>10681</v>
      </c>
      <c r="AU584">
        <v>2009</v>
      </c>
      <c r="AV584" t="s">
        <v>74</v>
      </c>
      <c r="AW584">
        <v>1977</v>
      </c>
      <c r="AX584" t="s">
        <v>74</v>
      </c>
      <c r="AY584" t="s">
        <v>74</v>
      </c>
      <c r="AZ584" t="s">
        <v>74</v>
      </c>
      <c r="BA584" t="s">
        <v>74</v>
      </c>
      <c r="BB584">
        <v>21</v>
      </c>
      <c r="BC584">
        <v>38</v>
      </c>
      <c r="BD584" t="s">
        <v>74</v>
      </c>
      <c r="BE584" t="s">
        <v>10694</v>
      </c>
      <c r="BF584" t="str">
        <f>HYPERLINK("http://dx.doi.org/10.11646/zootaxa.1997.1.2","http://dx.doi.org/10.11646/zootaxa.1997.1.2")</f>
        <v>http://dx.doi.org/10.11646/zootaxa.1997.1.2</v>
      </c>
      <c r="BG584" t="s">
        <v>74</v>
      </c>
      <c r="BH584" t="s">
        <v>74</v>
      </c>
      <c r="BI584">
        <v>18</v>
      </c>
      <c r="BJ584" t="s">
        <v>908</v>
      </c>
      <c r="BK584" t="s">
        <v>100</v>
      </c>
      <c r="BL584" t="s">
        <v>908</v>
      </c>
      <c r="BM584" t="s">
        <v>10695</v>
      </c>
      <c r="BN584" t="s">
        <v>74</v>
      </c>
      <c r="BO584" t="s">
        <v>74</v>
      </c>
      <c r="BP584" t="s">
        <v>74</v>
      </c>
      <c r="BQ584" t="s">
        <v>74</v>
      </c>
      <c r="BR584" t="s">
        <v>103</v>
      </c>
      <c r="BS584" t="s">
        <v>10696</v>
      </c>
      <c r="BT584" t="str">
        <f>HYPERLINK("https%3A%2F%2Fwww.webofscience.com%2Fwos%2Fwoscc%2Ffull-record%2FWOS:000262631900002","View Full Record in Web of Science")</f>
        <v>View Full Record in Web of Science</v>
      </c>
    </row>
    <row r="585" spans="1:72" x14ac:dyDescent="0.15">
      <c r="A585" t="s">
        <v>72</v>
      </c>
      <c r="B585" t="s">
        <v>10697</v>
      </c>
      <c r="C585" t="s">
        <v>74</v>
      </c>
      <c r="D585" t="s">
        <v>74</v>
      </c>
      <c r="E585" t="s">
        <v>74</v>
      </c>
      <c r="F585" t="s">
        <v>10698</v>
      </c>
      <c r="G585" t="s">
        <v>74</v>
      </c>
      <c r="H585" t="s">
        <v>74</v>
      </c>
      <c r="I585" t="s">
        <v>10699</v>
      </c>
      <c r="J585" t="s">
        <v>645</v>
      </c>
      <c r="K585" t="s">
        <v>74</v>
      </c>
      <c r="L585" t="s">
        <v>74</v>
      </c>
      <c r="M585" t="s">
        <v>78</v>
      </c>
      <c r="N585" t="s">
        <v>79</v>
      </c>
      <c r="O585" t="s">
        <v>74</v>
      </c>
      <c r="P585" t="s">
        <v>74</v>
      </c>
      <c r="Q585" t="s">
        <v>74</v>
      </c>
      <c r="R585" t="s">
        <v>74</v>
      </c>
      <c r="S585" t="s">
        <v>74</v>
      </c>
      <c r="T585" t="s">
        <v>74</v>
      </c>
      <c r="U585" t="s">
        <v>10700</v>
      </c>
      <c r="V585" t="s">
        <v>10701</v>
      </c>
      <c r="W585" t="s">
        <v>10702</v>
      </c>
      <c r="X585" t="s">
        <v>10703</v>
      </c>
      <c r="Y585" t="s">
        <v>10704</v>
      </c>
      <c r="Z585" t="s">
        <v>10705</v>
      </c>
      <c r="AA585" t="s">
        <v>74</v>
      </c>
      <c r="AB585" t="s">
        <v>10706</v>
      </c>
      <c r="AC585" t="s">
        <v>74</v>
      </c>
      <c r="AD585" t="s">
        <v>74</v>
      </c>
      <c r="AE585" t="s">
        <v>74</v>
      </c>
      <c r="AF585" t="s">
        <v>74</v>
      </c>
      <c r="AG585">
        <v>32</v>
      </c>
      <c r="AH585">
        <v>66</v>
      </c>
      <c r="AI585">
        <v>70</v>
      </c>
      <c r="AJ585">
        <v>0</v>
      </c>
      <c r="AK585">
        <v>20</v>
      </c>
      <c r="AL585" t="s">
        <v>605</v>
      </c>
      <c r="AM585" t="s">
        <v>606</v>
      </c>
      <c r="AN585" t="s">
        <v>607</v>
      </c>
      <c r="AO585" t="s">
        <v>657</v>
      </c>
      <c r="AP585" t="s">
        <v>74</v>
      </c>
      <c r="AQ585" t="s">
        <v>74</v>
      </c>
      <c r="AR585" t="s">
        <v>659</v>
      </c>
      <c r="AS585" t="s">
        <v>660</v>
      </c>
      <c r="AT585" t="s">
        <v>10707</v>
      </c>
      <c r="AU585">
        <v>2009</v>
      </c>
      <c r="AV585">
        <v>36</v>
      </c>
      <c r="AW585" t="s">
        <v>74</v>
      </c>
      <c r="AX585" t="s">
        <v>74</v>
      </c>
      <c r="AY585" t="s">
        <v>74</v>
      </c>
      <c r="AZ585" t="s">
        <v>74</v>
      </c>
      <c r="BA585" t="s">
        <v>74</v>
      </c>
      <c r="BB585" t="s">
        <v>74</v>
      </c>
      <c r="BC585" t="s">
        <v>74</v>
      </c>
      <c r="BD585" t="s">
        <v>10708</v>
      </c>
      <c r="BE585" t="s">
        <v>10709</v>
      </c>
      <c r="BF585" t="str">
        <f>HYPERLINK("http://dx.doi.org/10.1029/2008GL036320","http://dx.doi.org/10.1029/2008GL036320")</f>
        <v>http://dx.doi.org/10.1029/2008GL036320</v>
      </c>
      <c r="BG585" t="s">
        <v>74</v>
      </c>
      <c r="BH585" t="s">
        <v>74</v>
      </c>
      <c r="BI585">
        <v>5</v>
      </c>
      <c r="BJ585" t="s">
        <v>496</v>
      </c>
      <c r="BK585" t="s">
        <v>100</v>
      </c>
      <c r="BL585" t="s">
        <v>497</v>
      </c>
      <c r="BM585" t="s">
        <v>10710</v>
      </c>
      <c r="BN585" t="s">
        <v>74</v>
      </c>
      <c r="BO585" t="s">
        <v>8134</v>
      </c>
      <c r="BP585" t="s">
        <v>74</v>
      </c>
      <c r="BQ585" t="s">
        <v>74</v>
      </c>
      <c r="BR585" t="s">
        <v>103</v>
      </c>
      <c r="BS585" t="s">
        <v>10711</v>
      </c>
      <c r="BT585" t="str">
        <f>HYPERLINK("https%3A%2F%2Fwww.webofscience.com%2Fwos%2Fwoscc%2Ffull-record%2FWOS:000262627800006","View Full Record in Web of Science")</f>
        <v>View Full Record in Web of Science</v>
      </c>
    </row>
    <row r="586" spans="1:72" x14ac:dyDescent="0.15">
      <c r="A586" t="s">
        <v>72</v>
      </c>
      <c r="B586" t="s">
        <v>10712</v>
      </c>
      <c r="C586" t="s">
        <v>74</v>
      </c>
      <c r="D586" t="s">
        <v>74</v>
      </c>
      <c r="E586" t="s">
        <v>74</v>
      </c>
      <c r="F586" t="s">
        <v>10713</v>
      </c>
      <c r="G586" t="s">
        <v>74</v>
      </c>
      <c r="H586" t="s">
        <v>74</v>
      </c>
      <c r="I586" t="s">
        <v>10714</v>
      </c>
      <c r="J586" t="s">
        <v>10715</v>
      </c>
      <c r="K586" t="s">
        <v>74</v>
      </c>
      <c r="L586" t="s">
        <v>74</v>
      </c>
      <c r="M586" t="s">
        <v>78</v>
      </c>
      <c r="N586" t="s">
        <v>79</v>
      </c>
      <c r="O586" t="s">
        <v>74</v>
      </c>
      <c r="P586" t="s">
        <v>74</v>
      </c>
      <c r="Q586" t="s">
        <v>74</v>
      </c>
      <c r="R586" t="s">
        <v>74</v>
      </c>
      <c r="S586" t="s">
        <v>74</v>
      </c>
      <c r="T586" t="s">
        <v>10716</v>
      </c>
      <c r="U586" t="s">
        <v>10717</v>
      </c>
      <c r="V586" t="s">
        <v>10718</v>
      </c>
      <c r="W586" t="s">
        <v>10719</v>
      </c>
      <c r="X586" t="s">
        <v>10720</v>
      </c>
      <c r="Y586" t="s">
        <v>10721</v>
      </c>
      <c r="Z586" t="s">
        <v>10722</v>
      </c>
      <c r="AA586" t="s">
        <v>10723</v>
      </c>
      <c r="AB586" t="s">
        <v>10724</v>
      </c>
      <c r="AC586" t="s">
        <v>10725</v>
      </c>
      <c r="AD586" t="s">
        <v>10726</v>
      </c>
      <c r="AE586" t="s">
        <v>10727</v>
      </c>
      <c r="AF586" t="s">
        <v>74</v>
      </c>
      <c r="AG586">
        <v>55</v>
      </c>
      <c r="AH586">
        <v>35</v>
      </c>
      <c r="AI586">
        <v>40</v>
      </c>
      <c r="AJ586">
        <v>0</v>
      </c>
      <c r="AK586">
        <v>16</v>
      </c>
      <c r="AL586" t="s">
        <v>3054</v>
      </c>
      <c r="AM586" t="s">
        <v>2924</v>
      </c>
      <c r="AN586" t="s">
        <v>3055</v>
      </c>
      <c r="AO586" t="s">
        <v>10728</v>
      </c>
      <c r="AP586" t="s">
        <v>10729</v>
      </c>
      <c r="AQ586" t="s">
        <v>74</v>
      </c>
      <c r="AR586" t="s">
        <v>10730</v>
      </c>
      <c r="AS586" t="s">
        <v>10731</v>
      </c>
      <c r="AT586" t="s">
        <v>10707</v>
      </c>
      <c r="AU586">
        <v>2009</v>
      </c>
      <c r="AV586">
        <v>367</v>
      </c>
      <c r="AW586">
        <v>1886</v>
      </c>
      <c r="AX586" t="s">
        <v>74</v>
      </c>
      <c r="AY586" t="s">
        <v>74</v>
      </c>
      <c r="AZ586" t="s">
        <v>74</v>
      </c>
      <c r="BA586" t="s">
        <v>74</v>
      </c>
      <c r="BB586">
        <v>49</v>
      </c>
      <c r="BC586">
        <v>67</v>
      </c>
      <c r="BD586" t="s">
        <v>74</v>
      </c>
      <c r="BE586" t="s">
        <v>10732</v>
      </c>
      <c r="BF586" t="str">
        <f>HYPERLINK("http://dx.doi.org/10.1098/rsta.2008.0218","http://dx.doi.org/10.1098/rsta.2008.0218")</f>
        <v>http://dx.doi.org/10.1098/rsta.2008.0218</v>
      </c>
      <c r="BG586" t="s">
        <v>74</v>
      </c>
      <c r="BH586" t="s">
        <v>74</v>
      </c>
      <c r="BI586">
        <v>19</v>
      </c>
      <c r="BJ586" t="s">
        <v>790</v>
      </c>
      <c r="BK586" t="s">
        <v>100</v>
      </c>
      <c r="BL586" t="s">
        <v>791</v>
      </c>
      <c r="BM586" t="s">
        <v>10733</v>
      </c>
      <c r="BN586">
        <v>18852094</v>
      </c>
      <c r="BO586" t="s">
        <v>74</v>
      </c>
      <c r="BP586" t="s">
        <v>74</v>
      </c>
      <c r="BQ586" t="s">
        <v>74</v>
      </c>
      <c r="BR586" t="s">
        <v>103</v>
      </c>
      <c r="BS586" t="s">
        <v>10734</v>
      </c>
      <c r="BT586" t="str">
        <f>HYPERLINK("https%3A%2F%2Fwww.webofscience.com%2Fwos%2Fwoscc%2Ffull-record%2FWOS:000261150700004","View Full Record in Web of Science")</f>
        <v>View Full Record in Web of Science</v>
      </c>
    </row>
    <row r="587" spans="1:72" x14ac:dyDescent="0.15">
      <c r="A587" t="s">
        <v>72</v>
      </c>
      <c r="B587" t="s">
        <v>10735</v>
      </c>
      <c r="C587" t="s">
        <v>74</v>
      </c>
      <c r="D587" t="s">
        <v>74</v>
      </c>
      <c r="E587" t="s">
        <v>74</v>
      </c>
      <c r="F587" t="s">
        <v>10736</v>
      </c>
      <c r="G587" t="s">
        <v>74</v>
      </c>
      <c r="H587" t="s">
        <v>74</v>
      </c>
      <c r="I587" t="s">
        <v>10737</v>
      </c>
      <c r="J587" t="s">
        <v>10715</v>
      </c>
      <c r="K587" t="s">
        <v>74</v>
      </c>
      <c r="L587" t="s">
        <v>74</v>
      </c>
      <c r="M587" t="s">
        <v>78</v>
      </c>
      <c r="N587" t="s">
        <v>79</v>
      </c>
      <c r="O587" t="s">
        <v>74</v>
      </c>
      <c r="P587" t="s">
        <v>74</v>
      </c>
      <c r="Q587" t="s">
        <v>74</v>
      </c>
      <c r="R587" t="s">
        <v>74</v>
      </c>
      <c r="S587" t="s">
        <v>74</v>
      </c>
      <c r="T587" t="s">
        <v>10738</v>
      </c>
      <c r="U587" t="s">
        <v>10739</v>
      </c>
      <c r="V587" t="s">
        <v>10740</v>
      </c>
      <c r="W587" t="s">
        <v>10741</v>
      </c>
      <c r="X587" t="s">
        <v>10742</v>
      </c>
      <c r="Y587" t="s">
        <v>10743</v>
      </c>
      <c r="Z587" t="s">
        <v>10744</v>
      </c>
      <c r="AA587" t="s">
        <v>10745</v>
      </c>
      <c r="AB587" t="s">
        <v>10746</v>
      </c>
      <c r="AC587" t="s">
        <v>10747</v>
      </c>
      <c r="AD587" t="s">
        <v>10748</v>
      </c>
      <c r="AE587" t="s">
        <v>10749</v>
      </c>
      <c r="AF587" t="s">
        <v>74</v>
      </c>
      <c r="AG587">
        <v>80</v>
      </c>
      <c r="AH587">
        <v>37</v>
      </c>
      <c r="AI587">
        <v>48</v>
      </c>
      <c r="AJ587">
        <v>4</v>
      </c>
      <c r="AK587">
        <v>42</v>
      </c>
      <c r="AL587" t="s">
        <v>3054</v>
      </c>
      <c r="AM587" t="s">
        <v>2924</v>
      </c>
      <c r="AN587" t="s">
        <v>3055</v>
      </c>
      <c r="AO587" t="s">
        <v>10728</v>
      </c>
      <c r="AP587" t="s">
        <v>10729</v>
      </c>
      <c r="AQ587" t="s">
        <v>74</v>
      </c>
      <c r="AR587" t="s">
        <v>10730</v>
      </c>
      <c r="AS587" t="s">
        <v>10731</v>
      </c>
      <c r="AT587" t="s">
        <v>10707</v>
      </c>
      <c r="AU587">
        <v>2009</v>
      </c>
      <c r="AV587">
        <v>367</v>
      </c>
      <c r="AW587">
        <v>1886</v>
      </c>
      <c r="AX587" t="s">
        <v>74</v>
      </c>
      <c r="AY587" t="s">
        <v>74</v>
      </c>
      <c r="AZ587" t="s">
        <v>74</v>
      </c>
      <c r="BA587" t="s">
        <v>74</v>
      </c>
      <c r="BB587">
        <v>127</v>
      </c>
      <c r="BC587">
        <v>156</v>
      </c>
      <c r="BD587" t="s">
        <v>74</v>
      </c>
      <c r="BE587" t="s">
        <v>10750</v>
      </c>
      <c r="BF587" t="str">
        <f>HYPERLINK("http://dx.doi.org/10.1098/rsta.2008.0212","http://dx.doi.org/10.1098/rsta.2008.0212")</f>
        <v>http://dx.doi.org/10.1098/rsta.2008.0212</v>
      </c>
      <c r="BG587" t="s">
        <v>74</v>
      </c>
      <c r="BH587" t="s">
        <v>74</v>
      </c>
      <c r="BI587">
        <v>30</v>
      </c>
      <c r="BJ587" t="s">
        <v>790</v>
      </c>
      <c r="BK587" t="s">
        <v>100</v>
      </c>
      <c r="BL587" t="s">
        <v>791</v>
      </c>
      <c r="BM587" t="s">
        <v>10733</v>
      </c>
      <c r="BN587">
        <v>18926968</v>
      </c>
      <c r="BO587" t="s">
        <v>74</v>
      </c>
      <c r="BP587" t="s">
        <v>74</v>
      </c>
      <c r="BQ587" t="s">
        <v>74</v>
      </c>
      <c r="BR587" t="s">
        <v>103</v>
      </c>
      <c r="BS587" t="s">
        <v>10751</v>
      </c>
      <c r="BT587" t="str">
        <f>HYPERLINK("https%3A%2F%2Fwww.webofscience.com%2Fwos%2Fwoscc%2Ffull-record%2FWOS:000261150700008","View Full Record in Web of Science")</f>
        <v>View Full Record in Web of Science</v>
      </c>
    </row>
    <row r="588" spans="1:72" x14ac:dyDescent="0.15">
      <c r="A588" t="s">
        <v>72</v>
      </c>
      <c r="B588" t="s">
        <v>10752</v>
      </c>
      <c r="C588" t="s">
        <v>74</v>
      </c>
      <c r="D588" t="s">
        <v>74</v>
      </c>
      <c r="E588" t="s">
        <v>74</v>
      </c>
      <c r="F588" t="s">
        <v>10753</v>
      </c>
      <c r="G588" t="s">
        <v>74</v>
      </c>
      <c r="H588" t="s">
        <v>74</v>
      </c>
      <c r="I588" t="s">
        <v>10754</v>
      </c>
      <c r="J588" t="s">
        <v>10715</v>
      </c>
      <c r="K588" t="s">
        <v>74</v>
      </c>
      <c r="L588" t="s">
        <v>74</v>
      </c>
      <c r="M588" t="s">
        <v>78</v>
      </c>
      <c r="N588" t="s">
        <v>79</v>
      </c>
      <c r="O588" t="s">
        <v>74</v>
      </c>
      <c r="P588" t="s">
        <v>74</v>
      </c>
      <c r="Q588" t="s">
        <v>74</v>
      </c>
      <c r="R588" t="s">
        <v>74</v>
      </c>
      <c r="S588" t="s">
        <v>74</v>
      </c>
      <c r="T588" t="s">
        <v>10755</v>
      </c>
      <c r="U588" t="s">
        <v>10756</v>
      </c>
      <c r="V588" t="s">
        <v>10757</v>
      </c>
      <c r="W588" t="s">
        <v>10758</v>
      </c>
      <c r="X588" t="s">
        <v>10759</v>
      </c>
      <c r="Y588" t="s">
        <v>10760</v>
      </c>
      <c r="Z588" t="s">
        <v>10761</v>
      </c>
      <c r="AA588" t="s">
        <v>74</v>
      </c>
      <c r="AB588" t="s">
        <v>74</v>
      </c>
      <c r="AC588" t="s">
        <v>10762</v>
      </c>
      <c r="AD588" t="s">
        <v>10763</v>
      </c>
      <c r="AE588" t="s">
        <v>10764</v>
      </c>
      <c r="AF588" t="s">
        <v>74</v>
      </c>
      <c r="AG588">
        <v>35</v>
      </c>
      <c r="AH588">
        <v>118</v>
      </c>
      <c r="AI588">
        <v>136</v>
      </c>
      <c r="AJ588">
        <v>0</v>
      </c>
      <c r="AK588">
        <v>34</v>
      </c>
      <c r="AL588" t="s">
        <v>3054</v>
      </c>
      <c r="AM588" t="s">
        <v>2924</v>
      </c>
      <c r="AN588" t="s">
        <v>3055</v>
      </c>
      <c r="AO588" t="s">
        <v>10728</v>
      </c>
      <c r="AP588" t="s">
        <v>10729</v>
      </c>
      <c r="AQ588" t="s">
        <v>74</v>
      </c>
      <c r="AR588" t="s">
        <v>10730</v>
      </c>
      <c r="AS588" t="s">
        <v>10731</v>
      </c>
      <c r="AT588" t="s">
        <v>10707</v>
      </c>
      <c r="AU588">
        <v>2009</v>
      </c>
      <c r="AV588">
        <v>367</v>
      </c>
      <c r="AW588">
        <v>1886</v>
      </c>
      <c r="AX588" t="s">
        <v>74</v>
      </c>
      <c r="AY588" t="s">
        <v>74</v>
      </c>
      <c r="AZ588" t="s">
        <v>74</v>
      </c>
      <c r="BA588" t="s">
        <v>74</v>
      </c>
      <c r="BB588">
        <v>157</v>
      </c>
      <c r="BC588">
        <v>168</v>
      </c>
      <c r="BD588" t="s">
        <v>74</v>
      </c>
      <c r="BE588" t="s">
        <v>10765</v>
      </c>
      <c r="BF588" t="str">
        <f>HYPERLINK("http://dx.doi.org/10.1098/rsta.2008.0222","http://dx.doi.org/10.1098/rsta.2008.0222")</f>
        <v>http://dx.doi.org/10.1098/rsta.2008.0222</v>
      </c>
      <c r="BG588" t="s">
        <v>74</v>
      </c>
      <c r="BH588" t="s">
        <v>74</v>
      </c>
      <c r="BI588">
        <v>12</v>
      </c>
      <c r="BJ588" t="s">
        <v>790</v>
      </c>
      <c r="BK588" t="s">
        <v>100</v>
      </c>
      <c r="BL588" t="s">
        <v>791</v>
      </c>
      <c r="BM588" t="s">
        <v>10733</v>
      </c>
      <c r="BN588">
        <v>18854304</v>
      </c>
      <c r="BO588" t="s">
        <v>74</v>
      </c>
      <c r="BP588" t="s">
        <v>74</v>
      </c>
      <c r="BQ588" t="s">
        <v>74</v>
      </c>
      <c r="BR588" t="s">
        <v>103</v>
      </c>
      <c r="BS588" t="s">
        <v>10766</v>
      </c>
      <c r="BT588" t="str">
        <f>HYPERLINK("https%3A%2F%2Fwww.webofscience.com%2Fwos%2Fwoscc%2Ffull-record%2FWOS:000261150700009","View Full Record in Web of Science")</f>
        <v>View Full Record in Web of Science</v>
      </c>
    </row>
    <row r="589" spans="1:72" x14ac:dyDescent="0.15">
      <c r="A589" t="s">
        <v>72</v>
      </c>
      <c r="B589" t="s">
        <v>10767</v>
      </c>
      <c r="C589" t="s">
        <v>74</v>
      </c>
      <c r="D589" t="s">
        <v>74</v>
      </c>
      <c r="E589" t="s">
        <v>74</v>
      </c>
      <c r="F589" t="s">
        <v>10768</v>
      </c>
      <c r="G589" t="s">
        <v>74</v>
      </c>
      <c r="H589" t="s">
        <v>74</v>
      </c>
      <c r="I589" t="s">
        <v>10769</v>
      </c>
      <c r="J589" t="s">
        <v>10715</v>
      </c>
      <c r="K589" t="s">
        <v>74</v>
      </c>
      <c r="L589" t="s">
        <v>74</v>
      </c>
      <c r="M589" t="s">
        <v>78</v>
      </c>
      <c r="N589" t="s">
        <v>79</v>
      </c>
      <c r="O589" t="s">
        <v>74</v>
      </c>
      <c r="P589" t="s">
        <v>74</v>
      </c>
      <c r="Q589" t="s">
        <v>74</v>
      </c>
      <c r="R589" t="s">
        <v>74</v>
      </c>
      <c r="S589" t="s">
        <v>74</v>
      </c>
      <c r="T589" t="s">
        <v>10770</v>
      </c>
      <c r="U589" t="s">
        <v>10771</v>
      </c>
      <c r="V589" t="s">
        <v>10772</v>
      </c>
      <c r="W589" t="s">
        <v>10773</v>
      </c>
      <c r="X589" t="s">
        <v>10774</v>
      </c>
      <c r="Y589" t="s">
        <v>10775</v>
      </c>
      <c r="Z589" t="s">
        <v>5715</v>
      </c>
      <c r="AA589" t="s">
        <v>10776</v>
      </c>
      <c r="AB589" t="s">
        <v>10777</v>
      </c>
      <c r="AC589" t="s">
        <v>74</v>
      </c>
      <c r="AD589" t="s">
        <v>74</v>
      </c>
      <c r="AE589" t="s">
        <v>74</v>
      </c>
      <c r="AF589" t="s">
        <v>74</v>
      </c>
      <c r="AG589">
        <v>47</v>
      </c>
      <c r="AH589">
        <v>105</v>
      </c>
      <c r="AI589">
        <v>119</v>
      </c>
      <c r="AJ589">
        <v>1</v>
      </c>
      <c r="AK589">
        <v>26</v>
      </c>
      <c r="AL589" t="s">
        <v>3054</v>
      </c>
      <c r="AM589" t="s">
        <v>2924</v>
      </c>
      <c r="AN589" t="s">
        <v>3055</v>
      </c>
      <c r="AO589" t="s">
        <v>10728</v>
      </c>
      <c r="AP589" t="s">
        <v>10729</v>
      </c>
      <c r="AQ589" t="s">
        <v>74</v>
      </c>
      <c r="AR589" t="s">
        <v>10730</v>
      </c>
      <c r="AS589" t="s">
        <v>10731</v>
      </c>
      <c r="AT589" t="s">
        <v>10707</v>
      </c>
      <c r="AU589">
        <v>2009</v>
      </c>
      <c r="AV589">
        <v>367</v>
      </c>
      <c r="AW589">
        <v>1886</v>
      </c>
      <c r="AX589" t="s">
        <v>74</v>
      </c>
      <c r="AY589" t="s">
        <v>74</v>
      </c>
      <c r="AZ589" t="s">
        <v>74</v>
      </c>
      <c r="BA589" t="s">
        <v>74</v>
      </c>
      <c r="BB589">
        <v>169</v>
      </c>
      <c r="BC589">
        <v>187</v>
      </c>
      <c r="BD589" t="s">
        <v>74</v>
      </c>
      <c r="BE589" t="s">
        <v>10778</v>
      </c>
      <c r="BF589" t="str">
        <f>HYPERLINK("http://dx.doi.org/10.1098/rsta.2008.0223","http://dx.doi.org/10.1098/rsta.2008.0223")</f>
        <v>http://dx.doi.org/10.1098/rsta.2008.0223</v>
      </c>
      <c r="BG589" t="s">
        <v>74</v>
      </c>
      <c r="BH589" t="s">
        <v>74</v>
      </c>
      <c r="BI589">
        <v>19</v>
      </c>
      <c r="BJ589" t="s">
        <v>790</v>
      </c>
      <c r="BK589" t="s">
        <v>100</v>
      </c>
      <c r="BL589" t="s">
        <v>791</v>
      </c>
      <c r="BM589" t="s">
        <v>10733</v>
      </c>
      <c r="BN589">
        <v>18852088</v>
      </c>
      <c r="BO589" t="s">
        <v>74</v>
      </c>
      <c r="BP589" t="s">
        <v>74</v>
      </c>
      <c r="BQ589" t="s">
        <v>74</v>
      </c>
      <c r="BR589" t="s">
        <v>103</v>
      </c>
      <c r="BS589" t="s">
        <v>10779</v>
      </c>
      <c r="BT589" t="str">
        <f>HYPERLINK("https%3A%2F%2Fwww.webofscience.com%2Fwos%2Fwoscc%2Ffull-record%2FWOS:000261150700010","View Full Record in Web of Science")</f>
        <v>View Full Record in Web of Science</v>
      </c>
    </row>
    <row r="590" spans="1:72" x14ac:dyDescent="0.15">
      <c r="A590" t="s">
        <v>72</v>
      </c>
      <c r="B590" t="s">
        <v>10780</v>
      </c>
      <c r="C590" t="s">
        <v>74</v>
      </c>
      <c r="D590" t="s">
        <v>74</v>
      </c>
      <c r="E590" t="s">
        <v>74</v>
      </c>
      <c r="F590" t="s">
        <v>10781</v>
      </c>
      <c r="G590" t="s">
        <v>74</v>
      </c>
      <c r="H590" t="s">
        <v>74</v>
      </c>
      <c r="I590" t="s">
        <v>10782</v>
      </c>
      <c r="J590" t="s">
        <v>10715</v>
      </c>
      <c r="K590" t="s">
        <v>74</v>
      </c>
      <c r="L590" t="s">
        <v>74</v>
      </c>
      <c r="M590" t="s">
        <v>78</v>
      </c>
      <c r="N590" t="s">
        <v>79</v>
      </c>
      <c r="O590" t="s">
        <v>74</v>
      </c>
      <c r="P590" t="s">
        <v>74</v>
      </c>
      <c r="Q590" t="s">
        <v>74</v>
      </c>
      <c r="R590" t="s">
        <v>74</v>
      </c>
      <c r="S590" t="s">
        <v>74</v>
      </c>
      <c r="T590" t="s">
        <v>10783</v>
      </c>
      <c r="U590" t="s">
        <v>10784</v>
      </c>
      <c r="V590" t="s">
        <v>10785</v>
      </c>
      <c r="W590" t="s">
        <v>10786</v>
      </c>
      <c r="X590" t="s">
        <v>10787</v>
      </c>
      <c r="Y590" t="s">
        <v>10788</v>
      </c>
      <c r="Z590" t="s">
        <v>10789</v>
      </c>
      <c r="AA590" t="s">
        <v>10790</v>
      </c>
      <c r="AB590" t="s">
        <v>10791</v>
      </c>
      <c r="AC590" t="s">
        <v>10792</v>
      </c>
      <c r="AD590" t="s">
        <v>10793</v>
      </c>
      <c r="AE590" t="s">
        <v>10794</v>
      </c>
      <c r="AF590" t="s">
        <v>74</v>
      </c>
      <c r="AG590">
        <v>55</v>
      </c>
      <c r="AH590">
        <v>69</v>
      </c>
      <c r="AI590">
        <v>82</v>
      </c>
      <c r="AJ590">
        <v>0</v>
      </c>
      <c r="AK590">
        <v>32</v>
      </c>
      <c r="AL590" t="s">
        <v>3054</v>
      </c>
      <c r="AM590" t="s">
        <v>2924</v>
      </c>
      <c r="AN590" t="s">
        <v>3055</v>
      </c>
      <c r="AO590" t="s">
        <v>10728</v>
      </c>
      <c r="AP590" t="s">
        <v>10729</v>
      </c>
      <c r="AQ590" t="s">
        <v>74</v>
      </c>
      <c r="AR590" t="s">
        <v>10730</v>
      </c>
      <c r="AS590" t="s">
        <v>10731</v>
      </c>
      <c r="AT590" t="s">
        <v>10707</v>
      </c>
      <c r="AU590">
        <v>2009</v>
      </c>
      <c r="AV590">
        <v>367</v>
      </c>
      <c r="AW590">
        <v>1886</v>
      </c>
      <c r="AX590" t="s">
        <v>74</v>
      </c>
      <c r="AY590" t="s">
        <v>74</v>
      </c>
      <c r="AZ590" t="s">
        <v>74</v>
      </c>
      <c r="BA590" t="s">
        <v>74</v>
      </c>
      <c r="BB590">
        <v>189</v>
      </c>
      <c r="BC590">
        <v>204</v>
      </c>
      <c r="BD590" t="s">
        <v>74</v>
      </c>
      <c r="BE590" t="s">
        <v>10795</v>
      </c>
      <c r="BF590" t="str">
        <f>HYPERLINK("http://dx.doi.org/10.1098/rsta.2008.0200","http://dx.doi.org/10.1098/rsta.2008.0200")</f>
        <v>http://dx.doi.org/10.1098/rsta.2008.0200</v>
      </c>
      <c r="BG590" t="s">
        <v>74</v>
      </c>
      <c r="BH590" t="s">
        <v>74</v>
      </c>
      <c r="BI590">
        <v>16</v>
      </c>
      <c r="BJ590" t="s">
        <v>790</v>
      </c>
      <c r="BK590" t="s">
        <v>100</v>
      </c>
      <c r="BL590" t="s">
        <v>791</v>
      </c>
      <c r="BM590" t="s">
        <v>10733</v>
      </c>
      <c r="BN590">
        <v>18854302</v>
      </c>
      <c r="BO590" t="s">
        <v>74</v>
      </c>
      <c r="BP590" t="s">
        <v>74</v>
      </c>
      <c r="BQ590" t="s">
        <v>74</v>
      </c>
      <c r="BR590" t="s">
        <v>103</v>
      </c>
      <c r="BS590" t="s">
        <v>10796</v>
      </c>
      <c r="BT590" t="str">
        <f>HYPERLINK("https%3A%2F%2Fwww.webofscience.com%2Fwos%2Fwoscc%2Ffull-record%2FWOS:000261150700011","View Full Record in Web of Science")</f>
        <v>View Full Record in Web of Science</v>
      </c>
    </row>
    <row r="591" spans="1:72" x14ac:dyDescent="0.15">
      <c r="A591" t="s">
        <v>72</v>
      </c>
      <c r="B591" t="s">
        <v>10797</v>
      </c>
      <c r="C591" t="s">
        <v>74</v>
      </c>
      <c r="D591" t="s">
        <v>74</v>
      </c>
      <c r="E591" t="s">
        <v>74</v>
      </c>
      <c r="F591" t="s">
        <v>10798</v>
      </c>
      <c r="G591" t="s">
        <v>74</v>
      </c>
      <c r="H591" t="s">
        <v>74</v>
      </c>
      <c r="I591" t="s">
        <v>10799</v>
      </c>
      <c r="J591" t="s">
        <v>820</v>
      </c>
      <c r="K591" t="s">
        <v>74</v>
      </c>
      <c r="L591" t="s">
        <v>74</v>
      </c>
      <c r="M591" t="s">
        <v>78</v>
      </c>
      <c r="N591" t="s">
        <v>79</v>
      </c>
      <c r="O591" t="s">
        <v>74</v>
      </c>
      <c r="P591" t="s">
        <v>74</v>
      </c>
      <c r="Q591" t="s">
        <v>74</v>
      </c>
      <c r="R591" t="s">
        <v>74</v>
      </c>
      <c r="S591" t="s">
        <v>74</v>
      </c>
      <c r="T591" t="s">
        <v>74</v>
      </c>
      <c r="U591" t="s">
        <v>10800</v>
      </c>
      <c r="V591" t="s">
        <v>10801</v>
      </c>
      <c r="W591" t="s">
        <v>10802</v>
      </c>
      <c r="X591" t="s">
        <v>10803</v>
      </c>
      <c r="Y591" t="s">
        <v>10804</v>
      </c>
      <c r="Z591" t="s">
        <v>10805</v>
      </c>
      <c r="AA591" t="s">
        <v>10806</v>
      </c>
      <c r="AB591" t="s">
        <v>10807</v>
      </c>
      <c r="AC591" t="s">
        <v>10808</v>
      </c>
      <c r="AD591" t="s">
        <v>10809</v>
      </c>
      <c r="AE591" t="s">
        <v>10810</v>
      </c>
      <c r="AF591" t="s">
        <v>74</v>
      </c>
      <c r="AG591">
        <v>66</v>
      </c>
      <c r="AH591">
        <v>42</v>
      </c>
      <c r="AI591">
        <v>43</v>
      </c>
      <c r="AJ591">
        <v>0</v>
      </c>
      <c r="AK591">
        <v>17</v>
      </c>
      <c r="AL591" t="s">
        <v>605</v>
      </c>
      <c r="AM591" t="s">
        <v>606</v>
      </c>
      <c r="AN591" t="s">
        <v>607</v>
      </c>
      <c r="AO591" t="s">
        <v>831</v>
      </c>
      <c r="AP591" t="s">
        <v>832</v>
      </c>
      <c r="AQ591" t="s">
        <v>74</v>
      </c>
      <c r="AR591" t="s">
        <v>833</v>
      </c>
      <c r="AS591" t="s">
        <v>834</v>
      </c>
      <c r="AT591" t="s">
        <v>10811</v>
      </c>
      <c r="AU591">
        <v>2009</v>
      </c>
      <c r="AV591">
        <v>114</v>
      </c>
      <c r="AW591" t="s">
        <v>74</v>
      </c>
      <c r="AX591" t="s">
        <v>74</v>
      </c>
      <c r="AY591" t="s">
        <v>74</v>
      </c>
      <c r="AZ591" t="s">
        <v>74</v>
      </c>
      <c r="BA591" t="s">
        <v>74</v>
      </c>
      <c r="BB591" t="s">
        <v>74</v>
      </c>
      <c r="BC591" t="s">
        <v>74</v>
      </c>
      <c r="BD591" t="s">
        <v>10812</v>
      </c>
      <c r="BE591" t="s">
        <v>10813</v>
      </c>
      <c r="BF591" t="str">
        <f>HYPERLINK("http://dx.doi.org/10.1029/2008JD010374","http://dx.doi.org/10.1029/2008JD010374")</f>
        <v>http://dx.doi.org/10.1029/2008JD010374</v>
      </c>
      <c r="BG591" t="s">
        <v>74</v>
      </c>
      <c r="BH591" t="s">
        <v>74</v>
      </c>
      <c r="BI591">
        <v>23</v>
      </c>
      <c r="BJ591" t="s">
        <v>398</v>
      </c>
      <c r="BK591" t="s">
        <v>100</v>
      </c>
      <c r="BL591" t="s">
        <v>398</v>
      </c>
      <c r="BM591" t="s">
        <v>10814</v>
      </c>
      <c r="BN591" t="s">
        <v>74</v>
      </c>
      <c r="BO591" t="s">
        <v>499</v>
      </c>
      <c r="BP591" t="s">
        <v>74</v>
      </c>
      <c r="BQ591" t="s">
        <v>74</v>
      </c>
      <c r="BR591" t="s">
        <v>103</v>
      </c>
      <c r="BS591" t="s">
        <v>10815</v>
      </c>
      <c r="BT591" t="str">
        <f>HYPERLINK("https%3A%2F%2Fwww.webofscience.com%2Fwos%2Fwoscc%2Ffull-record%2FWOS:000262380700002","View Full Record in Web of Science")</f>
        <v>View Full Record in Web of Science</v>
      </c>
    </row>
    <row r="592" spans="1:72" x14ac:dyDescent="0.15">
      <c r="A592" t="s">
        <v>72</v>
      </c>
      <c r="B592" t="s">
        <v>10816</v>
      </c>
      <c r="C592" t="s">
        <v>74</v>
      </c>
      <c r="D592" t="s">
        <v>74</v>
      </c>
      <c r="E592" t="s">
        <v>74</v>
      </c>
      <c r="F592" t="s">
        <v>10817</v>
      </c>
      <c r="G592" t="s">
        <v>74</v>
      </c>
      <c r="H592" t="s">
        <v>74</v>
      </c>
      <c r="I592" t="s">
        <v>10818</v>
      </c>
      <c r="J592" t="s">
        <v>3590</v>
      </c>
      <c r="K592" t="s">
        <v>74</v>
      </c>
      <c r="L592" t="s">
        <v>74</v>
      </c>
      <c r="M592" t="s">
        <v>78</v>
      </c>
      <c r="N592" t="s">
        <v>79</v>
      </c>
      <c r="O592" t="s">
        <v>74</v>
      </c>
      <c r="P592" t="s">
        <v>74</v>
      </c>
      <c r="Q592" t="s">
        <v>74</v>
      </c>
      <c r="R592" t="s">
        <v>74</v>
      </c>
      <c r="S592" t="s">
        <v>74</v>
      </c>
      <c r="T592" t="s">
        <v>10819</v>
      </c>
      <c r="U592" t="s">
        <v>10820</v>
      </c>
      <c r="V592" t="s">
        <v>10821</v>
      </c>
      <c r="W592" t="s">
        <v>10822</v>
      </c>
      <c r="X592" t="s">
        <v>10823</v>
      </c>
      <c r="Y592" t="s">
        <v>10824</v>
      </c>
      <c r="Z592" t="s">
        <v>10825</v>
      </c>
      <c r="AA592" t="s">
        <v>10826</v>
      </c>
      <c r="AB592" t="s">
        <v>10827</v>
      </c>
      <c r="AC592" t="s">
        <v>74</v>
      </c>
      <c r="AD592" t="s">
        <v>74</v>
      </c>
      <c r="AE592" t="s">
        <v>74</v>
      </c>
      <c r="AF592" t="s">
        <v>74</v>
      </c>
      <c r="AG592">
        <v>24</v>
      </c>
      <c r="AH592">
        <v>27</v>
      </c>
      <c r="AI592">
        <v>29</v>
      </c>
      <c r="AJ592">
        <v>2</v>
      </c>
      <c r="AK592">
        <v>14</v>
      </c>
      <c r="AL592" t="s">
        <v>3600</v>
      </c>
      <c r="AM592" t="s">
        <v>3601</v>
      </c>
      <c r="AN592" t="s">
        <v>3602</v>
      </c>
      <c r="AO592" t="s">
        <v>3603</v>
      </c>
      <c r="AP592" t="s">
        <v>74</v>
      </c>
      <c r="AQ592" t="s">
        <v>74</v>
      </c>
      <c r="AR592" t="s">
        <v>3604</v>
      </c>
      <c r="AS592" t="s">
        <v>3605</v>
      </c>
      <c r="AT592" t="s">
        <v>10811</v>
      </c>
      <c r="AU592">
        <v>2009</v>
      </c>
      <c r="AV592">
        <v>94</v>
      </c>
      <c r="AW592">
        <v>1</v>
      </c>
      <c r="AX592" t="s">
        <v>74</v>
      </c>
      <c r="AY592" t="s">
        <v>74</v>
      </c>
      <c r="AZ592" t="s">
        <v>74</v>
      </c>
      <c r="BA592" t="s">
        <v>74</v>
      </c>
      <c r="BB592">
        <v>32</v>
      </c>
      <c r="BC592">
        <v>37</v>
      </c>
      <c r="BD592" t="s">
        <v>74</v>
      </c>
      <c r="BE592" t="s">
        <v>10828</v>
      </c>
      <c r="BF592" t="str">
        <f>HYPERLINK("http://dx.doi.org/10.1016/j.jphotobiol.2008.09.003","http://dx.doi.org/10.1016/j.jphotobiol.2008.09.003")</f>
        <v>http://dx.doi.org/10.1016/j.jphotobiol.2008.09.003</v>
      </c>
      <c r="BG592" t="s">
        <v>74</v>
      </c>
      <c r="BH592" t="s">
        <v>74</v>
      </c>
      <c r="BI592">
        <v>6</v>
      </c>
      <c r="BJ592" t="s">
        <v>3607</v>
      </c>
      <c r="BK592" t="s">
        <v>100</v>
      </c>
      <c r="BL592" t="s">
        <v>3607</v>
      </c>
      <c r="BM592" t="s">
        <v>10829</v>
      </c>
      <c r="BN592">
        <v>18948012</v>
      </c>
      <c r="BO592" t="s">
        <v>74</v>
      </c>
      <c r="BP592" t="s">
        <v>74</v>
      </c>
      <c r="BQ592" t="s">
        <v>74</v>
      </c>
      <c r="BR592" t="s">
        <v>103</v>
      </c>
      <c r="BS592" t="s">
        <v>10830</v>
      </c>
      <c r="BT592" t="str">
        <f>HYPERLINK("https%3A%2F%2Fwww.webofscience.com%2Fwos%2Fwoscc%2Ffull-record%2FWOS:000262556600006","View Full Record in Web of Science")</f>
        <v>View Full Record in Web of Science</v>
      </c>
    </row>
    <row r="593" spans="1:72" x14ac:dyDescent="0.15">
      <c r="A593" t="s">
        <v>72</v>
      </c>
      <c r="B593" t="s">
        <v>10831</v>
      </c>
      <c r="C593" t="s">
        <v>74</v>
      </c>
      <c r="D593" t="s">
        <v>74</v>
      </c>
      <c r="E593" t="s">
        <v>74</v>
      </c>
      <c r="F593" t="s">
        <v>10832</v>
      </c>
      <c r="G593" t="s">
        <v>74</v>
      </c>
      <c r="H593" t="s">
        <v>74</v>
      </c>
      <c r="I593" t="s">
        <v>10833</v>
      </c>
      <c r="J593" t="s">
        <v>3218</v>
      </c>
      <c r="K593" t="s">
        <v>74</v>
      </c>
      <c r="L593" t="s">
        <v>74</v>
      </c>
      <c r="M593" t="s">
        <v>78</v>
      </c>
      <c r="N593" t="s">
        <v>505</v>
      </c>
      <c r="O593" t="s">
        <v>74</v>
      </c>
      <c r="P593" t="s">
        <v>74</v>
      </c>
      <c r="Q593" t="s">
        <v>74</v>
      </c>
      <c r="R593" t="s">
        <v>74</v>
      </c>
      <c r="S593" t="s">
        <v>74</v>
      </c>
      <c r="T593" t="s">
        <v>74</v>
      </c>
      <c r="U593" t="s">
        <v>74</v>
      </c>
      <c r="V593" t="s">
        <v>74</v>
      </c>
      <c r="W593" t="s">
        <v>74</v>
      </c>
      <c r="X593" t="s">
        <v>74</v>
      </c>
      <c r="Y593" t="s">
        <v>74</v>
      </c>
      <c r="Z593" t="s">
        <v>74</v>
      </c>
      <c r="AA593" t="s">
        <v>74</v>
      </c>
      <c r="AB593" t="s">
        <v>74</v>
      </c>
      <c r="AC593" t="s">
        <v>74</v>
      </c>
      <c r="AD593" t="s">
        <v>74</v>
      </c>
      <c r="AE593" t="s">
        <v>74</v>
      </c>
      <c r="AF593" t="s">
        <v>74</v>
      </c>
      <c r="AG593">
        <v>0</v>
      </c>
      <c r="AH593">
        <v>1</v>
      </c>
      <c r="AI593">
        <v>1</v>
      </c>
      <c r="AJ593">
        <v>0</v>
      </c>
      <c r="AK593">
        <v>2</v>
      </c>
      <c r="AL593" t="s">
        <v>3225</v>
      </c>
      <c r="AM593" t="s">
        <v>2924</v>
      </c>
      <c r="AN593" t="s">
        <v>3226</v>
      </c>
      <c r="AO593" t="s">
        <v>3227</v>
      </c>
      <c r="AP593" t="s">
        <v>74</v>
      </c>
      <c r="AQ593" t="s">
        <v>74</v>
      </c>
      <c r="AR593" t="s">
        <v>3218</v>
      </c>
      <c r="AS593" t="s">
        <v>3228</v>
      </c>
      <c r="AT593" t="s">
        <v>10834</v>
      </c>
      <c r="AU593">
        <v>2009</v>
      </c>
      <c r="AV593">
        <v>457</v>
      </c>
      <c r="AW593">
        <v>7226</v>
      </c>
      <c r="AX593" t="s">
        <v>74</v>
      </c>
      <c r="AY593" t="s">
        <v>74</v>
      </c>
      <c r="AZ593" t="s">
        <v>74</v>
      </c>
      <c r="BA593" t="s">
        <v>74</v>
      </c>
      <c r="BB593">
        <v>134</v>
      </c>
      <c r="BC593">
        <v>135</v>
      </c>
      <c r="BD593" t="s">
        <v>74</v>
      </c>
      <c r="BE593" t="s">
        <v>10835</v>
      </c>
      <c r="BF593" t="str">
        <f>HYPERLINK("http://dx.doi.org/10.1038/457134a","http://dx.doi.org/10.1038/457134a")</f>
        <v>http://dx.doi.org/10.1038/457134a</v>
      </c>
      <c r="BG593" t="s">
        <v>74</v>
      </c>
      <c r="BH593" t="s">
        <v>74</v>
      </c>
      <c r="BI593">
        <v>2</v>
      </c>
      <c r="BJ593" t="s">
        <v>790</v>
      </c>
      <c r="BK593" t="s">
        <v>100</v>
      </c>
      <c r="BL593" t="s">
        <v>791</v>
      </c>
      <c r="BM593" t="s">
        <v>10836</v>
      </c>
      <c r="BN593">
        <v>19140244</v>
      </c>
      <c r="BO593" t="s">
        <v>74</v>
      </c>
      <c r="BP593" t="s">
        <v>74</v>
      </c>
      <c r="BQ593" t="s">
        <v>74</v>
      </c>
      <c r="BR593" t="s">
        <v>103</v>
      </c>
      <c r="BS593" t="s">
        <v>10837</v>
      </c>
      <c r="BT593" t="str">
        <f>HYPERLINK("https%3A%2F%2Fwww.webofscience.com%2Fwos%2Fwoscc%2Ffull-record%2FWOS:000262360200004","View Full Record in Web of Science")</f>
        <v>View Full Record in Web of Science</v>
      </c>
    </row>
    <row r="594" spans="1:72" x14ac:dyDescent="0.15">
      <c r="A594" t="s">
        <v>72</v>
      </c>
      <c r="B594" t="s">
        <v>10838</v>
      </c>
      <c r="C594" t="s">
        <v>74</v>
      </c>
      <c r="D594" t="s">
        <v>74</v>
      </c>
      <c r="E594" t="s">
        <v>74</v>
      </c>
      <c r="F594" t="s">
        <v>10839</v>
      </c>
      <c r="G594" t="s">
        <v>74</v>
      </c>
      <c r="H594" t="s">
        <v>74</v>
      </c>
      <c r="I594" t="s">
        <v>10840</v>
      </c>
      <c r="J594" t="s">
        <v>3103</v>
      </c>
      <c r="K594" t="s">
        <v>74</v>
      </c>
      <c r="L594" t="s">
        <v>74</v>
      </c>
      <c r="M594" t="s">
        <v>78</v>
      </c>
      <c r="N594" t="s">
        <v>79</v>
      </c>
      <c r="O594" t="s">
        <v>74</v>
      </c>
      <c r="P594" t="s">
        <v>74</v>
      </c>
      <c r="Q594" t="s">
        <v>74</v>
      </c>
      <c r="R594" t="s">
        <v>74</v>
      </c>
      <c r="S594" t="s">
        <v>74</v>
      </c>
      <c r="T594" t="s">
        <v>74</v>
      </c>
      <c r="U594" t="s">
        <v>10841</v>
      </c>
      <c r="V594" t="s">
        <v>10842</v>
      </c>
      <c r="W594" t="s">
        <v>10843</v>
      </c>
      <c r="X594" t="s">
        <v>10844</v>
      </c>
      <c r="Y594" t="s">
        <v>10845</v>
      </c>
      <c r="Z594" t="s">
        <v>10846</v>
      </c>
      <c r="AA594" t="s">
        <v>10847</v>
      </c>
      <c r="AB594" t="s">
        <v>10848</v>
      </c>
      <c r="AC594" t="s">
        <v>10849</v>
      </c>
      <c r="AD594" t="s">
        <v>10850</v>
      </c>
      <c r="AE594" t="s">
        <v>10851</v>
      </c>
      <c r="AF594" t="s">
        <v>74</v>
      </c>
      <c r="AG594">
        <v>32</v>
      </c>
      <c r="AH594">
        <v>20</v>
      </c>
      <c r="AI594">
        <v>24</v>
      </c>
      <c r="AJ594">
        <v>0</v>
      </c>
      <c r="AK594">
        <v>13</v>
      </c>
      <c r="AL594" t="s">
        <v>3109</v>
      </c>
      <c r="AM594" t="s">
        <v>3110</v>
      </c>
      <c r="AN594" t="s">
        <v>3111</v>
      </c>
      <c r="AO594" t="s">
        <v>3112</v>
      </c>
      <c r="AP594" t="s">
        <v>74</v>
      </c>
      <c r="AQ594" t="s">
        <v>74</v>
      </c>
      <c r="AR594" t="s">
        <v>3103</v>
      </c>
      <c r="AS594" t="s">
        <v>3113</v>
      </c>
      <c r="AT594" t="s">
        <v>10852</v>
      </c>
      <c r="AU594">
        <v>2009</v>
      </c>
      <c r="AV594">
        <v>4</v>
      </c>
      <c r="AW594">
        <v>1</v>
      </c>
      <c r="AX594" t="s">
        <v>74</v>
      </c>
      <c r="AY594" t="s">
        <v>74</v>
      </c>
      <c r="AZ594" t="s">
        <v>74</v>
      </c>
      <c r="BA594" t="s">
        <v>74</v>
      </c>
      <c r="BB594" t="s">
        <v>74</v>
      </c>
      <c r="BC594" t="s">
        <v>74</v>
      </c>
      <c r="BD594" t="s">
        <v>10853</v>
      </c>
      <c r="BE594" t="s">
        <v>10854</v>
      </c>
      <c r="BF594" t="str">
        <f>HYPERLINK("http://dx.doi.org/10.1371/journal.pone.0004148","http://dx.doi.org/10.1371/journal.pone.0004148")</f>
        <v>http://dx.doi.org/10.1371/journal.pone.0004148</v>
      </c>
      <c r="BG594" t="s">
        <v>74</v>
      </c>
      <c r="BH594" t="s">
        <v>74</v>
      </c>
      <c r="BI594">
        <v>3</v>
      </c>
      <c r="BJ594" t="s">
        <v>790</v>
      </c>
      <c r="BK594" t="s">
        <v>100</v>
      </c>
      <c r="BL594" t="s">
        <v>791</v>
      </c>
      <c r="BM594" t="s">
        <v>10855</v>
      </c>
      <c r="BN594">
        <v>19127294</v>
      </c>
      <c r="BO594" t="s">
        <v>10856</v>
      </c>
      <c r="BP594" t="s">
        <v>74</v>
      </c>
      <c r="BQ594" t="s">
        <v>74</v>
      </c>
      <c r="BR594" t="s">
        <v>103</v>
      </c>
      <c r="BS594" t="s">
        <v>10857</v>
      </c>
      <c r="BT594" t="str">
        <f>HYPERLINK("https%3A%2F%2Fwww.webofscience.com%2Fwos%2Fwoscc%2Ffull-record%2FWOS:000265473300013","View Full Record in Web of Science")</f>
        <v>View Full Record in Web of Science</v>
      </c>
    </row>
    <row r="595" spans="1:72" x14ac:dyDescent="0.15">
      <c r="A595" t="s">
        <v>72</v>
      </c>
      <c r="B595" t="s">
        <v>10858</v>
      </c>
      <c r="C595" t="s">
        <v>74</v>
      </c>
      <c r="D595" t="s">
        <v>74</v>
      </c>
      <c r="E595" t="s">
        <v>74</v>
      </c>
      <c r="F595" t="s">
        <v>10859</v>
      </c>
      <c r="G595" t="s">
        <v>74</v>
      </c>
      <c r="H595" t="s">
        <v>74</v>
      </c>
      <c r="I595" t="s">
        <v>10860</v>
      </c>
      <c r="J595" t="s">
        <v>3122</v>
      </c>
      <c r="K595" t="s">
        <v>74</v>
      </c>
      <c r="L595" t="s">
        <v>74</v>
      </c>
      <c r="M595" t="s">
        <v>78</v>
      </c>
      <c r="N595" t="s">
        <v>79</v>
      </c>
      <c r="O595" t="s">
        <v>74</v>
      </c>
      <c r="P595" t="s">
        <v>74</v>
      </c>
      <c r="Q595" t="s">
        <v>74</v>
      </c>
      <c r="R595" t="s">
        <v>74</v>
      </c>
      <c r="S595" t="s">
        <v>74</v>
      </c>
      <c r="T595" t="s">
        <v>10861</v>
      </c>
      <c r="U595" t="s">
        <v>10862</v>
      </c>
      <c r="V595" t="s">
        <v>10863</v>
      </c>
      <c r="W595" t="s">
        <v>10864</v>
      </c>
      <c r="X595" t="s">
        <v>10865</v>
      </c>
      <c r="Y595" t="s">
        <v>10866</v>
      </c>
      <c r="Z595" t="s">
        <v>10867</v>
      </c>
      <c r="AA595" t="s">
        <v>10868</v>
      </c>
      <c r="AB595" t="s">
        <v>74</v>
      </c>
      <c r="AC595" t="s">
        <v>10869</v>
      </c>
      <c r="AD595" t="s">
        <v>10870</v>
      </c>
      <c r="AE595" t="s">
        <v>10871</v>
      </c>
      <c r="AF595" t="s">
        <v>74</v>
      </c>
      <c r="AG595">
        <v>42</v>
      </c>
      <c r="AH595">
        <v>26</v>
      </c>
      <c r="AI595">
        <v>36</v>
      </c>
      <c r="AJ595">
        <v>0</v>
      </c>
      <c r="AK595">
        <v>24</v>
      </c>
      <c r="AL595" t="s">
        <v>3054</v>
      </c>
      <c r="AM595" t="s">
        <v>2924</v>
      </c>
      <c r="AN595" t="s">
        <v>3055</v>
      </c>
      <c r="AO595" t="s">
        <v>3134</v>
      </c>
      <c r="AP595" t="s">
        <v>3465</v>
      </c>
      <c r="AQ595" t="s">
        <v>74</v>
      </c>
      <c r="AR595" t="s">
        <v>3135</v>
      </c>
      <c r="AS595" t="s">
        <v>3136</v>
      </c>
      <c r="AT595" t="s">
        <v>10852</v>
      </c>
      <c r="AU595">
        <v>2009</v>
      </c>
      <c r="AV595">
        <v>276</v>
      </c>
      <c r="AW595">
        <v>1654</v>
      </c>
      <c r="AX595" t="s">
        <v>74</v>
      </c>
      <c r="AY595" t="s">
        <v>74</v>
      </c>
      <c r="AZ595" t="s">
        <v>74</v>
      </c>
      <c r="BA595" t="s">
        <v>74</v>
      </c>
      <c r="BB595">
        <v>81</v>
      </c>
      <c r="BC595">
        <v>90</v>
      </c>
      <c r="BD595" t="s">
        <v>74</v>
      </c>
      <c r="BE595" t="s">
        <v>10872</v>
      </c>
      <c r="BF595" t="str">
        <f>HYPERLINK("http://dx.doi.org/10.1098/rspb.2008.0598","http://dx.doi.org/10.1098/rspb.2008.0598")</f>
        <v>http://dx.doi.org/10.1098/rspb.2008.0598</v>
      </c>
      <c r="BG595" t="s">
        <v>74</v>
      </c>
      <c r="BH595" t="s">
        <v>74</v>
      </c>
      <c r="BI595">
        <v>10</v>
      </c>
      <c r="BJ595" t="s">
        <v>3062</v>
      </c>
      <c r="BK595" t="s">
        <v>100</v>
      </c>
      <c r="BL595" t="s">
        <v>3063</v>
      </c>
      <c r="BM595" t="s">
        <v>10873</v>
      </c>
      <c r="BN595">
        <v>18765338</v>
      </c>
      <c r="BO595" t="s">
        <v>3008</v>
      </c>
      <c r="BP595" t="s">
        <v>74</v>
      </c>
      <c r="BQ595" t="s">
        <v>74</v>
      </c>
      <c r="BR595" t="s">
        <v>103</v>
      </c>
      <c r="BS595" t="s">
        <v>10874</v>
      </c>
      <c r="BT595" t="str">
        <f>HYPERLINK("https%3A%2F%2Fwww.webofscience.com%2Fwos%2Fwoscc%2Ffull-record%2FWOS:000262004900011","View Full Record in Web of Science")</f>
        <v>View Full Record in Web of Science</v>
      </c>
    </row>
    <row r="596" spans="1:72" x14ac:dyDescent="0.15">
      <c r="A596" t="s">
        <v>2434</v>
      </c>
      <c r="B596" t="s">
        <v>10875</v>
      </c>
      <c r="C596" t="s">
        <v>74</v>
      </c>
      <c r="D596" t="s">
        <v>10876</v>
      </c>
      <c r="E596" t="s">
        <v>74</v>
      </c>
      <c r="F596" t="s">
        <v>10877</v>
      </c>
      <c r="G596" t="s">
        <v>74</v>
      </c>
      <c r="H596" t="s">
        <v>74</v>
      </c>
      <c r="I596" t="s">
        <v>10878</v>
      </c>
      <c r="J596" t="s">
        <v>10879</v>
      </c>
      <c r="K596" t="s">
        <v>74</v>
      </c>
      <c r="L596" t="s">
        <v>74</v>
      </c>
      <c r="M596" t="s">
        <v>78</v>
      </c>
      <c r="N596" t="s">
        <v>2440</v>
      </c>
      <c r="O596" t="s">
        <v>10880</v>
      </c>
      <c r="P596" t="s">
        <v>10881</v>
      </c>
      <c r="Q596" t="s">
        <v>10882</v>
      </c>
      <c r="R596" t="s">
        <v>74</v>
      </c>
      <c r="S596" t="s">
        <v>74</v>
      </c>
      <c r="T596" t="s">
        <v>10883</v>
      </c>
      <c r="U596" t="s">
        <v>10884</v>
      </c>
      <c r="V596" t="s">
        <v>10885</v>
      </c>
      <c r="W596" t="s">
        <v>10886</v>
      </c>
      <c r="X596" t="s">
        <v>10887</v>
      </c>
      <c r="Y596" t="s">
        <v>10888</v>
      </c>
      <c r="Z596" t="s">
        <v>10889</v>
      </c>
      <c r="AA596" t="s">
        <v>10890</v>
      </c>
      <c r="AB596" t="s">
        <v>10891</v>
      </c>
      <c r="AC596" t="s">
        <v>74</v>
      </c>
      <c r="AD596" t="s">
        <v>74</v>
      </c>
      <c r="AE596" t="s">
        <v>74</v>
      </c>
      <c r="AF596" t="s">
        <v>74</v>
      </c>
      <c r="AG596">
        <v>11</v>
      </c>
      <c r="AH596">
        <v>0</v>
      </c>
      <c r="AI596">
        <v>0</v>
      </c>
      <c r="AJ596">
        <v>0</v>
      </c>
      <c r="AK596">
        <v>5</v>
      </c>
      <c r="AL596" t="s">
        <v>10892</v>
      </c>
      <c r="AM596" t="s">
        <v>10893</v>
      </c>
      <c r="AN596" t="s">
        <v>10894</v>
      </c>
      <c r="AO596" t="s">
        <v>74</v>
      </c>
      <c r="AP596" t="s">
        <v>74</v>
      </c>
      <c r="AQ596" t="s">
        <v>10895</v>
      </c>
      <c r="AR596" t="s">
        <v>74</v>
      </c>
      <c r="AS596" t="s">
        <v>74</v>
      </c>
      <c r="AT596" t="s">
        <v>74</v>
      </c>
      <c r="AU596">
        <v>2009</v>
      </c>
      <c r="AV596" t="s">
        <v>74</v>
      </c>
      <c r="AW596" t="s">
        <v>74</v>
      </c>
      <c r="AX596" t="s">
        <v>74</v>
      </c>
      <c r="AY596" t="s">
        <v>74</v>
      </c>
      <c r="AZ596" t="s">
        <v>74</v>
      </c>
      <c r="BA596" t="s">
        <v>74</v>
      </c>
      <c r="BB596">
        <v>3740</v>
      </c>
      <c r="BC596">
        <v>3746</v>
      </c>
      <c r="BD596" t="s">
        <v>74</v>
      </c>
      <c r="BE596" t="s">
        <v>74</v>
      </c>
      <c r="BF596" t="s">
        <v>74</v>
      </c>
      <c r="BG596" t="s">
        <v>74</v>
      </c>
      <c r="BH596" t="s">
        <v>74</v>
      </c>
      <c r="BI596">
        <v>7</v>
      </c>
      <c r="BJ596" t="s">
        <v>10896</v>
      </c>
      <c r="BK596" t="s">
        <v>2457</v>
      </c>
      <c r="BL596" t="s">
        <v>10897</v>
      </c>
      <c r="BM596" t="s">
        <v>10898</v>
      </c>
      <c r="BN596" t="s">
        <v>74</v>
      </c>
      <c r="BO596" t="s">
        <v>74</v>
      </c>
      <c r="BP596" t="s">
        <v>74</v>
      </c>
      <c r="BQ596" t="s">
        <v>74</v>
      </c>
      <c r="BR596" t="s">
        <v>103</v>
      </c>
      <c r="BS596" t="s">
        <v>10899</v>
      </c>
      <c r="BT596" t="str">
        <f>HYPERLINK("https%3A%2F%2Fwww.webofscience.com%2Fwos%2Fwoscc%2Ffull-record%2FWOS:000290045003112","View Full Record in Web of Science")</f>
        <v>View Full Record in Web of Science</v>
      </c>
    </row>
    <row r="597" spans="1:72" x14ac:dyDescent="0.15">
      <c r="A597" t="s">
        <v>2434</v>
      </c>
      <c r="B597" t="s">
        <v>10900</v>
      </c>
      <c r="C597" t="s">
        <v>74</v>
      </c>
      <c r="D597" t="s">
        <v>74</v>
      </c>
      <c r="E597" t="s">
        <v>10901</v>
      </c>
      <c r="F597" t="s">
        <v>10902</v>
      </c>
      <c r="G597" t="s">
        <v>74</v>
      </c>
      <c r="H597" t="s">
        <v>74</v>
      </c>
      <c r="I597" t="s">
        <v>10903</v>
      </c>
      <c r="J597" t="s">
        <v>10904</v>
      </c>
      <c r="K597" t="s">
        <v>74</v>
      </c>
      <c r="L597" t="s">
        <v>74</v>
      </c>
      <c r="M597" t="s">
        <v>78</v>
      </c>
      <c r="N597" t="s">
        <v>2440</v>
      </c>
      <c r="O597" t="s">
        <v>10905</v>
      </c>
      <c r="P597" t="s">
        <v>10906</v>
      </c>
      <c r="Q597" t="s">
        <v>10907</v>
      </c>
      <c r="R597" t="s">
        <v>74</v>
      </c>
      <c r="S597" t="s">
        <v>74</v>
      </c>
      <c r="T597" t="s">
        <v>10908</v>
      </c>
      <c r="U597" t="s">
        <v>74</v>
      </c>
      <c r="V597" t="s">
        <v>10909</v>
      </c>
      <c r="W597" t="s">
        <v>10910</v>
      </c>
      <c r="X597" t="s">
        <v>10911</v>
      </c>
      <c r="Y597" t="s">
        <v>10912</v>
      </c>
      <c r="Z597" t="s">
        <v>10913</v>
      </c>
      <c r="AA597" t="s">
        <v>74</v>
      </c>
      <c r="AB597" t="s">
        <v>74</v>
      </c>
      <c r="AC597" t="s">
        <v>74</v>
      </c>
      <c r="AD597" t="s">
        <v>74</v>
      </c>
      <c r="AE597" t="s">
        <v>74</v>
      </c>
      <c r="AF597" t="s">
        <v>74</v>
      </c>
      <c r="AG597">
        <v>1</v>
      </c>
      <c r="AH597">
        <v>1</v>
      </c>
      <c r="AI597">
        <v>1</v>
      </c>
      <c r="AJ597">
        <v>0</v>
      </c>
      <c r="AK597">
        <v>1</v>
      </c>
      <c r="AL597" t="s">
        <v>10901</v>
      </c>
      <c r="AM597" t="s">
        <v>92</v>
      </c>
      <c r="AN597" t="s">
        <v>10914</v>
      </c>
      <c r="AO597" t="s">
        <v>74</v>
      </c>
      <c r="AP597" t="s">
        <v>74</v>
      </c>
      <c r="AQ597" t="s">
        <v>10915</v>
      </c>
      <c r="AR597" t="s">
        <v>74</v>
      </c>
      <c r="AS597" t="s">
        <v>74</v>
      </c>
      <c r="AT597" t="s">
        <v>74</v>
      </c>
      <c r="AU597">
        <v>2009</v>
      </c>
      <c r="AV597" t="s">
        <v>74</v>
      </c>
      <c r="AW597" t="s">
        <v>74</v>
      </c>
      <c r="AX597" t="s">
        <v>74</v>
      </c>
      <c r="AY597" t="s">
        <v>74</v>
      </c>
      <c r="AZ597" t="s">
        <v>74</v>
      </c>
      <c r="BA597" t="s">
        <v>74</v>
      </c>
      <c r="BB597">
        <v>1129</v>
      </c>
      <c r="BC597">
        <v>1134</v>
      </c>
      <c r="BD597" t="s">
        <v>74</v>
      </c>
      <c r="BE597" t="s">
        <v>10916</v>
      </c>
      <c r="BF597" t="str">
        <f>HYPERLINK("http://dx.doi.org/10.1109/ROBIO.2009.4913159","http://dx.doi.org/10.1109/ROBIO.2009.4913159")</f>
        <v>http://dx.doi.org/10.1109/ROBIO.2009.4913159</v>
      </c>
      <c r="BG597" t="s">
        <v>74</v>
      </c>
      <c r="BH597" t="s">
        <v>74</v>
      </c>
      <c r="BI597">
        <v>6</v>
      </c>
      <c r="BJ597" t="s">
        <v>10917</v>
      </c>
      <c r="BK597" t="s">
        <v>2457</v>
      </c>
      <c r="BL597" t="s">
        <v>10918</v>
      </c>
      <c r="BM597" t="s">
        <v>10919</v>
      </c>
      <c r="BN597" t="s">
        <v>74</v>
      </c>
      <c r="BO597" t="s">
        <v>74</v>
      </c>
      <c r="BP597" t="s">
        <v>74</v>
      </c>
      <c r="BQ597" t="s">
        <v>74</v>
      </c>
      <c r="BR597" t="s">
        <v>103</v>
      </c>
      <c r="BS597" t="s">
        <v>10920</v>
      </c>
      <c r="BT597" t="str">
        <f>HYPERLINK("https%3A%2F%2Fwww.webofscience.com%2Fwos%2Fwoscc%2Ffull-record%2FWOS:000271966900190","View Full Record in Web of Science")</f>
        <v>View Full Record in Web of Science</v>
      </c>
    </row>
    <row r="598" spans="1:72" x14ac:dyDescent="0.15">
      <c r="A598" t="s">
        <v>2434</v>
      </c>
      <c r="B598" t="s">
        <v>10921</v>
      </c>
      <c r="C598" t="s">
        <v>74</v>
      </c>
      <c r="D598" t="s">
        <v>10922</v>
      </c>
      <c r="E598" t="s">
        <v>74</v>
      </c>
      <c r="F598" t="s">
        <v>10923</v>
      </c>
      <c r="G598" t="s">
        <v>74</v>
      </c>
      <c r="H598" t="s">
        <v>74</v>
      </c>
      <c r="I598" t="s">
        <v>10924</v>
      </c>
      <c r="J598" t="s">
        <v>10925</v>
      </c>
      <c r="K598" t="s">
        <v>74</v>
      </c>
      <c r="L598" t="s">
        <v>74</v>
      </c>
      <c r="M598" t="s">
        <v>78</v>
      </c>
      <c r="N598" t="s">
        <v>2440</v>
      </c>
      <c r="O598" t="s">
        <v>10926</v>
      </c>
      <c r="P598" t="s">
        <v>10927</v>
      </c>
      <c r="Q598" t="s">
        <v>10928</v>
      </c>
      <c r="R598" t="s">
        <v>74</v>
      </c>
      <c r="S598" t="s">
        <v>74</v>
      </c>
      <c r="T598" t="s">
        <v>10929</v>
      </c>
      <c r="U598" t="s">
        <v>10930</v>
      </c>
      <c r="V598" t="s">
        <v>10931</v>
      </c>
      <c r="W598" t="s">
        <v>10932</v>
      </c>
      <c r="X598" t="s">
        <v>10933</v>
      </c>
      <c r="Y598" t="s">
        <v>10934</v>
      </c>
      <c r="Z598" t="s">
        <v>10935</v>
      </c>
      <c r="AA598" t="s">
        <v>10936</v>
      </c>
      <c r="AB598" t="s">
        <v>74</v>
      </c>
      <c r="AC598" t="s">
        <v>10937</v>
      </c>
      <c r="AD598" t="s">
        <v>10938</v>
      </c>
      <c r="AE598" t="s">
        <v>10939</v>
      </c>
      <c r="AF598" t="s">
        <v>74</v>
      </c>
      <c r="AG598">
        <v>15</v>
      </c>
      <c r="AH598">
        <v>1</v>
      </c>
      <c r="AI598">
        <v>1</v>
      </c>
      <c r="AJ598">
        <v>0</v>
      </c>
      <c r="AK598">
        <v>2</v>
      </c>
      <c r="AL598" t="s">
        <v>10940</v>
      </c>
      <c r="AM598" t="s">
        <v>10941</v>
      </c>
      <c r="AN598" t="s">
        <v>10942</v>
      </c>
      <c r="AO598" t="s">
        <v>74</v>
      </c>
      <c r="AP598" t="s">
        <v>74</v>
      </c>
      <c r="AQ598" t="s">
        <v>10943</v>
      </c>
      <c r="AR598" t="s">
        <v>74</v>
      </c>
      <c r="AS598" t="s">
        <v>74</v>
      </c>
      <c r="AT598" t="s">
        <v>74</v>
      </c>
      <c r="AU598">
        <v>2009</v>
      </c>
      <c r="AV598" t="s">
        <v>74</v>
      </c>
      <c r="AW598" t="s">
        <v>74</v>
      </c>
      <c r="AX598" t="s">
        <v>74</v>
      </c>
      <c r="AY598" t="s">
        <v>74</v>
      </c>
      <c r="AZ598" t="s">
        <v>74</v>
      </c>
      <c r="BA598" t="s">
        <v>74</v>
      </c>
      <c r="BB598">
        <v>261</v>
      </c>
      <c r="BC598" t="s">
        <v>10944</v>
      </c>
      <c r="BD598" t="s">
        <v>74</v>
      </c>
      <c r="BE598" t="s">
        <v>10945</v>
      </c>
      <c r="BF598" t="str">
        <f>HYPERLINK("http://dx.doi.org/10.1109/ETTandGRS.2008.139","http://dx.doi.org/10.1109/ETTandGRS.2008.139")</f>
        <v>http://dx.doi.org/10.1109/ETTandGRS.2008.139</v>
      </c>
      <c r="BG598" t="s">
        <v>74</v>
      </c>
      <c r="BH598" t="s">
        <v>74</v>
      </c>
      <c r="BI598">
        <v>2</v>
      </c>
      <c r="BJ598" t="s">
        <v>10946</v>
      </c>
      <c r="BK598" t="s">
        <v>2457</v>
      </c>
      <c r="BL598" t="s">
        <v>10947</v>
      </c>
      <c r="BM598" t="s">
        <v>10948</v>
      </c>
      <c r="BN598" t="s">
        <v>74</v>
      </c>
      <c r="BO598" t="s">
        <v>74</v>
      </c>
      <c r="BP598" t="s">
        <v>74</v>
      </c>
      <c r="BQ598" t="s">
        <v>74</v>
      </c>
      <c r="BR598" t="s">
        <v>103</v>
      </c>
      <c r="BS598" t="s">
        <v>10949</v>
      </c>
      <c r="BT598" t="str">
        <f>HYPERLINK("https%3A%2F%2Fwww.webofscience.com%2Fwos%2Fwoscc%2Ffull-record%2FWOS:000269688700064","View Full Record in Web of Science")</f>
        <v>View Full Record in Web of Science</v>
      </c>
    </row>
    <row r="599" spans="1:72" x14ac:dyDescent="0.15">
      <c r="A599" t="s">
        <v>2434</v>
      </c>
      <c r="B599" t="s">
        <v>10950</v>
      </c>
      <c r="C599" t="s">
        <v>74</v>
      </c>
      <c r="D599" t="s">
        <v>74</v>
      </c>
      <c r="E599" t="s">
        <v>10901</v>
      </c>
      <c r="F599" t="s">
        <v>10951</v>
      </c>
      <c r="G599" t="s">
        <v>74</v>
      </c>
      <c r="H599" t="s">
        <v>74</v>
      </c>
      <c r="I599" t="s">
        <v>10952</v>
      </c>
      <c r="J599" t="s">
        <v>10953</v>
      </c>
      <c r="K599" t="s">
        <v>74</v>
      </c>
      <c r="L599" t="s">
        <v>74</v>
      </c>
      <c r="M599" t="s">
        <v>78</v>
      </c>
      <c r="N599" t="s">
        <v>2440</v>
      </c>
      <c r="O599" t="s">
        <v>10954</v>
      </c>
      <c r="P599" t="s">
        <v>10955</v>
      </c>
      <c r="Q599" t="s">
        <v>10956</v>
      </c>
      <c r="R599" t="s">
        <v>74</v>
      </c>
      <c r="S599" t="s">
        <v>74</v>
      </c>
      <c r="T599" t="s">
        <v>10957</v>
      </c>
      <c r="U599" t="s">
        <v>10958</v>
      </c>
      <c r="V599" t="s">
        <v>10959</v>
      </c>
      <c r="W599" t="s">
        <v>10960</v>
      </c>
      <c r="X599" t="s">
        <v>824</v>
      </c>
      <c r="Y599" t="s">
        <v>10961</v>
      </c>
      <c r="Z599" t="s">
        <v>74</v>
      </c>
      <c r="AA599" t="s">
        <v>74</v>
      </c>
      <c r="AB599" t="s">
        <v>74</v>
      </c>
      <c r="AC599" t="s">
        <v>74</v>
      </c>
      <c r="AD599" t="s">
        <v>74</v>
      </c>
      <c r="AE599" t="s">
        <v>74</v>
      </c>
      <c r="AF599" t="s">
        <v>74</v>
      </c>
      <c r="AG599">
        <v>7</v>
      </c>
      <c r="AH599">
        <v>5</v>
      </c>
      <c r="AI599">
        <v>5</v>
      </c>
      <c r="AJ599">
        <v>0</v>
      </c>
      <c r="AK599">
        <v>2</v>
      </c>
      <c r="AL599" t="s">
        <v>10901</v>
      </c>
      <c r="AM599" t="s">
        <v>92</v>
      </c>
      <c r="AN599" t="s">
        <v>10914</v>
      </c>
      <c r="AO599" t="s">
        <v>74</v>
      </c>
      <c r="AP599" t="s">
        <v>74</v>
      </c>
      <c r="AQ599" t="s">
        <v>10962</v>
      </c>
      <c r="AR599" t="s">
        <v>74</v>
      </c>
      <c r="AS599" t="s">
        <v>74</v>
      </c>
      <c r="AT599" t="s">
        <v>74</v>
      </c>
      <c r="AU599">
        <v>2009</v>
      </c>
      <c r="AV599" t="s">
        <v>74</v>
      </c>
      <c r="AW599" t="s">
        <v>74</v>
      </c>
      <c r="AX599" t="s">
        <v>74</v>
      </c>
      <c r="AY599" t="s">
        <v>74</v>
      </c>
      <c r="AZ599" t="s">
        <v>74</v>
      </c>
      <c r="BA599" t="s">
        <v>74</v>
      </c>
      <c r="BB599">
        <v>162</v>
      </c>
      <c r="BC599">
        <v>165</v>
      </c>
      <c r="BD599" t="s">
        <v>74</v>
      </c>
      <c r="BE599" t="s">
        <v>74</v>
      </c>
      <c r="BF599" t="s">
        <v>74</v>
      </c>
      <c r="BG599" t="s">
        <v>74</v>
      </c>
      <c r="BH599" t="s">
        <v>74</v>
      </c>
      <c r="BI599">
        <v>4</v>
      </c>
      <c r="BJ599" t="s">
        <v>10963</v>
      </c>
      <c r="BK599" t="s">
        <v>2457</v>
      </c>
      <c r="BL599" t="s">
        <v>10964</v>
      </c>
      <c r="BM599" t="s">
        <v>10965</v>
      </c>
      <c r="BN599" t="s">
        <v>74</v>
      </c>
      <c r="BO599" t="s">
        <v>74</v>
      </c>
      <c r="BP599" t="s">
        <v>74</v>
      </c>
      <c r="BQ599" t="s">
        <v>74</v>
      </c>
      <c r="BR599" t="s">
        <v>103</v>
      </c>
      <c r="BS599" t="s">
        <v>10966</v>
      </c>
      <c r="BT599" t="str">
        <f>HYPERLINK("https%3A%2F%2Fwww.webofscience.com%2Fwos%2Fwoscc%2Ffull-record%2FWOS:000276190400040","View Full Record in Web of Science")</f>
        <v>View Full Record in Web of Science</v>
      </c>
    </row>
    <row r="600" spans="1:72" x14ac:dyDescent="0.15">
      <c r="A600" t="s">
        <v>2434</v>
      </c>
      <c r="B600" t="s">
        <v>10967</v>
      </c>
      <c r="C600" t="s">
        <v>74</v>
      </c>
      <c r="D600" t="s">
        <v>74</v>
      </c>
      <c r="E600" t="s">
        <v>10901</v>
      </c>
      <c r="F600" t="s">
        <v>10968</v>
      </c>
      <c r="G600" t="s">
        <v>74</v>
      </c>
      <c r="H600" t="s">
        <v>74</v>
      </c>
      <c r="I600" t="s">
        <v>10969</v>
      </c>
      <c r="J600" t="s">
        <v>10970</v>
      </c>
      <c r="K600" t="s">
        <v>10971</v>
      </c>
      <c r="L600" t="s">
        <v>74</v>
      </c>
      <c r="M600" t="s">
        <v>78</v>
      </c>
      <c r="N600" t="s">
        <v>2440</v>
      </c>
      <c r="O600" t="s">
        <v>10972</v>
      </c>
      <c r="P600" t="s">
        <v>10973</v>
      </c>
      <c r="Q600" t="s">
        <v>10974</v>
      </c>
      <c r="R600" t="s">
        <v>74</v>
      </c>
      <c r="S600" t="s">
        <v>74</v>
      </c>
      <c r="T600" t="s">
        <v>10975</v>
      </c>
      <c r="U600" t="s">
        <v>10976</v>
      </c>
      <c r="V600" t="s">
        <v>10977</v>
      </c>
      <c r="W600" t="s">
        <v>10978</v>
      </c>
      <c r="X600" t="s">
        <v>10979</v>
      </c>
      <c r="Y600" t="s">
        <v>10980</v>
      </c>
      <c r="Z600" t="s">
        <v>10981</v>
      </c>
      <c r="AA600" t="s">
        <v>74</v>
      </c>
      <c r="AB600" t="s">
        <v>74</v>
      </c>
      <c r="AC600" t="s">
        <v>74</v>
      </c>
      <c r="AD600" t="s">
        <v>74</v>
      </c>
      <c r="AE600" t="s">
        <v>74</v>
      </c>
      <c r="AF600" t="s">
        <v>74</v>
      </c>
      <c r="AG600">
        <v>7</v>
      </c>
      <c r="AH600">
        <v>1</v>
      </c>
      <c r="AI600">
        <v>1</v>
      </c>
      <c r="AJ600">
        <v>0</v>
      </c>
      <c r="AK600">
        <v>3</v>
      </c>
      <c r="AL600" t="s">
        <v>10901</v>
      </c>
      <c r="AM600" t="s">
        <v>92</v>
      </c>
      <c r="AN600" t="s">
        <v>10914</v>
      </c>
      <c r="AO600" t="s">
        <v>10982</v>
      </c>
      <c r="AP600" t="s">
        <v>74</v>
      </c>
      <c r="AQ600" t="s">
        <v>10983</v>
      </c>
      <c r="AR600" t="s">
        <v>10984</v>
      </c>
      <c r="AS600" t="s">
        <v>74</v>
      </c>
      <c r="AT600" t="s">
        <v>74</v>
      </c>
      <c r="AU600">
        <v>2009</v>
      </c>
      <c r="AV600" t="s">
        <v>74</v>
      </c>
      <c r="AW600" t="s">
        <v>74</v>
      </c>
      <c r="AX600" t="s">
        <v>74</v>
      </c>
      <c r="AY600" t="s">
        <v>74</v>
      </c>
      <c r="AZ600" t="s">
        <v>74</v>
      </c>
      <c r="BA600" t="s">
        <v>74</v>
      </c>
      <c r="BB600">
        <v>477</v>
      </c>
      <c r="BC600" t="s">
        <v>10944</v>
      </c>
      <c r="BD600" t="s">
        <v>74</v>
      </c>
      <c r="BE600" t="s">
        <v>10985</v>
      </c>
      <c r="BF600" t="str">
        <f>HYPERLINK("http://dx.doi.org/10.1109/IGARSS.2009.5418049","http://dx.doi.org/10.1109/IGARSS.2009.5418049")</f>
        <v>http://dx.doi.org/10.1109/IGARSS.2009.5418049</v>
      </c>
      <c r="BG600" t="s">
        <v>74</v>
      </c>
      <c r="BH600" t="s">
        <v>74</v>
      </c>
      <c r="BI600">
        <v>2</v>
      </c>
      <c r="BJ600" t="s">
        <v>10986</v>
      </c>
      <c r="BK600" t="s">
        <v>2457</v>
      </c>
      <c r="BL600" t="s">
        <v>10987</v>
      </c>
      <c r="BM600" t="s">
        <v>10988</v>
      </c>
      <c r="BN600" t="s">
        <v>74</v>
      </c>
      <c r="BO600" t="s">
        <v>217</v>
      </c>
      <c r="BP600" t="s">
        <v>74</v>
      </c>
      <c r="BQ600" t="s">
        <v>74</v>
      </c>
      <c r="BR600" t="s">
        <v>103</v>
      </c>
      <c r="BS600" t="s">
        <v>10989</v>
      </c>
      <c r="BT600" t="str">
        <f>HYPERLINK("https%3A%2F%2Fwww.webofscience.com%2Fwos%2Fwoscc%2Ffull-record%2FWOS:000281054100121","View Full Record in Web of Science")</f>
        <v>View Full Record in Web of Science</v>
      </c>
    </row>
    <row r="601" spans="1:72" x14ac:dyDescent="0.15">
      <c r="A601" t="s">
        <v>2434</v>
      </c>
      <c r="B601" t="s">
        <v>10990</v>
      </c>
      <c r="C601" t="s">
        <v>74</v>
      </c>
      <c r="D601" t="s">
        <v>74</v>
      </c>
      <c r="E601" t="s">
        <v>10901</v>
      </c>
      <c r="F601" t="s">
        <v>10991</v>
      </c>
      <c r="G601" t="s">
        <v>74</v>
      </c>
      <c r="H601" t="s">
        <v>74</v>
      </c>
      <c r="I601" t="s">
        <v>10992</v>
      </c>
      <c r="J601" t="s">
        <v>10970</v>
      </c>
      <c r="K601" t="s">
        <v>10971</v>
      </c>
      <c r="L601" t="s">
        <v>74</v>
      </c>
      <c r="M601" t="s">
        <v>78</v>
      </c>
      <c r="N601" t="s">
        <v>2440</v>
      </c>
      <c r="O601" t="s">
        <v>10972</v>
      </c>
      <c r="P601" t="s">
        <v>10973</v>
      </c>
      <c r="Q601" t="s">
        <v>10974</v>
      </c>
      <c r="R601" t="s">
        <v>74</v>
      </c>
      <c r="S601" t="s">
        <v>74</v>
      </c>
      <c r="T601" t="s">
        <v>10993</v>
      </c>
      <c r="U601" t="s">
        <v>74</v>
      </c>
      <c r="V601" t="s">
        <v>10994</v>
      </c>
      <c r="W601" t="s">
        <v>74</v>
      </c>
      <c r="X601" t="s">
        <v>74</v>
      </c>
      <c r="Y601" t="s">
        <v>74</v>
      </c>
      <c r="Z601" t="s">
        <v>74</v>
      </c>
      <c r="AA601" t="s">
        <v>74</v>
      </c>
      <c r="AB601" t="s">
        <v>10995</v>
      </c>
      <c r="AC601" t="s">
        <v>74</v>
      </c>
      <c r="AD601" t="s">
        <v>74</v>
      </c>
      <c r="AE601" t="s">
        <v>74</v>
      </c>
      <c r="AF601" t="s">
        <v>74</v>
      </c>
      <c r="AG601">
        <v>2</v>
      </c>
      <c r="AH601">
        <v>0</v>
      </c>
      <c r="AI601">
        <v>0</v>
      </c>
      <c r="AJ601">
        <v>0</v>
      </c>
      <c r="AK601">
        <v>0</v>
      </c>
      <c r="AL601" t="s">
        <v>10901</v>
      </c>
      <c r="AM601" t="s">
        <v>92</v>
      </c>
      <c r="AN601" t="s">
        <v>10914</v>
      </c>
      <c r="AO601" t="s">
        <v>10982</v>
      </c>
      <c r="AP601" t="s">
        <v>74</v>
      </c>
      <c r="AQ601" t="s">
        <v>10983</v>
      </c>
      <c r="AR601" t="s">
        <v>10984</v>
      </c>
      <c r="AS601" t="s">
        <v>74</v>
      </c>
      <c r="AT601" t="s">
        <v>74</v>
      </c>
      <c r="AU601">
        <v>2009</v>
      </c>
      <c r="AV601" t="s">
        <v>74</v>
      </c>
      <c r="AW601" t="s">
        <v>74</v>
      </c>
      <c r="AX601" t="s">
        <v>74</v>
      </c>
      <c r="AY601" t="s">
        <v>74</v>
      </c>
      <c r="AZ601" t="s">
        <v>74</v>
      </c>
      <c r="BA601" t="s">
        <v>74</v>
      </c>
      <c r="BB601">
        <v>822</v>
      </c>
      <c r="BC601">
        <v>824</v>
      </c>
      <c r="BD601" t="s">
        <v>74</v>
      </c>
      <c r="BE601" t="s">
        <v>10996</v>
      </c>
      <c r="BF601" t="str">
        <f>HYPERLINK("http://dx.doi.org/10.1109/IGARSS.2009.5418148","http://dx.doi.org/10.1109/IGARSS.2009.5418148")</f>
        <v>http://dx.doi.org/10.1109/IGARSS.2009.5418148</v>
      </c>
      <c r="BG601" t="s">
        <v>74</v>
      </c>
      <c r="BH601" t="s">
        <v>74</v>
      </c>
      <c r="BI601">
        <v>3</v>
      </c>
      <c r="BJ601" t="s">
        <v>10986</v>
      </c>
      <c r="BK601" t="s">
        <v>2457</v>
      </c>
      <c r="BL601" t="s">
        <v>10987</v>
      </c>
      <c r="BM601" t="s">
        <v>10988</v>
      </c>
      <c r="BN601" t="s">
        <v>74</v>
      </c>
      <c r="BO601" t="s">
        <v>74</v>
      </c>
      <c r="BP601" t="s">
        <v>74</v>
      </c>
      <c r="BQ601" t="s">
        <v>74</v>
      </c>
      <c r="BR601" t="s">
        <v>103</v>
      </c>
      <c r="BS601" t="s">
        <v>10997</v>
      </c>
      <c r="BT601" t="str">
        <f>HYPERLINK("https%3A%2F%2Fwww.webofscience.com%2Fwos%2Fwoscc%2Ffull-record%2FWOS:000281054100208","View Full Record in Web of Science")</f>
        <v>View Full Record in Web of Science</v>
      </c>
    </row>
    <row r="602" spans="1:72" x14ac:dyDescent="0.15">
      <c r="A602" t="s">
        <v>2434</v>
      </c>
      <c r="B602" t="s">
        <v>10998</v>
      </c>
      <c r="C602" t="s">
        <v>74</v>
      </c>
      <c r="D602" t="s">
        <v>74</v>
      </c>
      <c r="E602" t="s">
        <v>10901</v>
      </c>
      <c r="F602" t="s">
        <v>10999</v>
      </c>
      <c r="G602" t="s">
        <v>74</v>
      </c>
      <c r="H602" t="s">
        <v>74</v>
      </c>
      <c r="I602" t="s">
        <v>11000</v>
      </c>
      <c r="J602" t="s">
        <v>10970</v>
      </c>
      <c r="K602" t="s">
        <v>10971</v>
      </c>
      <c r="L602" t="s">
        <v>74</v>
      </c>
      <c r="M602" t="s">
        <v>78</v>
      </c>
      <c r="N602" t="s">
        <v>2440</v>
      </c>
      <c r="O602" t="s">
        <v>10972</v>
      </c>
      <c r="P602" t="s">
        <v>10973</v>
      </c>
      <c r="Q602" t="s">
        <v>10974</v>
      </c>
      <c r="R602" t="s">
        <v>74</v>
      </c>
      <c r="S602" t="s">
        <v>74</v>
      </c>
      <c r="T602" t="s">
        <v>11001</v>
      </c>
      <c r="U602" t="s">
        <v>74</v>
      </c>
      <c r="V602" t="s">
        <v>11002</v>
      </c>
      <c r="W602" t="s">
        <v>11003</v>
      </c>
      <c r="X602" t="s">
        <v>11004</v>
      </c>
      <c r="Y602" t="s">
        <v>11005</v>
      </c>
      <c r="Z602" t="s">
        <v>74</v>
      </c>
      <c r="AA602" t="s">
        <v>11006</v>
      </c>
      <c r="AB602" t="s">
        <v>11007</v>
      </c>
      <c r="AC602" t="s">
        <v>11008</v>
      </c>
      <c r="AD602" t="s">
        <v>11009</v>
      </c>
      <c r="AE602" t="s">
        <v>11010</v>
      </c>
      <c r="AF602" t="s">
        <v>74</v>
      </c>
      <c r="AG602">
        <v>3</v>
      </c>
      <c r="AH602">
        <v>0</v>
      </c>
      <c r="AI602">
        <v>0</v>
      </c>
      <c r="AJ602">
        <v>0</v>
      </c>
      <c r="AK602">
        <v>0</v>
      </c>
      <c r="AL602" t="s">
        <v>10901</v>
      </c>
      <c r="AM602" t="s">
        <v>92</v>
      </c>
      <c r="AN602" t="s">
        <v>10914</v>
      </c>
      <c r="AO602" t="s">
        <v>10982</v>
      </c>
      <c r="AP602" t="s">
        <v>74</v>
      </c>
      <c r="AQ602" t="s">
        <v>10983</v>
      </c>
      <c r="AR602" t="s">
        <v>10984</v>
      </c>
      <c r="AS602" t="s">
        <v>74</v>
      </c>
      <c r="AT602" t="s">
        <v>74</v>
      </c>
      <c r="AU602">
        <v>2009</v>
      </c>
      <c r="AV602" t="s">
        <v>74</v>
      </c>
      <c r="AW602" t="s">
        <v>74</v>
      </c>
      <c r="AX602" t="s">
        <v>74</v>
      </c>
      <c r="AY602" t="s">
        <v>74</v>
      </c>
      <c r="AZ602" t="s">
        <v>74</v>
      </c>
      <c r="BA602" t="s">
        <v>74</v>
      </c>
      <c r="BB602">
        <v>1267</v>
      </c>
      <c r="BC602" t="s">
        <v>10944</v>
      </c>
      <c r="BD602" t="s">
        <v>74</v>
      </c>
      <c r="BE602" t="s">
        <v>11011</v>
      </c>
      <c r="BF602" t="str">
        <f>HYPERLINK("http://dx.doi.org/10.1109/IGARSS.2009.5418276","http://dx.doi.org/10.1109/IGARSS.2009.5418276")</f>
        <v>http://dx.doi.org/10.1109/IGARSS.2009.5418276</v>
      </c>
      <c r="BG602" t="s">
        <v>74</v>
      </c>
      <c r="BH602" t="s">
        <v>74</v>
      </c>
      <c r="BI602">
        <v>2</v>
      </c>
      <c r="BJ602" t="s">
        <v>10986</v>
      </c>
      <c r="BK602" t="s">
        <v>2457</v>
      </c>
      <c r="BL602" t="s">
        <v>10987</v>
      </c>
      <c r="BM602" t="s">
        <v>10988</v>
      </c>
      <c r="BN602" t="s">
        <v>74</v>
      </c>
      <c r="BO602" t="s">
        <v>74</v>
      </c>
      <c r="BP602" t="s">
        <v>74</v>
      </c>
      <c r="BQ602" t="s">
        <v>74</v>
      </c>
      <c r="BR602" t="s">
        <v>103</v>
      </c>
      <c r="BS602" t="s">
        <v>11012</v>
      </c>
      <c r="BT602" t="str">
        <f>HYPERLINK("https%3A%2F%2Fwww.webofscience.com%2Fwos%2Fwoscc%2Ffull-record%2FWOS:000281054100321","View Full Record in Web of Science")</f>
        <v>View Full Record in Web of Science</v>
      </c>
    </row>
    <row r="603" spans="1:72" x14ac:dyDescent="0.15">
      <c r="A603" t="s">
        <v>2434</v>
      </c>
      <c r="B603" t="s">
        <v>11013</v>
      </c>
      <c r="C603" t="s">
        <v>74</v>
      </c>
      <c r="D603" t="s">
        <v>74</v>
      </c>
      <c r="E603" t="s">
        <v>10901</v>
      </c>
      <c r="F603" t="s">
        <v>11014</v>
      </c>
      <c r="G603" t="s">
        <v>74</v>
      </c>
      <c r="H603" t="s">
        <v>74</v>
      </c>
      <c r="I603" t="s">
        <v>11015</v>
      </c>
      <c r="J603" t="s">
        <v>10970</v>
      </c>
      <c r="K603" t="s">
        <v>10971</v>
      </c>
      <c r="L603" t="s">
        <v>74</v>
      </c>
      <c r="M603" t="s">
        <v>78</v>
      </c>
      <c r="N603" t="s">
        <v>2440</v>
      </c>
      <c r="O603" t="s">
        <v>10972</v>
      </c>
      <c r="P603" t="s">
        <v>10973</v>
      </c>
      <c r="Q603" t="s">
        <v>10974</v>
      </c>
      <c r="R603" t="s">
        <v>74</v>
      </c>
      <c r="S603" t="s">
        <v>74</v>
      </c>
      <c r="T603" t="s">
        <v>74</v>
      </c>
      <c r="U603" t="s">
        <v>74</v>
      </c>
      <c r="V603" t="s">
        <v>11016</v>
      </c>
      <c r="W603" t="s">
        <v>11017</v>
      </c>
      <c r="X603" t="s">
        <v>11018</v>
      </c>
      <c r="Y603" t="s">
        <v>11019</v>
      </c>
      <c r="Z603" t="s">
        <v>74</v>
      </c>
      <c r="AA603" t="s">
        <v>11020</v>
      </c>
      <c r="AB603" t="s">
        <v>11021</v>
      </c>
      <c r="AC603" t="s">
        <v>11022</v>
      </c>
      <c r="AD603" t="s">
        <v>11022</v>
      </c>
      <c r="AE603" t="s">
        <v>11023</v>
      </c>
      <c r="AF603" t="s">
        <v>74</v>
      </c>
      <c r="AG603">
        <v>4</v>
      </c>
      <c r="AH603">
        <v>0</v>
      </c>
      <c r="AI603">
        <v>0</v>
      </c>
      <c r="AJ603">
        <v>0</v>
      </c>
      <c r="AK603">
        <v>1</v>
      </c>
      <c r="AL603" t="s">
        <v>10901</v>
      </c>
      <c r="AM603" t="s">
        <v>92</v>
      </c>
      <c r="AN603" t="s">
        <v>10914</v>
      </c>
      <c r="AO603" t="s">
        <v>10982</v>
      </c>
      <c r="AP603" t="s">
        <v>74</v>
      </c>
      <c r="AQ603" t="s">
        <v>10983</v>
      </c>
      <c r="AR603" t="s">
        <v>10984</v>
      </c>
      <c r="AS603" t="s">
        <v>74</v>
      </c>
      <c r="AT603" t="s">
        <v>74</v>
      </c>
      <c r="AU603">
        <v>2009</v>
      </c>
      <c r="AV603" t="s">
        <v>74</v>
      </c>
      <c r="AW603" t="s">
        <v>74</v>
      </c>
      <c r="AX603" t="s">
        <v>74</v>
      </c>
      <c r="AY603" t="s">
        <v>74</v>
      </c>
      <c r="AZ603" t="s">
        <v>74</v>
      </c>
      <c r="BA603" t="s">
        <v>74</v>
      </c>
      <c r="BB603">
        <v>1941</v>
      </c>
      <c r="BC603" t="s">
        <v>10944</v>
      </c>
      <c r="BD603" t="s">
        <v>74</v>
      </c>
      <c r="BE603" t="s">
        <v>11024</v>
      </c>
      <c r="BF603" t="str">
        <f>HYPERLINK("http://dx.doi.org/10.1109/IGARSS.2009.5417841","http://dx.doi.org/10.1109/IGARSS.2009.5417841")</f>
        <v>http://dx.doi.org/10.1109/IGARSS.2009.5417841</v>
      </c>
      <c r="BG603" t="s">
        <v>74</v>
      </c>
      <c r="BH603" t="s">
        <v>74</v>
      </c>
      <c r="BI603">
        <v>2</v>
      </c>
      <c r="BJ603" t="s">
        <v>10986</v>
      </c>
      <c r="BK603" t="s">
        <v>2457</v>
      </c>
      <c r="BL603" t="s">
        <v>10987</v>
      </c>
      <c r="BM603" t="s">
        <v>10988</v>
      </c>
      <c r="BN603" t="s">
        <v>74</v>
      </c>
      <c r="BO603" t="s">
        <v>74</v>
      </c>
      <c r="BP603" t="s">
        <v>74</v>
      </c>
      <c r="BQ603" t="s">
        <v>74</v>
      </c>
      <c r="BR603" t="s">
        <v>103</v>
      </c>
      <c r="BS603" t="s">
        <v>11025</v>
      </c>
      <c r="BT603" t="str">
        <f>HYPERLINK("https%3A%2F%2Fwww.webofscience.com%2Fwos%2Fwoscc%2Ffull-record%2FWOS:000281054101163","View Full Record in Web of Science")</f>
        <v>View Full Record in Web of Science</v>
      </c>
    </row>
    <row r="604" spans="1:72" x14ac:dyDescent="0.15">
      <c r="A604" t="s">
        <v>2434</v>
      </c>
      <c r="B604" t="s">
        <v>11026</v>
      </c>
      <c r="C604" t="s">
        <v>74</v>
      </c>
      <c r="D604" t="s">
        <v>74</v>
      </c>
      <c r="E604" t="s">
        <v>10901</v>
      </c>
      <c r="F604" t="s">
        <v>11027</v>
      </c>
      <c r="G604" t="s">
        <v>74</v>
      </c>
      <c r="H604" t="s">
        <v>74</v>
      </c>
      <c r="I604" t="s">
        <v>11028</v>
      </c>
      <c r="J604" t="s">
        <v>11029</v>
      </c>
      <c r="K604" t="s">
        <v>11030</v>
      </c>
      <c r="L604" t="s">
        <v>74</v>
      </c>
      <c r="M604" t="s">
        <v>78</v>
      </c>
      <c r="N604" t="s">
        <v>2440</v>
      </c>
      <c r="O604" t="s">
        <v>11031</v>
      </c>
      <c r="P604" t="s">
        <v>11032</v>
      </c>
      <c r="Q604" t="s">
        <v>11033</v>
      </c>
      <c r="R604" t="s">
        <v>74</v>
      </c>
      <c r="S604" t="s">
        <v>74</v>
      </c>
      <c r="T604" t="s">
        <v>74</v>
      </c>
      <c r="U604" t="s">
        <v>74</v>
      </c>
      <c r="V604" t="s">
        <v>11034</v>
      </c>
      <c r="W604" t="s">
        <v>11035</v>
      </c>
      <c r="X604" t="s">
        <v>11036</v>
      </c>
      <c r="Y604" t="s">
        <v>11037</v>
      </c>
      <c r="Z604" t="s">
        <v>11038</v>
      </c>
      <c r="AA604" t="s">
        <v>74</v>
      </c>
      <c r="AB604" t="s">
        <v>11039</v>
      </c>
      <c r="AC604" t="s">
        <v>74</v>
      </c>
      <c r="AD604" t="s">
        <v>74</v>
      </c>
      <c r="AE604" t="s">
        <v>74</v>
      </c>
      <c r="AF604" t="s">
        <v>74</v>
      </c>
      <c r="AG604">
        <v>7</v>
      </c>
      <c r="AH604">
        <v>0</v>
      </c>
      <c r="AI604">
        <v>0</v>
      </c>
      <c r="AJ604">
        <v>0</v>
      </c>
      <c r="AK604">
        <v>1</v>
      </c>
      <c r="AL604" t="s">
        <v>10901</v>
      </c>
      <c r="AM604" t="s">
        <v>92</v>
      </c>
      <c r="AN604" t="s">
        <v>10914</v>
      </c>
      <c r="AO604" t="s">
        <v>11040</v>
      </c>
      <c r="AP604" t="s">
        <v>74</v>
      </c>
      <c r="AQ604" t="s">
        <v>11041</v>
      </c>
      <c r="AR604" t="s">
        <v>11042</v>
      </c>
      <c r="AS604" t="s">
        <v>74</v>
      </c>
      <c r="AT604" t="s">
        <v>74</v>
      </c>
      <c r="AU604">
        <v>2009</v>
      </c>
      <c r="AV604" t="s">
        <v>74</v>
      </c>
      <c r="AW604" t="s">
        <v>74</v>
      </c>
      <c r="AX604" t="s">
        <v>74</v>
      </c>
      <c r="AY604" t="s">
        <v>74</v>
      </c>
      <c r="AZ604" t="s">
        <v>74</v>
      </c>
      <c r="BA604" t="s">
        <v>74</v>
      </c>
      <c r="BB604">
        <v>100</v>
      </c>
      <c r="BC604" t="s">
        <v>10944</v>
      </c>
      <c r="BD604" t="s">
        <v>74</v>
      </c>
      <c r="BE604" t="s">
        <v>11043</v>
      </c>
      <c r="BF604" t="str">
        <f>HYPERLINK("http://dx.doi.org/10.1109/ICSENS.2009.5398226","http://dx.doi.org/10.1109/ICSENS.2009.5398226")</f>
        <v>http://dx.doi.org/10.1109/ICSENS.2009.5398226</v>
      </c>
      <c r="BG604" t="s">
        <v>74</v>
      </c>
      <c r="BH604" t="s">
        <v>74</v>
      </c>
      <c r="BI604">
        <v>2</v>
      </c>
      <c r="BJ604" t="s">
        <v>11044</v>
      </c>
      <c r="BK604" t="s">
        <v>2457</v>
      </c>
      <c r="BL604" t="s">
        <v>6122</v>
      </c>
      <c r="BM604" t="s">
        <v>11045</v>
      </c>
      <c r="BN604" t="s">
        <v>74</v>
      </c>
      <c r="BO604" t="s">
        <v>74</v>
      </c>
      <c r="BP604" t="s">
        <v>74</v>
      </c>
      <c r="BQ604" t="s">
        <v>74</v>
      </c>
      <c r="BR604" t="s">
        <v>103</v>
      </c>
      <c r="BS604" t="s">
        <v>11046</v>
      </c>
      <c r="BT604" t="str">
        <f>HYPERLINK("https%3A%2F%2Fwww.webofscience.com%2Fwos%2Fwoscc%2Ffull-record%2FWOS:000279891700022","View Full Record in Web of Science")</f>
        <v>View Full Record in Web of Science</v>
      </c>
    </row>
    <row r="605" spans="1:72" x14ac:dyDescent="0.15">
      <c r="A605" t="s">
        <v>2434</v>
      </c>
      <c r="B605" t="s">
        <v>11047</v>
      </c>
      <c r="C605" t="s">
        <v>74</v>
      </c>
      <c r="D605" t="s">
        <v>11048</v>
      </c>
      <c r="E605" t="s">
        <v>74</v>
      </c>
      <c r="F605" t="s">
        <v>11049</v>
      </c>
      <c r="G605" t="s">
        <v>74</v>
      </c>
      <c r="H605" t="s">
        <v>74</v>
      </c>
      <c r="I605" t="s">
        <v>11050</v>
      </c>
      <c r="J605" t="s">
        <v>11051</v>
      </c>
      <c r="K605" t="s">
        <v>74</v>
      </c>
      <c r="L605" t="s">
        <v>74</v>
      </c>
      <c r="M605" t="s">
        <v>78</v>
      </c>
      <c r="N605" t="s">
        <v>2440</v>
      </c>
      <c r="O605" t="s">
        <v>11052</v>
      </c>
      <c r="P605" t="s">
        <v>11053</v>
      </c>
      <c r="Q605" t="s">
        <v>11054</v>
      </c>
      <c r="R605" t="s">
        <v>74</v>
      </c>
      <c r="S605" t="s">
        <v>74</v>
      </c>
      <c r="T605" t="s">
        <v>11055</v>
      </c>
      <c r="U605" t="s">
        <v>11056</v>
      </c>
      <c r="V605" t="s">
        <v>11057</v>
      </c>
      <c r="W605" t="s">
        <v>11058</v>
      </c>
      <c r="X605" t="s">
        <v>11059</v>
      </c>
      <c r="Y605" t="s">
        <v>11060</v>
      </c>
      <c r="Z605" t="s">
        <v>11061</v>
      </c>
      <c r="AA605" t="s">
        <v>74</v>
      </c>
      <c r="AB605" t="s">
        <v>74</v>
      </c>
      <c r="AC605" t="s">
        <v>11062</v>
      </c>
      <c r="AD605" t="s">
        <v>11063</v>
      </c>
      <c r="AE605" t="s">
        <v>11064</v>
      </c>
      <c r="AF605" t="s">
        <v>74</v>
      </c>
      <c r="AG605">
        <v>20</v>
      </c>
      <c r="AH605">
        <v>5</v>
      </c>
      <c r="AI605">
        <v>6</v>
      </c>
      <c r="AJ605">
        <v>0</v>
      </c>
      <c r="AK605">
        <v>3</v>
      </c>
      <c r="AL605" t="s">
        <v>10901</v>
      </c>
      <c r="AM605" t="s">
        <v>92</v>
      </c>
      <c r="AN605" t="s">
        <v>10914</v>
      </c>
      <c r="AO605" t="s">
        <v>74</v>
      </c>
      <c r="AP605" t="s">
        <v>74</v>
      </c>
      <c r="AQ605" t="s">
        <v>11065</v>
      </c>
      <c r="AR605" t="s">
        <v>74</v>
      </c>
      <c r="AS605" t="s">
        <v>74</v>
      </c>
      <c r="AT605" t="s">
        <v>74</v>
      </c>
      <c r="AU605">
        <v>2009</v>
      </c>
      <c r="AV605" t="s">
        <v>74</v>
      </c>
      <c r="AW605" t="s">
        <v>74</v>
      </c>
      <c r="AX605" t="s">
        <v>74</v>
      </c>
      <c r="AY605" t="s">
        <v>74</v>
      </c>
      <c r="AZ605" t="s">
        <v>74</v>
      </c>
      <c r="BA605" t="s">
        <v>74</v>
      </c>
      <c r="BB605">
        <v>1</v>
      </c>
      <c r="BC605" t="s">
        <v>10944</v>
      </c>
      <c r="BD605" t="s">
        <v>74</v>
      </c>
      <c r="BE605" t="s">
        <v>74</v>
      </c>
      <c r="BF605" t="s">
        <v>74</v>
      </c>
      <c r="BG605" t="s">
        <v>74</v>
      </c>
      <c r="BH605" t="s">
        <v>74</v>
      </c>
      <c r="BI605">
        <v>2</v>
      </c>
      <c r="BJ605" t="s">
        <v>11066</v>
      </c>
      <c r="BK605" t="s">
        <v>2457</v>
      </c>
      <c r="BL605" t="s">
        <v>11067</v>
      </c>
      <c r="BM605" t="s">
        <v>11068</v>
      </c>
      <c r="BN605" t="s">
        <v>74</v>
      </c>
      <c r="BO605" t="s">
        <v>74</v>
      </c>
      <c r="BP605" t="s">
        <v>74</v>
      </c>
      <c r="BQ605" t="s">
        <v>74</v>
      </c>
      <c r="BR605" t="s">
        <v>103</v>
      </c>
      <c r="BS605" t="s">
        <v>11069</v>
      </c>
      <c r="BT605" t="str">
        <f>HYPERLINK("https%3A%2F%2Fwww.webofscience.com%2Fwos%2Fwoscc%2Ffull-record%2FWOS:000277251100001","View Full Record in Web of Science")</f>
        <v>View Full Record in Web of Science</v>
      </c>
    </row>
    <row r="606" spans="1:72" x14ac:dyDescent="0.15">
      <c r="A606" t="s">
        <v>2434</v>
      </c>
      <c r="B606" t="s">
        <v>11070</v>
      </c>
      <c r="C606" t="s">
        <v>74</v>
      </c>
      <c r="D606" t="s">
        <v>11048</v>
      </c>
      <c r="E606" t="s">
        <v>74</v>
      </c>
      <c r="F606" t="s">
        <v>11071</v>
      </c>
      <c r="G606" t="s">
        <v>74</v>
      </c>
      <c r="H606" t="s">
        <v>74</v>
      </c>
      <c r="I606" t="s">
        <v>11072</v>
      </c>
      <c r="J606" t="s">
        <v>11051</v>
      </c>
      <c r="K606" t="s">
        <v>74</v>
      </c>
      <c r="L606" t="s">
        <v>74</v>
      </c>
      <c r="M606" t="s">
        <v>78</v>
      </c>
      <c r="N606" t="s">
        <v>2440</v>
      </c>
      <c r="O606" t="s">
        <v>11052</v>
      </c>
      <c r="P606" t="s">
        <v>11053</v>
      </c>
      <c r="Q606" t="s">
        <v>11054</v>
      </c>
      <c r="R606" t="s">
        <v>74</v>
      </c>
      <c r="S606" t="s">
        <v>74</v>
      </c>
      <c r="T606" t="s">
        <v>11073</v>
      </c>
      <c r="U606" t="s">
        <v>11074</v>
      </c>
      <c r="V606" t="s">
        <v>11075</v>
      </c>
      <c r="W606" t="s">
        <v>11076</v>
      </c>
      <c r="X606" t="s">
        <v>11077</v>
      </c>
      <c r="Y606" t="s">
        <v>11078</v>
      </c>
      <c r="Z606" t="s">
        <v>11079</v>
      </c>
      <c r="AA606" t="s">
        <v>11080</v>
      </c>
      <c r="AB606" t="s">
        <v>11081</v>
      </c>
      <c r="AC606" t="s">
        <v>11082</v>
      </c>
      <c r="AD606" t="s">
        <v>11083</v>
      </c>
      <c r="AE606" t="s">
        <v>11084</v>
      </c>
      <c r="AF606" t="s">
        <v>74</v>
      </c>
      <c r="AG606">
        <v>9</v>
      </c>
      <c r="AH606">
        <v>0</v>
      </c>
      <c r="AI606">
        <v>0</v>
      </c>
      <c r="AJ606">
        <v>0</v>
      </c>
      <c r="AK606">
        <v>2</v>
      </c>
      <c r="AL606" t="s">
        <v>10901</v>
      </c>
      <c r="AM606" t="s">
        <v>92</v>
      </c>
      <c r="AN606" t="s">
        <v>10914</v>
      </c>
      <c r="AO606" t="s">
        <v>74</v>
      </c>
      <c r="AP606" t="s">
        <v>74</v>
      </c>
      <c r="AQ606" t="s">
        <v>11065</v>
      </c>
      <c r="AR606" t="s">
        <v>74</v>
      </c>
      <c r="AS606" t="s">
        <v>74</v>
      </c>
      <c r="AT606" t="s">
        <v>74</v>
      </c>
      <c r="AU606">
        <v>2009</v>
      </c>
      <c r="AV606" t="s">
        <v>74</v>
      </c>
      <c r="AW606" t="s">
        <v>74</v>
      </c>
      <c r="AX606" t="s">
        <v>74</v>
      </c>
      <c r="AY606" t="s">
        <v>74</v>
      </c>
      <c r="AZ606" t="s">
        <v>74</v>
      </c>
      <c r="BA606" t="s">
        <v>74</v>
      </c>
      <c r="BB606">
        <v>205</v>
      </c>
      <c r="BC606" t="s">
        <v>10944</v>
      </c>
      <c r="BD606" t="s">
        <v>74</v>
      </c>
      <c r="BE606" t="s">
        <v>11085</v>
      </c>
      <c r="BF606" t="str">
        <f>HYPERLINK("http://dx.doi.org/10.1109/ICONSPACE.2009.5352638","http://dx.doi.org/10.1109/ICONSPACE.2009.5352638")</f>
        <v>http://dx.doi.org/10.1109/ICONSPACE.2009.5352638</v>
      </c>
      <c r="BG606" t="s">
        <v>74</v>
      </c>
      <c r="BH606" t="s">
        <v>74</v>
      </c>
      <c r="BI606">
        <v>2</v>
      </c>
      <c r="BJ606" t="s">
        <v>11066</v>
      </c>
      <c r="BK606" t="s">
        <v>2457</v>
      </c>
      <c r="BL606" t="s">
        <v>11067</v>
      </c>
      <c r="BM606" t="s">
        <v>11068</v>
      </c>
      <c r="BN606" t="s">
        <v>74</v>
      </c>
      <c r="BO606" t="s">
        <v>74</v>
      </c>
      <c r="BP606" t="s">
        <v>74</v>
      </c>
      <c r="BQ606" t="s">
        <v>74</v>
      </c>
      <c r="BR606" t="s">
        <v>103</v>
      </c>
      <c r="BS606" t="s">
        <v>11086</v>
      </c>
      <c r="BT606" t="str">
        <f>HYPERLINK("https%3A%2F%2Fwww.webofscience.com%2Fwos%2Fwoscc%2Ffull-record%2FWOS:000277251100045","View Full Record in Web of Science")</f>
        <v>View Full Record in Web of Science</v>
      </c>
    </row>
    <row r="607" spans="1:72" x14ac:dyDescent="0.15">
      <c r="A607" t="s">
        <v>2434</v>
      </c>
      <c r="B607" t="s">
        <v>11087</v>
      </c>
      <c r="C607" t="s">
        <v>74</v>
      </c>
      <c r="D607" t="s">
        <v>11088</v>
      </c>
      <c r="E607" t="s">
        <v>74</v>
      </c>
      <c r="F607" t="s">
        <v>11089</v>
      </c>
      <c r="G607" t="s">
        <v>74</v>
      </c>
      <c r="H607" t="s">
        <v>74</v>
      </c>
      <c r="I607" t="s">
        <v>11090</v>
      </c>
      <c r="J607" t="s">
        <v>11091</v>
      </c>
      <c r="K607" t="s">
        <v>11092</v>
      </c>
      <c r="L607" t="s">
        <v>74</v>
      </c>
      <c r="M607" t="s">
        <v>78</v>
      </c>
      <c r="N607" t="s">
        <v>2440</v>
      </c>
      <c r="O607" t="s">
        <v>11093</v>
      </c>
      <c r="P607" t="s">
        <v>11094</v>
      </c>
      <c r="Q607" t="s">
        <v>11095</v>
      </c>
      <c r="R607" t="s">
        <v>74</v>
      </c>
      <c r="S607" t="s">
        <v>74</v>
      </c>
      <c r="T607" t="s">
        <v>74</v>
      </c>
      <c r="U607" t="s">
        <v>11096</v>
      </c>
      <c r="V607" t="s">
        <v>11097</v>
      </c>
      <c r="W607" t="s">
        <v>11098</v>
      </c>
      <c r="X607" t="s">
        <v>11099</v>
      </c>
      <c r="Y607" t="s">
        <v>11100</v>
      </c>
      <c r="Z607" t="s">
        <v>74</v>
      </c>
      <c r="AA607" t="s">
        <v>74</v>
      </c>
      <c r="AB607" t="s">
        <v>11101</v>
      </c>
      <c r="AC607" t="s">
        <v>74</v>
      </c>
      <c r="AD607" t="s">
        <v>74</v>
      </c>
      <c r="AE607" t="s">
        <v>74</v>
      </c>
      <c r="AF607" t="s">
        <v>74</v>
      </c>
      <c r="AG607">
        <v>54</v>
      </c>
      <c r="AH607">
        <v>8</v>
      </c>
      <c r="AI607">
        <v>8</v>
      </c>
      <c r="AJ607">
        <v>0</v>
      </c>
      <c r="AK607">
        <v>0</v>
      </c>
      <c r="AL607" t="s">
        <v>11102</v>
      </c>
      <c r="AM607" t="s">
        <v>11103</v>
      </c>
      <c r="AN607" t="s">
        <v>11104</v>
      </c>
      <c r="AO607" t="s">
        <v>11105</v>
      </c>
      <c r="AP607" t="s">
        <v>74</v>
      </c>
      <c r="AQ607" t="s">
        <v>11106</v>
      </c>
      <c r="AR607" t="s">
        <v>11107</v>
      </c>
      <c r="AS607" t="s">
        <v>74</v>
      </c>
      <c r="AT607" t="s">
        <v>74</v>
      </c>
      <c r="AU607">
        <v>2009</v>
      </c>
      <c r="AV607">
        <v>40</v>
      </c>
      <c r="AW607" t="s">
        <v>74</v>
      </c>
      <c r="AX607" t="s">
        <v>74</v>
      </c>
      <c r="AY607" t="s">
        <v>74</v>
      </c>
      <c r="AZ607" t="s">
        <v>74</v>
      </c>
      <c r="BA607" t="s">
        <v>74</v>
      </c>
      <c r="BB607">
        <v>33</v>
      </c>
      <c r="BC607" t="s">
        <v>10944</v>
      </c>
      <c r="BD607" t="s">
        <v>74</v>
      </c>
      <c r="BE607" t="s">
        <v>11108</v>
      </c>
      <c r="BF607" t="str">
        <f>HYPERLINK("http://dx.doi.org/10.1051/eas/1040004","http://dx.doi.org/10.1051/eas/1040004")</f>
        <v>http://dx.doi.org/10.1051/eas/1040004</v>
      </c>
      <c r="BG607" t="s">
        <v>74</v>
      </c>
      <c r="BH607" t="s">
        <v>74</v>
      </c>
      <c r="BI607">
        <v>3</v>
      </c>
      <c r="BJ607" t="s">
        <v>285</v>
      </c>
      <c r="BK607" t="s">
        <v>2457</v>
      </c>
      <c r="BL607" t="s">
        <v>285</v>
      </c>
      <c r="BM607" t="s">
        <v>11109</v>
      </c>
      <c r="BN607" t="s">
        <v>74</v>
      </c>
      <c r="BO607" t="s">
        <v>74</v>
      </c>
      <c r="BP607" t="s">
        <v>74</v>
      </c>
      <c r="BQ607" t="s">
        <v>74</v>
      </c>
      <c r="BR607" t="s">
        <v>103</v>
      </c>
      <c r="BS607" t="s">
        <v>11110</v>
      </c>
      <c r="BT607" t="str">
        <f>HYPERLINK("https%3A%2F%2Fwww.webofscience.com%2Fwos%2Fwoscc%2Ffull-record%2FWOS:000285825400004","View Full Record in Web of Science")</f>
        <v>View Full Record in Web of Science</v>
      </c>
    </row>
    <row r="608" spans="1:72" x14ac:dyDescent="0.15">
      <c r="A608" t="s">
        <v>2434</v>
      </c>
      <c r="B608" t="s">
        <v>11111</v>
      </c>
      <c r="C608" t="s">
        <v>74</v>
      </c>
      <c r="D608" t="s">
        <v>11088</v>
      </c>
      <c r="E608" t="s">
        <v>74</v>
      </c>
      <c r="F608" t="s">
        <v>11112</v>
      </c>
      <c r="G608" t="s">
        <v>74</v>
      </c>
      <c r="H608" t="s">
        <v>74</v>
      </c>
      <c r="I608" t="s">
        <v>11113</v>
      </c>
      <c r="J608" t="s">
        <v>11091</v>
      </c>
      <c r="K608" t="s">
        <v>11092</v>
      </c>
      <c r="L608" t="s">
        <v>74</v>
      </c>
      <c r="M608" t="s">
        <v>78</v>
      </c>
      <c r="N608" t="s">
        <v>2440</v>
      </c>
      <c r="O608" t="s">
        <v>11093</v>
      </c>
      <c r="P608" t="s">
        <v>11094</v>
      </c>
      <c r="Q608" t="s">
        <v>11095</v>
      </c>
      <c r="R608" t="s">
        <v>74</v>
      </c>
      <c r="S608" t="s">
        <v>74</v>
      </c>
      <c r="T608" t="s">
        <v>74</v>
      </c>
      <c r="U608" t="s">
        <v>11114</v>
      </c>
      <c r="V608" t="s">
        <v>11115</v>
      </c>
      <c r="W608" t="s">
        <v>11116</v>
      </c>
      <c r="X608" t="s">
        <v>8173</v>
      </c>
      <c r="Y608" t="s">
        <v>11117</v>
      </c>
      <c r="Z608" t="s">
        <v>74</v>
      </c>
      <c r="AA608" t="s">
        <v>11118</v>
      </c>
      <c r="AB608" t="s">
        <v>11119</v>
      </c>
      <c r="AC608" t="s">
        <v>11120</v>
      </c>
      <c r="AD608" t="s">
        <v>11121</v>
      </c>
      <c r="AE608" t="s">
        <v>11122</v>
      </c>
      <c r="AF608" t="s">
        <v>74</v>
      </c>
      <c r="AG608">
        <v>17</v>
      </c>
      <c r="AH608">
        <v>1</v>
      </c>
      <c r="AI608">
        <v>1</v>
      </c>
      <c r="AJ608">
        <v>0</v>
      </c>
      <c r="AK608">
        <v>1</v>
      </c>
      <c r="AL608" t="s">
        <v>11102</v>
      </c>
      <c r="AM608" t="s">
        <v>11103</v>
      </c>
      <c r="AN608" t="s">
        <v>11104</v>
      </c>
      <c r="AO608" t="s">
        <v>11105</v>
      </c>
      <c r="AP608" t="s">
        <v>74</v>
      </c>
      <c r="AQ608" t="s">
        <v>11106</v>
      </c>
      <c r="AR608" t="s">
        <v>11107</v>
      </c>
      <c r="AS608" t="s">
        <v>74</v>
      </c>
      <c r="AT608" t="s">
        <v>74</v>
      </c>
      <c r="AU608">
        <v>2009</v>
      </c>
      <c r="AV608">
        <v>40</v>
      </c>
      <c r="AW608" t="s">
        <v>74</v>
      </c>
      <c r="AX608" t="s">
        <v>74</v>
      </c>
      <c r="AY608" t="s">
        <v>74</v>
      </c>
      <c r="AZ608" t="s">
        <v>74</v>
      </c>
      <c r="BA608" t="s">
        <v>74</v>
      </c>
      <c r="BB608">
        <v>55</v>
      </c>
      <c r="BC608" t="s">
        <v>10944</v>
      </c>
      <c r="BD608" t="s">
        <v>74</v>
      </c>
      <c r="BE608" t="s">
        <v>11123</v>
      </c>
      <c r="BF608" t="str">
        <f>HYPERLINK("http://dx.doi.org/10.1051/eas/1040006","http://dx.doi.org/10.1051/eas/1040006")</f>
        <v>http://dx.doi.org/10.1051/eas/1040006</v>
      </c>
      <c r="BG608" t="s">
        <v>74</v>
      </c>
      <c r="BH608" t="s">
        <v>74</v>
      </c>
      <c r="BI608">
        <v>2</v>
      </c>
      <c r="BJ608" t="s">
        <v>285</v>
      </c>
      <c r="BK608" t="s">
        <v>2457</v>
      </c>
      <c r="BL608" t="s">
        <v>285</v>
      </c>
      <c r="BM608" t="s">
        <v>11109</v>
      </c>
      <c r="BN608" t="s">
        <v>74</v>
      </c>
      <c r="BO608" t="s">
        <v>1106</v>
      </c>
      <c r="BP608" t="s">
        <v>74</v>
      </c>
      <c r="BQ608" t="s">
        <v>74</v>
      </c>
      <c r="BR608" t="s">
        <v>103</v>
      </c>
      <c r="BS608" t="s">
        <v>11124</v>
      </c>
      <c r="BT608" t="str">
        <f>HYPERLINK("https%3A%2F%2Fwww.webofscience.com%2Fwos%2Fwoscc%2Ffull-record%2FWOS:000285825400006","View Full Record in Web of Science")</f>
        <v>View Full Record in Web of Science</v>
      </c>
    </row>
    <row r="609" spans="1:72" x14ac:dyDescent="0.15">
      <c r="A609" t="s">
        <v>2434</v>
      </c>
      <c r="B609" t="s">
        <v>11125</v>
      </c>
      <c r="C609" t="s">
        <v>74</v>
      </c>
      <c r="D609" t="s">
        <v>11088</v>
      </c>
      <c r="E609" t="s">
        <v>74</v>
      </c>
      <c r="F609" t="s">
        <v>11126</v>
      </c>
      <c r="G609" t="s">
        <v>74</v>
      </c>
      <c r="H609" t="s">
        <v>74</v>
      </c>
      <c r="I609" t="s">
        <v>11127</v>
      </c>
      <c r="J609" t="s">
        <v>11091</v>
      </c>
      <c r="K609" t="s">
        <v>11092</v>
      </c>
      <c r="L609" t="s">
        <v>74</v>
      </c>
      <c r="M609" t="s">
        <v>78</v>
      </c>
      <c r="N609" t="s">
        <v>2440</v>
      </c>
      <c r="O609" t="s">
        <v>11093</v>
      </c>
      <c r="P609" t="s">
        <v>11094</v>
      </c>
      <c r="Q609" t="s">
        <v>11095</v>
      </c>
      <c r="R609" t="s">
        <v>74</v>
      </c>
      <c r="S609" t="s">
        <v>74</v>
      </c>
      <c r="T609" t="s">
        <v>74</v>
      </c>
      <c r="U609" t="s">
        <v>11128</v>
      </c>
      <c r="V609" t="s">
        <v>11129</v>
      </c>
      <c r="W609" t="s">
        <v>11130</v>
      </c>
      <c r="X609" t="s">
        <v>11131</v>
      </c>
      <c r="Y609" t="s">
        <v>11132</v>
      </c>
      <c r="Z609" t="s">
        <v>74</v>
      </c>
      <c r="AA609" t="s">
        <v>11133</v>
      </c>
      <c r="AB609" t="s">
        <v>11134</v>
      </c>
      <c r="AC609" t="s">
        <v>10178</v>
      </c>
      <c r="AD609" t="s">
        <v>10179</v>
      </c>
      <c r="AE609" t="s">
        <v>74</v>
      </c>
      <c r="AF609" t="s">
        <v>74</v>
      </c>
      <c r="AG609">
        <v>11</v>
      </c>
      <c r="AH609">
        <v>9</v>
      </c>
      <c r="AI609">
        <v>9</v>
      </c>
      <c r="AJ609">
        <v>1</v>
      </c>
      <c r="AK609">
        <v>5</v>
      </c>
      <c r="AL609" t="s">
        <v>11102</v>
      </c>
      <c r="AM609" t="s">
        <v>11103</v>
      </c>
      <c r="AN609" t="s">
        <v>11104</v>
      </c>
      <c r="AO609" t="s">
        <v>11105</v>
      </c>
      <c r="AP609" t="s">
        <v>74</v>
      </c>
      <c r="AQ609" t="s">
        <v>11106</v>
      </c>
      <c r="AR609" t="s">
        <v>11107</v>
      </c>
      <c r="AS609" t="s">
        <v>74</v>
      </c>
      <c r="AT609" t="s">
        <v>74</v>
      </c>
      <c r="AU609">
        <v>2009</v>
      </c>
      <c r="AV609">
        <v>40</v>
      </c>
      <c r="AW609" t="s">
        <v>74</v>
      </c>
      <c r="AX609" t="s">
        <v>74</v>
      </c>
      <c r="AY609" t="s">
        <v>74</v>
      </c>
      <c r="AZ609" t="s">
        <v>74</v>
      </c>
      <c r="BA609" t="s">
        <v>74</v>
      </c>
      <c r="BB609">
        <v>65</v>
      </c>
      <c r="BC609" t="s">
        <v>10944</v>
      </c>
      <c r="BD609" t="s">
        <v>74</v>
      </c>
      <c r="BE609" t="s">
        <v>11135</v>
      </c>
      <c r="BF609" t="str">
        <f>HYPERLINK("http://dx.doi.org/10.1051/eas/1040007","http://dx.doi.org/10.1051/eas/1040007")</f>
        <v>http://dx.doi.org/10.1051/eas/1040007</v>
      </c>
      <c r="BG609" t="s">
        <v>74</v>
      </c>
      <c r="BH609" t="s">
        <v>74</v>
      </c>
      <c r="BI609">
        <v>3</v>
      </c>
      <c r="BJ609" t="s">
        <v>285</v>
      </c>
      <c r="BK609" t="s">
        <v>2457</v>
      </c>
      <c r="BL609" t="s">
        <v>285</v>
      </c>
      <c r="BM609" t="s">
        <v>11109</v>
      </c>
      <c r="BN609" t="s">
        <v>74</v>
      </c>
      <c r="BO609" t="s">
        <v>1106</v>
      </c>
      <c r="BP609" t="s">
        <v>74</v>
      </c>
      <c r="BQ609" t="s">
        <v>74</v>
      </c>
      <c r="BR609" t="s">
        <v>103</v>
      </c>
      <c r="BS609" t="s">
        <v>11136</v>
      </c>
      <c r="BT609" t="str">
        <f>HYPERLINK("https%3A%2F%2Fwww.webofscience.com%2Fwos%2Fwoscc%2Ffull-record%2FWOS:000285825400007","View Full Record in Web of Science")</f>
        <v>View Full Record in Web of Science</v>
      </c>
    </row>
    <row r="610" spans="1:72" x14ac:dyDescent="0.15">
      <c r="A610" t="s">
        <v>2434</v>
      </c>
      <c r="B610" t="s">
        <v>11137</v>
      </c>
      <c r="C610" t="s">
        <v>74</v>
      </c>
      <c r="D610" t="s">
        <v>11088</v>
      </c>
      <c r="E610" t="s">
        <v>74</v>
      </c>
      <c r="F610" t="s">
        <v>11138</v>
      </c>
      <c r="G610" t="s">
        <v>74</v>
      </c>
      <c r="H610" t="s">
        <v>74</v>
      </c>
      <c r="I610" t="s">
        <v>11139</v>
      </c>
      <c r="J610" t="s">
        <v>11091</v>
      </c>
      <c r="K610" t="s">
        <v>11092</v>
      </c>
      <c r="L610" t="s">
        <v>74</v>
      </c>
      <c r="M610" t="s">
        <v>78</v>
      </c>
      <c r="N610" t="s">
        <v>2440</v>
      </c>
      <c r="O610" t="s">
        <v>11093</v>
      </c>
      <c r="P610" t="s">
        <v>11094</v>
      </c>
      <c r="Q610" t="s">
        <v>11095</v>
      </c>
      <c r="R610" t="s">
        <v>74</v>
      </c>
      <c r="S610" t="s">
        <v>74</v>
      </c>
      <c r="T610" t="s">
        <v>74</v>
      </c>
      <c r="U610" t="s">
        <v>74</v>
      </c>
      <c r="V610" t="s">
        <v>11140</v>
      </c>
      <c r="W610" t="s">
        <v>11141</v>
      </c>
      <c r="X610" t="s">
        <v>11142</v>
      </c>
      <c r="Y610" t="s">
        <v>11143</v>
      </c>
      <c r="Z610" t="s">
        <v>74</v>
      </c>
      <c r="AA610" t="s">
        <v>11133</v>
      </c>
      <c r="AB610" t="s">
        <v>11144</v>
      </c>
      <c r="AC610" t="s">
        <v>74</v>
      </c>
      <c r="AD610" t="s">
        <v>74</v>
      </c>
      <c r="AE610" t="s">
        <v>74</v>
      </c>
      <c r="AF610" t="s">
        <v>74</v>
      </c>
      <c r="AG610">
        <v>13</v>
      </c>
      <c r="AH610">
        <v>9</v>
      </c>
      <c r="AI610">
        <v>9</v>
      </c>
      <c r="AJ610">
        <v>0</v>
      </c>
      <c r="AK610">
        <v>1</v>
      </c>
      <c r="AL610" t="s">
        <v>11102</v>
      </c>
      <c r="AM610" t="s">
        <v>11103</v>
      </c>
      <c r="AN610" t="s">
        <v>11104</v>
      </c>
      <c r="AO610" t="s">
        <v>11105</v>
      </c>
      <c r="AP610" t="s">
        <v>74</v>
      </c>
      <c r="AQ610" t="s">
        <v>11106</v>
      </c>
      <c r="AR610" t="s">
        <v>11107</v>
      </c>
      <c r="AS610" t="s">
        <v>74</v>
      </c>
      <c r="AT610" t="s">
        <v>74</v>
      </c>
      <c r="AU610">
        <v>2009</v>
      </c>
      <c r="AV610">
        <v>40</v>
      </c>
      <c r="AW610" t="s">
        <v>74</v>
      </c>
      <c r="AX610" t="s">
        <v>74</v>
      </c>
      <c r="AY610" t="s">
        <v>74</v>
      </c>
      <c r="AZ610" t="s">
        <v>74</v>
      </c>
      <c r="BA610" t="s">
        <v>74</v>
      </c>
      <c r="BB610">
        <v>79</v>
      </c>
      <c r="BC610" t="s">
        <v>10944</v>
      </c>
      <c r="BD610" t="s">
        <v>74</v>
      </c>
      <c r="BE610" t="s">
        <v>11145</v>
      </c>
      <c r="BF610" t="str">
        <f>HYPERLINK("http://dx.doi.org/10.1051/eas/1040009","http://dx.doi.org/10.1051/eas/1040009")</f>
        <v>http://dx.doi.org/10.1051/eas/1040009</v>
      </c>
      <c r="BG610" t="s">
        <v>74</v>
      </c>
      <c r="BH610" t="s">
        <v>74</v>
      </c>
      <c r="BI610">
        <v>3</v>
      </c>
      <c r="BJ610" t="s">
        <v>285</v>
      </c>
      <c r="BK610" t="s">
        <v>2457</v>
      </c>
      <c r="BL610" t="s">
        <v>285</v>
      </c>
      <c r="BM610" t="s">
        <v>11109</v>
      </c>
      <c r="BN610" t="s">
        <v>74</v>
      </c>
      <c r="BO610" t="s">
        <v>1106</v>
      </c>
      <c r="BP610" t="s">
        <v>74</v>
      </c>
      <c r="BQ610" t="s">
        <v>74</v>
      </c>
      <c r="BR610" t="s">
        <v>103</v>
      </c>
      <c r="BS610" t="s">
        <v>11146</v>
      </c>
      <c r="BT610" t="str">
        <f>HYPERLINK("https%3A%2F%2Fwww.webofscience.com%2Fwos%2Fwoscc%2Ffull-record%2FWOS:000285825400009","View Full Record in Web of Science")</f>
        <v>View Full Record in Web of Science</v>
      </c>
    </row>
    <row r="611" spans="1:72" x14ac:dyDescent="0.15">
      <c r="A611" t="s">
        <v>2434</v>
      </c>
      <c r="B611" t="s">
        <v>11147</v>
      </c>
      <c r="C611" t="s">
        <v>74</v>
      </c>
      <c r="D611" t="s">
        <v>11088</v>
      </c>
      <c r="E611" t="s">
        <v>74</v>
      </c>
      <c r="F611" t="s">
        <v>11148</v>
      </c>
      <c r="G611" t="s">
        <v>74</v>
      </c>
      <c r="H611" t="s">
        <v>74</v>
      </c>
      <c r="I611" t="s">
        <v>11149</v>
      </c>
      <c r="J611" t="s">
        <v>11091</v>
      </c>
      <c r="K611" t="s">
        <v>11092</v>
      </c>
      <c r="L611" t="s">
        <v>74</v>
      </c>
      <c r="M611" t="s">
        <v>78</v>
      </c>
      <c r="N611" t="s">
        <v>2440</v>
      </c>
      <c r="O611" t="s">
        <v>11093</v>
      </c>
      <c r="P611" t="s">
        <v>11094</v>
      </c>
      <c r="Q611" t="s">
        <v>11095</v>
      </c>
      <c r="R611" t="s">
        <v>74</v>
      </c>
      <c r="S611" t="s">
        <v>74</v>
      </c>
      <c r="T611" t="s">
        <v>74</v>
      </c>
      <c r="U611" t="s">
        <v>11150</v>
      </c>
      <c r="V611" t="s">
        <v>11151</v>
      </c>
      <c r="W611" t="s">
        <v>74</v>
      </c>
      <c r="X611" t="s">
        <v>74</v>
      </c>
      <c r="Y611" t="s">
        <v>74</v>
      </c>
      <c r="Z611" t="s">
        <v>74</v>
      </c>
      <c r="AA611" t="s">
        <v>11152</v>
      </c>
      <c r="AB611" t="s">
        <v>11153</v>
      </c>
      <c r="AC611" t="s">
        <v>74</v>
      </c>
      <c r="AD611" t="s">
        <v>74</v>
      </c>
      <c r="AE611" t="s">
        <v>74</v>
      </c>
      <c r="AF611" t="s">
        <v>74</v>
      </c>
      <c r="AG611">
        <v>16</v>
      </c>
      <c r="AH611">
        <v>3</v>
      </c>
      <c r="AI611">
        <v>3</v>
      </c>
      <c r="AJ611">
        <v>0</v>
      </c>
      <c r="AK611">
        <v>1</v>
      </c>
      <c r="AL611" t="s">
        <v>11102</v>
      </c>
      <c r="AM611" t="s">
        <v>11103</v>
      </c>
      <c r="AN611" t="s">
        <v>11104</v>
      </c>
      <c r="AO611" t="s">
        <v>11105</v>
      </c>
      <c r="AP611" t="s">
        <v>74</v>
      </c>
      <c r="AQ611" t="s">
        <v>11106</v>
      </c>
      <c r="AR611" t="s">
        <v>11107</v>
      </c>
      <c r="AS611" t="s">
        <v>74</v>
      </c>
      <c r="AT611" t="s">
        <v>74</v>
      </c>
      <c r="AU611">
        <v>2009</v>
      </c>
      <c r="AV611">
        <v>40</v>
      </c>
      <c r="AW611" t="s">
        <v>74</v>
      </c>
      <c r="AX611" t="s">
        <v>74</v>
      </c>
      <c r="AY611" t="s">
        <v>74</v>
      </c>
      <c r="AZ611" t="s">
        <v>74</v>
      </c>
      <c r="BA611" t="s">
        <v>74</v>
      </c>
      <c r="BB611">
        <v>89</v>
      </c>
      <c r="BC611">
        <v>96</v>
      </c>
      <c r="BD611" t="s">
        <v>74</v>
      </c>
      <c r="BE611" t="s">
        <v>11154</v>
      </c>
      <c r="BF611" t="str">
        <f>HYPERLINK("http://dx.doi.org/10.1051/eas/1040011","http://dx.doi.org/10.1051/eas/1040011")</f>
        <v>http://dx.doi.org/10.1051/eas/1040011</v>
      </c>
      <c r="BG611" t="s">
        <v>74</v>
      </c>
      <c r="BH611" t="s">
        <v>74</v>
      </c>
      <c r="BI611">
        <v>8</v>
      </c>
      <c r="BJ611" t="s">
        <v>285</v>
      </c>
      <c r="BK611" t="s">
        <v>2457</v>
      </c>
      <c r="BL611" t="s">
        <v>285</v>
      </c>
      <c r="BM611" t="s">
        <v>11109</v>
      </c>
      <c r="BN611" t="s">
        <v>74</v>
      </c>
      <c r="BO611" t="s">
        <v>74</v>
      </c>
      <c r="BP611" t="s">
        <v>74</v>
      </c>
      <c r="BQ611" t="s">
        <v>74</v>
      </c>
      <c r="BR611" t="s">
        <v>103</v>
      </c>
      <c r="BS611" t="s">
        <v>11155</v>
      </c>
      <c r="BT611" t="str">
        <f>HYPERLINK("https%3A%2F%2Fwww.webofscience.com%2Fwos%2Fwoscc%2Ffull-record%2FWOS:000285825400011","View Full Record in Web of Science")</f>
        <v>View Full Record in Web of Science</v>
      </c>
    </row>
    <row r="612" spans="1:72" x14ac:dyDescent="0.15">
      <c r="A612" t="s">
        <v>2434</v>
      </c>
      <c r="B612" t="s">
        <v>11156</v>
      </c>
      <c r="C612" t="s">
        <v>74</v>
      </c>
      <c r="D612" t="s">
        <v>11088</v>
      </c>
      <c r="E612" t="s">
        <v>74</v>
      </c>
      <c r="F612" t="s">
        <v>11157</v>
      </c>
      <c r="G612" t="s">
        <v>74</v>
      </c>
      <c r="H612" t="s">
        <v>74</v>
      </c>
      <c r="I612" t="s">
        <v>11158</v>
      </c>
      <c r="J612" t="s">
        <v>11091</v>
      </c>
      <c r="K612" t="s">
        <v>11092</v>
      </c>
      <c r="L612" t="s">
        <v>74</v>
      </c>
      <c r="M612" t="s">
        <v>78</v>
      </c>
      <c r="N612" t="s">
        <v>2440</v>
      </c>
      <c r="O612" t="s">
        <v>11093</v>
      </c>
      <c r="P612" t="s">
        <v>11094</v>
      </c>
      <c r="Q612" t="s">
        <v>11095</v>
      </c>
      <c r="R612" t="s">
        <v>74</v>
      </c>
      <c r="S612" t="s">
        <v>74</v>
      </c>
      <c r="T612" t="s">
        <v>74</v>
      </c>
      <c r="U612" t="s">
        <v>11159</v>
      </c>
      <c r="V612" t="s">
        <v>11160</v>
      </c>
      <c r="W612" t="s">
        <v>11161</v>
      </c>
      <c r="X612" t="s">
        <v>8173</v>
      </c>
      <c r="Y612" t="s">
        <v>11162</v>
      </c>
      <c r="Z612" t="s">
        <v>74</v>
      </c>
      <c r="AA612" t="s">
        <v>11163</v>
      </c>
      <c r="AB612" t="s">
        <v>11119</v>
      </c>
      <c r="AC612" t="s">
        <v>74</v>
      </c>
      <c r="AD612" t="s">
        <v>74</v>
      </c>
      <c r="AE612" t="s">
        <v>74</v>
      </c>
      <c r="AF612" t="s">
        <v>74</v>
      </c>
      <c r="AG612">
        <v>9</v>
      </c>
      <c r="AH612">
        <v>1</v>
      </c>
      <c r="AI612">
        <v>1</v>
      </c>
      <c r="AJ612">
        <v>0</v>
      </c>
      <c r="AK612">
        <v>1</v>
      </c>
      <c r="AL612" t="s">
        <v>11102</v>
      </c>
      <c r="AM612" t="s">
        <v>11103</v>
      </c>
      <c r="AN612" t="s">
        <v>11104</v>
      </c>
      <c r="AO612" t="s">
        <v>11105</v>
      </c>
      <c r="AP612" t="s">
        <v>74</v>
      </c>
      <c r="AQ612" t="s">
        <v>11106</v>
      </c>
      <c r="AR612" t="s">
        <v>11107</v>
      </c>
      <c r="AS612" t="s">
        <v>74</v>
      </c>
      <c r="AT612" t="s">
        <v>74</v>
      </c>
      <c r="AU612">
        <v>2009</v>
      </c>
      <c r="AV612">
        <v>40</v>
      </c>
      <c r="AW612" t="s">
        <v>74</v>
      </c>
      <c r="AX612" t="s">
        <v>74</v>
      </c>
      <c r="AY612" t="s">
        <v>74</v>
      </c>
      <c r="AZ612" t="s">
        <v>74</v>
      </c>
      <c r="BA612" t="s">
        <v>74</v>
      </c>
      <c r="BB612">
        <v>97</v>
      </c>
      <c r="BC612">
        <v>101</v>
      </c>
      <c r="BD612" t="s">
        <v>74</v>
      </c>
      <c r="BE612" t="s">
        <v>11164</v>
      </c>
      <c r="BF612" t="str">
        <f>HYPERLINK("http://dx.doi.org/10.1051/eas/1040012","http://dx.doi.org/10.1051/eas/1040012")</f>
        <v>http://dx.doi.org/10.1051/eas/1040012</v>
      </c>
      <c r="BG612" t="s">
        <v>74</v>
      </c>
      <c r="BH612" t="s">
        <v>74</v>
      </c>
      <c r="BI612">
        <v>5</v>
      </c>
      <c r="BJ612" t="s">
        <v>285</v>
      </c>
      <c r="BK612" t="s">
        <v>2457</v>
      </c>
      <c r="BL612" t="s">
        <v>285</v>
      </c>
      <c r="BM612" t="s">
        <v>11109</v>
      </c>
      <c r="BN612" t="s">
        <v>74</v>
      </c>
      <c r="BO612" t="s">
        <v>1106</v>
      </c>
      <c r="BP612" t="s">
        <v>74</v>
      </c>
      <c r="BQ612" t="s">
        <v>74</v>
      </c>
      <c r="BR612" t="s">
        <v>103</v>
      </c>
      <c r="BS612" t="s">
        <v>11165</v>
      </c>
      <c r="BT612" t="str">
        <f>HYPERLINK("https%3A%2F%2Fwww.webofscience.com%2Fwos%2Fwoscc%2Ffull-record%2FWOS:000285825400012","View Full Record in Web of Science")</f>
        <v>View Full Record in Web of Science</v>
      </c>
    </row>
    <row r="613" spans="1:72" x14ac:dyDescent="0.15">
      <c r="A613" t="s">
        <v>2434</v>
      </c>
      <c r="B613" t="s">
        <v>11156</v>
      </c>
      <c r="C613" t="s">
        <v>74</v>
      </c>
      <c r="D613" t="s">
        <v>11088</v>
      </c>
      <c r="E613" t="s">
        <v>74</v>
      </c>
      <c r="F613" t="s">
        <v>11157</v>
      </c>
      <c r="G613" t="s">
        <v>74</v>
      </c>
      <c r="H613" t="s">
        <v>74</v>
      </c>
      <c r="I613" t="s">
        <v>11166</v>
      </c>
      <c r="J613" t="s">
        <v>11091</v>
      </c>
      <c r="K613" t="s">
        <v>11092</v>
      </c>
      <c r="L613" t="s">
        <v>74</v>
      </c>
      <c r="M613" t="s">
        <v>78</v>
      </c>
      <c r="N613" t="s">
        <v>2440</v>
      </c>
      <c r="O613" t="s">
        <v>11093</v>
      </c>
      <c r="P613" t="s">
        <v>11094</v>
      </c>
      <c r="Q613" t="s">
        <v>11095</v>
      </c>
      <c r="R613" t="s">
        <v>74</v>
      </c>
      <c r="S613" t="s">
        <v>74</v>
      </c>
      <c r="T613" t="s">
        <v>74</v>
      </c>
      <c r="U613" t="s">
        <v>11167</v>
      </c>
      <c r="V613" t="s">
        <v>11168</v>
      </c>
      <c r="W613" t="s">
        <v>11161</v>
      </c>
      <c r="X613" t="s">
        <v>8173</v>
      </c>
      <c r="Y613" t="s">
        <v>11162</v>
      </c>
      <c r="Z613" t="s">
        <v>74</v>
      </c>
      <c r="AA613" t="s">
        <v>11169</v>
      </c>
      <c r="AB613" t="s">
        <v>11119</v>
      </c>
      <c r="AC613" t="s">
        <v>74</v>
      </c>
      <c r="AD613" t="s">
        <v>74</v>
      </c>
      <c r="AE613" t="s">
        <v>74</v>
      </c>
      <c r="AF613" t="s">
        <v>74</v>
      </c>
      <c r="AG613">
        <v>6</v>
      </c>
      <c r="AH613">
        <v>2</v>
      </c>
      <c r="AI613">
        <v>2</v>
      </c>
      <c r="AJ613">
        <v>1</v>
      </c>
      <c r="AK613">
        <v>3</v>
      </c>
      <c r="AL613" t="s">
        <v>11102</v>
      </c>
      <c r="AM613" t="s">
        <v>11103</v>
      </c>
      <c r="AN613" t="s">
        <v>11104</v>
      </c>
      <c r="AO613" t="s">
        <v>11105</v>
      </c>
      <c r="AP613" t="s">
        <v>74</v>
      </c>
      <c r="AQ613" t="s">
        <v>11106</v>
      </c>
      <c r="AR613" t="s">
        <v>11107</v>
      </c>
      <c r="AS613" t="s">
        <v>74</v>
      </c>
      <c r="AT613" t="s">
        <v>74</v>
      </c>
      <c r="AU613">
        <v>2009</v>
      </c>
      <c r="AV613">
        <v>40</v>
      </c>
      <c r="AW613" t="s">
        <v>74</v>
      </c>
      <c r="AX613" t="s">
        <v>74</v>
      </c>
      <c r="AY613" t="s">
        <v>74</v>
      </c>
      <c r="AZ613" t="s">
        <v>74</v>
      </c>
      <c r="BA613" t="s">
        <v>74</v>
      </c>
      <c r="BB613">
        <v>103</v>
      </c>
      <c r="BC613">
        <v>105</v>
      </c>
      <c r="BD613" t="s">
        <v>74</v>
      </c>
      <c r="BE613" t="s">
        <v>11170</v>
      </c>
      <c r="BF613" t="str">
        <f>HYPERLINK("http://dx.doi.org/10.1051/eas/1040013","http://dx.doi.org/10.1051/eas/1040013")</f>
        <v>http://dx.doi.org/10.1051/eas/1040013</v>
      </c>
      <c r="BG613" t="s">
        <v>74</v>
      </c>
      <c r="BH613" t="s">
        <v>74</v>
      </c>
      <c r="BI613">
        <v>3</v>
      </c>
      <c r="BJ613" t="s">
        <v>285</v>
      </c>
      <c r="BK613" t="s">
        <v>2457</v>
      </c>
      <c r="BL613" t="s">
        <v>285</v>
      </c>
      <c r="BM613" t="s">
        <v>11109</v>
      </c>
      <c r="BN613" t="s">
        <v>74</v>
      </c>
      <c r="BO613" t="s">
        <v>1106</v>
      </c>
      <c r="BP613" t="s">
        <v>74</v>
      </c>
      <c r="BQ613" t="s">
        <v>74</v>
      </c>
      <c r="BR613" t="s">
        <v>103</v>
      </c>
      <c r="BS613" t="s">
        <v>11171</v>
      </c>
      <c r="BT613" t="str">
        <f>HYPERLINK("https%3A%2F%2Fwww.webofscience.com%2Fwos%2Fwoscc%2Ffull-record%2FWOS:000285825400013","View Full Record in Web of Science")</f>
        <v>View Full Record in Web of Science</v>
      </c>
    </row>
    <row r="614" spans="1:72" x14ac:dyDescent="0.15">
      <c r="A614" t="s">
        <v>2434</v>
      </c>
      <c r="B614" t="s">
        <v>11172</v>
      </c>
      <c r="C614" t="s">
        <v>74</v>
      </c>
      <c r="D614" t="s">
        <v>11088</v>
      </c>
      <c r="E614" t="s">
        <v>74</v>
      </c>
      <c r="F614" t="s">
        <v>11173</v>
      </c>
      <c r="G614" t="s">
        <v>74</v>
      </c>
      <c r="H614" t="s">
        <v>74</v>
      </c>
      <c r="I614" t="s">
        <v>11174</v>
      </c>
      <c r="J614" t="s">
        <v>11091</v>
      </c>
      <c r="K614" t="s">
        <v>11092</v>
      </c>
      <c r="L614" t="s">
        <v>74</v>
      </c>
      <c r="M614" t="s">
        <v>78</v>
      </c>
      <c r="N614" t="s">
        <v>2440</v>
      </c>
      <c r="O614" t="s">
        <v>11093</v>
      </c>
      <c r="P614" t="s">
        <v>11094</v>
      </c>
      <c r="Q614" t="s">
        <v>11095</v>
      </c>
      <c r="R614" t="s">
        <v>74</v>
      </c>
      <c r="S614" t="s">
        <v>74</v>
      </c>
      <c r="T614" t="s">
        <v>74</v>
      </c>
      <c r="U614" t="s">
        <v>11128</v>
      </c>
      <c r="V614" t="s">
        <v>11175</v>
      </c>
      <c r="W614" t="s">
        <v>11176</v>
      </c>
      <c r="X614" t="s">
        <v>8173</v>
      </c>
      <c r="Y614" t="s">
        <v>11177</v>
      </c>
      <c r="Z614" t="s">
        <v>74</v>
      </c>
      <c r="AA614" t="s">
        <v>11178</v>
      </c>
      <c r="AB614" t="s">
        <v>11179</v>
      </c>
      <c r="AC614" t="s">
        <v>74</v>
      </c>
      <c r="AD614" t="s">
        <v>74</v>
      </c>
      <c r="AE614" t="s">
        <v>74</v>
      </c>
      <c r="AF614" t="s">
        <v>74</v>
      </c>
      <c r="AG614">
        <v>5</v>
      </c>
      <c r="AH614">
        <v>0</v>
      </c>
      <c r="AI614">
        <v>0</v>
      </c>
      <c r="AJ614">
        <v>0</v>
      </c>
      <c r="AK614">
        <v>1</v>
      </c>
      <c r="AL614" t="s">
        <v>11102</v>
      </c>
      <c r="AM614" t="s">
        <v>11103</v>
      </c>
      <c r="AN614" t="s">
        <v>11104</v>
      </c>
      <c r="AO614" t="s">
        <v>11105</v>
      </c>
      <c r="AP614" t="s">
        <v>74</v>
      </c>
      <c r="AQ614" t="s">
        <v>11106</v>
      </c>
      <c r="AR614" t="s">
        <v>11107</v>
      </c>
      <c r="AS614" t="s">
        <v>74</v>
      </c>
      <c r="AT614" t="s">
        <v>74</v>
      </c>
      <c r="AU614">
        <v>2009</v>
      </c>
      <c r="AV614">
        <v>40</v>
      </c>
      <c r="AW614" t="s">
        <v>74</v>
      </c>
      <c r="AX614" t="s">
        <v>74</v>
      </c>
      <c r="AY614" t="s">
        <v>74</v>
      </c>
      <c r="AZ614" t="s">
        <v>74</v>
      </c>
      <c r="BA614" t="s">
        <v>74</v>
      </c>
      <c r="BB614">
        <v>111</v>
      </c>
      <c r="BC614">
        <v>114</v>
      </c>
      <c r="BD614" t="s">
        <v>74</v>
      </c>
      <c r="BE614" t="s">
        <v>11180</v>
      </c>
      <c r="BF614" t="str">
        <f>HYPERLINK("http://dx.doi.org/10.1051/eas/1040015","http://dx.doi.org/10.1051/eas/1040015")</f>
        <v>http://dx.doi.org/10.1051/eas/1040015</v>
      </c>
      <c r="BG614" t="s">
        <v>74</v>
      </c>
      <c r="BH614" t="s">
        <v>74</v>
      </c>
      <c r="BI614">
        <v>4</v>
      </c>
      <c r="BJ614" t="s">
        <v>285</v>
      </c>
      <c r="BK614" t="s">
        <v>2457</v>
      </c>
      <c r="BL614" t="s">
        <v>285</v>
      </c>
      <c r="BM614" t="s">
        <v>11109</v>
      </c>
      <c r="BN614" t="s">
        <v>74</v>
      </c>
      <c r="BO614" t="s">
        <v>74</v>
      </c>
      <c r="BP614" t="s">
        <v>74</v>
      </c>
      <c r="BQ614" t="s">
        <v>74</v>
      </c>
      <c r="BR614" t="s">
        <v>103</v>
      </c>
      <c r="BS614" t="s">
        <v>11181</v>
      </c>
      <c r="BT614" t="str">
        <f>HYPERLINK("https%3A%2F%2Fwww.webofscience.com%2Fwos%2Fwoscc%2Ffull-record%2FWOS:000285825400015","View Full Record in Web of Science")</f>
        <v>View Full Record in Web of Science</v>
      </c>
    </row>
    <row r="615" spans="1:72" x14ac:dyDescent="0.15">
      <c r="A615" t="s">
        <v>2434</v>
      </c>
      <c r="B615" t="s">
        <v>11182</v>
      </c>
      <c r="C615" t="s">
        <v>74</v>
      </c>
      <c r="D615" t="s">
        <v>11088</v>
      </c>
      <c r="E615" t="s">
        <v>74</v>
      </c>
      <c r="F615" t="s">
        <v>11183</v>
      </c>
      <c r="G615" t="s">
        <v>74</v>
      </c>
      <c r="H615" t="s">
        <v>74</v>
      </c>
      <c r="I615" t="s">
        <v>11184</v>
      </c>
      <c r="J615" t="s">
        <v>11091</v>
      </c>
      <c r="K615" t="s">
        <v>11092</v>
      </c>
      <c r="L615" t="s">
        <v>74</v>
      </c>
      <c r="M615" t="s">
        <v>78</v>
      </c>
      <c r="N615" t="s">
        <v>2440</v>
      </c>
      <c r="O615" t="s">
        <v>11093</v>
      </c>
      <c r="P615" t="s">
        <v>11094</v>
      </c>
      <c r="Q615" t="s">
        <v>11095</v>
      </c>
      <c r="R615" t="s">
        <v>74</v>
      </c>
      <c r="S615" t="s">
        <v>74</v>
      </c>
      <c r="T615" t="s">
        <v>74</v>
      </c>
      <c r="U615" t="s">
        <v>11185</v>
      </c>
      <c r="V615" t="s">
        <v>11186</v>
      </c>
      <c r="W615" t="s">
        <v>11187</v>
      </c>
      <c r="X615" t="s">
        <v>11188</v>
      </c>
      <c r="Y615" t="s">
        <v>11189</v>
      </c>
      <c r="Z615" t="s">
        <v>74</v>
      </c>
      <c r="AA615" t="s">
        <v>11190</v>
      </c>
      <c r="AB615" t="s">
        <v>11191</v>
      </c>
      <c r="AC615" t="s">
        <v>74</v>
      </c>
      <c r="AD615" t="s">
        <v>74</v>
      </c>
      <c r="AE615" t="s">
        <v>74</v>
      </c>
      <c r="AF615" t="s">
        <v>74</v>
      </c>
      <c r="AG615">
        <v>12</v>
      </c>
      <c r="AH615">
        <v>2</v>
      </c>
      <c r="AI615">
        <v>2</v>
      </c>
      <c r="AJ615">
        <v>0</v>
      </c>
      <c r="AK615">
        <v>0</v>
      </c>
      <c r="AL615" t="s">
        <v>11102</v>
      </c>
      <c r="AM615" t="s">
        <v>11103</v>
      </c>
      <c r="AN615" t="s">
        <v>11104</v>
      </c>
      <c r="AO615" t="s">
        <v>11105</v>
      </c>
      <c r="AP615" t="s">
        <v>74</v>
      </c>
      <c r="AQ615" t="s">
        <v>11106</v>
      </c>
      <c r="AR615" t="s">
        <v>11107</v>
      </c>
      <c r="AS615" t="s">
        <v>74</v>
      </c>
      <c r="AT615" t="s">
        <v>74</v>
      </c>
      <c r="AU615">
        <v>2009</v>
      </c>
      <c r="AV615">
        <v>40</v>
      </c>
      <c r="AW615" t="s">
        <v>74</v>
      </c>
      <c r="AX615" t="s">
        <v>74</v>
      </c>
      <c r="AY615" t="s">
        <v>74</v>
      </c>
      <c r="AZ615" t="s">
        <v>74</v>
      </c>
      <c r="BA615" t="s">
        <v>74</v>
      </c>
      <c r="BB615">
        <v>165</v>
      </c>
      <c r="BC615" t="s">
        <v>10944</v>
      </c>
      <c r="BD615" t="s">
        <v>74</v>
      </c>
      <c r="BE615" t="s">
        <v>11192</v>
      </c>
      <c r="BF615" t="str">
        <f>HYPERLINK("http://dx.doi.org/10.1051/eas/1040022","http://dx.doi.org/10.1051/eas/1040022")</f>
        <v>http://dx.doi.org/10.1051/eas/1040022</v>
      </c>
      <c r="BG615" t="s">
        <v>74</v>
      </c>
      <c r="BH615" t="s">
        <v>74</v>
      </c>
      <c r="BI615">
        <v>2</v>
      </c>
      <c r="BJ615" t="s">
        <v>285</v>
      </c>
      <c r="BK615" t="s">
        <v>2457</v>
      </c>
      <c r="BL615" t="s">
        <v>285</v>
      </c>
      <c r="BM615" t="s">
        <v>11109</v>
      </c>
      <c r="BN615" t="s">
        <v>74</v>
      </c>
      <c r="BO615" t="s">
        <v>74</v>
      </c>
      <c r="BP615" t="s">
        <v>74</v>
      </c>
      <c r="BQ615" t="s">
        <v>74</v>
      </c>
      <c r="BR615" t="s">
        <v>103</v>
      </c>
      <c r="BS615" t="s">
        <v>11193</v>
      </c>
      <c r="BT615" t="str">
        <f>HYPERLINK("https%3A%2F%2Fwww.webofscience.com%2Fwos%2Fwoscc%2Ffull-record%2FWOS:000285825400022","View Full Record in Web of Science")</f>
        <v>View Full Record in Web of Science</v>
      </c>
    </row>
    <row r="616" spans="1:72" x14ac:dyDescent="0.15">
      <c r="A616" t="s">
        <v>2434</v>
      </c>
      <c r="B616" t="s">
        <v>11194</v>
      </c>
      <c r="C616" t="s">
        <v>74</v>
      </c>
      <c r="D616" t="s">
        <v>11088</v>
      </c>
      <c r="E616" t="s">
        <v>74</v>
      </c>
      <c r="F616" t="s">
        <v>11195</v>
      </c>
      <c r="G616" t="s">
        <v>74</v>
      </c>
      <c r="H616" t="s">
        <v>74</v>
      </c>
      <c r="I616" t="s">
        <v>11196</v>
      </c>
      <c r="J616" t="s">
        <v>11091</v>
      </c>
      <c r="K616" t="s">
        <v>11092</v>
      </c>
      <c r="L616" t="s">
        <v>74</v>
      </c>
      <c r="M616" t="s">
        <v>78</v>
      </c>
      <c r="N616" t="s">
        <v>2440</v>
      </c>
      <c r="O616" t="s">
        <v>11093</v>
      </c>
      <c r="P616" t="s">
        <v>11094</v>
      </c>
      <c r="Q616" t="s">
        <v>11095</v>
      </c>
      <c r="R616" t="s">
        <v>74</v>
      </c>
      <c r="S616" t="s">
        <v>74</v>
      </c>
      <c r="T616" t="s">
        <v>74</v>
      </c>
      <c r="U616" t="s">
        <v>11159</v>
      </c>
      <c r="V616" t="s">
        <v>11197</v>
      </c>
      <c r="W616" t="s">
        <v>11198</v>
      </c>
      <c r="X616" t="s">
        <v>11199</v>
      </c>
      <c r="Y616" t="s">
        <v>11200</v>
      </c>
      <c r="Z616" t="s">
        <v>74</v>
      </c>
      <c r="AA616" t="s">
        <v>11201</v>
      </c>
      <c r="AB616" t="s">
        <v>11202</v>
      </c>
      <c r="AC616" t="s">
        <v>74</v>
      </c>
      <c r="AD616" t="s">
        <v>74</v>
      </c>
      <c r="AE616" t="s">
        <v>74</v>
      </c>
      <c r="AF616" t="s">
        <v>74</v>
      </c>
      <c r="AG616">
        <v>8</v>
      </c>
      <c r="AH616">
        <v>5</v>
      </c>
      <c r="AI616">
        <v>5</v>
      </c>
      <c r="AJ616">
        <v>0</v>
      </c>
      <c r="AK616">
        <v>0</v>
      </c>
      <c r="AL616" t="s">
        <v>11102</v>
      </c>
      <c r="AM616" t="s">
        <v>11103</v>
      </c>
      <c r="AN616" t="s">
        <v>11104</v>
      </c>
      <c r="AO616" t="s">
        <v>11105</v>
      </c>
      <c r="AP616" t="s">
        <v>74</v>
      </c>
      <c r="AQ616" t="s">
        <v>11106</v>
      </c>
      <c r="AR616" t="s">
        <v>11107</v>
      </c>
      <c r="AS616" t="s">
        <v>74</v>
      </c>
      <c r="AT616" t="s">
        <v>74</v>
      </c>
      <c r="AU616">
        <v>2009</v>
      </c>
      <c r="AV616">
        <v>40</v>
      </c>
      <c r="AW616" t="s">
        <v>74</v>
      </c>
      <c r="AX616" t="s">
        <v>74</v>
      </c>
      <c r="AY616" t="s">
        <v>74</v>
      </c>
      <c r="AZ616" t="s">
        <v>74</v>
      </c>
      <c r="BA616" t="s">
        <v>74</v>
      </c>
      <c r="BB616">
        <v>171</v>
      </c>
      <c r="BC616" t="s">
        <v>10944</v>
      </c>
      <c r="BD616" t="s">
        <v>74</v>
      </c>
      <c r="BE616" t="s">
        <v>11203</v>
      </c>
      <c r="BF616" t="str">
        <f>HYPERLINK("http://dx.doi.org/10.1051/eas/1040023","http://dx.doi.org/10.1051/eas/1040023")</f>
        <v>http://dx.doi.org/10.1051/eas/1040023</v>
      </c>
      <c r="BG616" t="s">
        <v>74</v>
      </c>
      <c r="BH616" t="s">
        <v>74</v>
      </c>
      <c r="BI616">
        <v>2</v>
      </c>
      <c r="BJ616" t="s">
        <v>285</v>
      </c>
      <c r="BK616" t="s">
        <v>2457</v>
      </c>
      <c r="BL616" t="s">
        <v>285</v>
      </c>
      <c r="BM616" t="s">
        <v>11109</v>
      </c>
      <c r="BN616" t="s">
        <v>74</v>
      </c>
      <c r="BO616" t="s">
        <v>74</v>
      </c>
      <c r="BP616" t="s">
        <v>74</v>
      </c>
      <c r="BQ616" t="s">
        <v>74</v>
      </c>
      <c r="BR616" t="s">
        <v>103</v>
      </c>
      <c r="BS616" t="s">
        <v>11204</v>
      </c>
      <c r="BT616" t="str">
        <f>HYPERLINK("https%3A%2F%2Fwww.webofscience.com%2Fwos%2Fwoscc%2Ffull-record%2FWOS:000285825400023","View Full Record in Web of Science")</f>
        <v>View Full Record in Web of Science</v>
      </c>
    </row>
    <row r="617" spans="1:72" x14ac:dyDescent="0.15">
      <c r="A617" t="s">
        <v>2434</v>
      </c>
      <c r="B617" t="s">
        <v>11205</v>
      </c>
      <c r="C617" t="s">
        <v>74</v>
      </c>
      <c r="D617" t="s">
        <v>11088</v>
      </c>
      <c r="E617" t="s">
        <v>74</v>
      </c>
      <c r="F617" t="s">
        <v>11206</v>
      </c>
      <c r="G617" t="s">
        <v>74</v>
      </c>
      <c r="H617" t="s">
        <v>74</v>
      </c>
      <c r="I617" t="s">
        <v>11207</v>
      </c>
      <c r="J617" t="s">
        <v>11091</v>
      </c>
      <c r="K617" t="s">
        <v>11092</v>
      </c>
      <c r="L617" t="s">
        <v>74</v>
      </c>
      <c r="M617" t="s">
        <v>78</v>
      </c>
      <c r="N617" t="s">
        <v>2440</v>
      </c>
      <c r="O617" t="s">
        <v>11093</v>
      </c>
      <c r="P617" t="s">
        <v>11094</v>
      </c>
      <c r="Q617" t="s">
        <v>11095</v>
      </c>
      <c r="R617" t="s">
        <v>74</v>
      </c>
      <c r="S617" t="s">
        <v>74</v>
      </c>
      <c r="T617" t="s">
        <v>74</v>
      </c>
      <c r="U617" t="s">
        <v>74</v>
      </c>
      <c r="V617" t="s">
        <v>11208</v>
      </c>
      <c r="W617" t="s">
        <v>11209</v>
      </c>
      <c r="X617" t="s">
        <v>11210</v>
      </c>
      <c r="Y617" t="s">
        <v>11211</v>
      </c>
      <c r="Z617" t="s">
        <v>74</v>
      </c>
      <c r="AA617" t="s">
        <v>11212</v>
      </c>
      <c r="AB617" t="s">
        <v>11213</v>
      </c>
      <c r="AC617" t="s">
        <v>74</v>
      </c>
      <c r="AD617" t="s">
        <v>74</v>
      </c>
      <c r="AE617" t="s">
        <v>74</v>
      </c>
      <c r="AF617" t="s">
        <v>74</v>
      </c>
      <c r="AG617">
        <v>3</v>
      </c>
      <c r="AH617">
        <v>1</v>
      </c>
      <c r="AI617">
        <v>1</v>
      </c>
      <c r="AJ617">
        <v>0</v>
      </c>
      <c r="AK617">
        <v>2</v>
      </c>
      <c r="AL617" t="s">
        <v>11102</v>
      </c>
      <c r="AM617" t="s">
        <v>11103</v>
      </c>
      <c r="AN617" t="s">
        <v>11104</v>
      </c>
      <c r="AO617" t="s">
        <v>11105</v>
      </c>
      <c r="AP617" t="s">
        <v>74</v>
      </c>
      <c r="AQ617" t="s">
        <v>11106</v>
      </c>
      <c r="AR617" t="s">
        <v>11107</v>
      </c>
      <c r="AS617" t="s">
        <v>74</v>
      </c>
      <c r="AT617" t="s">
        <v>74</v>
      </c>
      <c r="AU617">
        <v>2009</v>
      </c>
      <c r="AV617">
        <v>40</v>
      </c>
      <c r="AW617" t="s">
        <v>74</v>
      </c>
      <c r="AX617" t="s">
        <v>74</v>
      </c>
      <c r="AY617" t="s">
        <v>74</v>
      </c>
      <c r="AZ617" t="s">
        <v>74</v>
      </c>
      <c r="BA617" t="s">
        <v>74</v>
      </c>
      <c r="BB617">
        <v>177</v>
      </c>
      <c r="BC617" t="s">
        <v>10944</v>
      </c>
      <c r="BD617" t="s">
        <v>74</v>
      </c>
      <c r="BE617" t="s">
        <v>11214</v>
      </c>
      <c r="BF617" t="str">
        <f>HYPERLINK("http://dx.doi.org/10.1051/eas/1040024","http://dx.doi.org/10.1051/eas/1040024")</f>
        <v>http://dx.doi.org/10.1051/eas/1040024</v>
      </c>
      <c r="BG617" t="s">
        <v>74</v>
      </c>
      <c r="BH617" t="s">
        <v>74</v>
      </c>
      <c r="BI617">
        <v>2</v>
      </c>
      <c r="BJ617" t="s">
        <v>285</v>
      </c>
      <c r="BK617" t="s">
        <v>2457</v>
      </c>
      <c r="BL617" t="s">
        <v>285</v>
      </c>
      <c r="BM617" t="s">
        <v>11109</v>
      </c>
      <c r="BN617" t="s">
        <v>74</v>
      </c>
      <c r="BO617" t="s">
        <v>74</v>
      </c>
      <c r="BP617" t="s">
        <v>74</v>
      </c>
      <c r="BQ617" t="s">
        <v>74</v>
      </c>
      <c r="BR617" t="s">
        <v>103</v>
      </c>
      <c r="BS617" t="s">
        <v>11215</v>
      </c>
      <c r="BT617" t="str">
        <f>HYPERLINK("https%3A%2F%2Fwww.webofscience.com%2Fwos%2Fwoscc%2Ffull-record%2FWOS:000285825400024","View Full Record in Web of Science")</f>
        <v>View Full Record in Web of Science</v>
      </c>
    </row>
    <row r="618" spans="1:72" x14ac:dyDescent="0.15">
      <c r="A618" t="s">
        <v>2434</v>
      </c>
      <c r="B618" t="s">
        <v>11216</v>
      </c>
      <c r="C618" t="s">
        <v>74</v>
      </c>
      <c r="D618" t="s">
        <v>11088</v>
      </c>
      <c r="E618" t="s">
        <v>74</v>
      </c>
      <c r="F618" t="s">
        <v>11217</v>
      </c>
      <c r="G618" t="s">
        <v>74</v>
      </c>
      <c r="H618" t="s">
        <v>74</v>
      </c>
      <c r="I618" t="s">
        <v>11218</v>
      </c>
      <c r="J618" t="s">
        <v>11091</v>
      </c>
      <c r="K618" t="s">
        <v>11092</v>
      </c>
      <c r="L618" t="s">
        <v>74</v>
      </c>
      <c r="M618" t="s">
        <v>78</v>
      </c>
      <c r="N618" t="s">
        <v>2440</v>
      </c>
      <c r="O618" t="s">
        <v>11093</v>
      </c>
      <c r="P618" t="s">
        <v>11094</v>
      </c>
      <c r="Q618" t="s">
        <v>11095</v>
      </c>
      <c r="R618" t="s">
        <v>74</v>
      </c>
      <c r="S618" t="s">
        <v>74</v>
      </c>
      <c r="T618" t="s">
        <v>74</v>
      </c>
      <c r="U618" t="s">
        <v>74</v>
      </c>
      <c r="V618" t="s">
        <v>11219</v>
      </c>
      <c r="W618" t="s">
        <v>11220</v>
      </c>
      <c r="X618" t="s">
        <v>11221</v>
      </c>
      <c r="Y618" t="s">
        <v>11222</v>
      </c>
      <c r="Z618" t="s">
        <v>74</v>
      </c>
      <c r="AA618" t="s">
        <v>11223</v>
      </c>
      <c r="AB618" t="s">
        <v>11224</v>
      </c>
      <c r="AC618" t="s">
        <v>74</v>
      </c>
      <c r="AD618" t="s">
        <v>74</v>
      </c>
      <c r="AE618" t="s">
        <v>74</v>
      </c>
      <c r="AF618" t="s">
        <v>74</v>
      </c>
      <c r="AG618">
        <v>4</v>
      </c>
      <c r="AH618">
        <v>0</v>
      </c>
      <c r="AI618">
        <v>0</v>
      </c>
      <c r="AJ618">
        <v>0</v>
      </c>
      <c r="AK618">
        <v>0</v>
      </c>
      <c r="AL618" t="s">
        <v>11102</v>
      </c>
      <c r="AM618" t="s">
        <v>11103</v>
      </c>
      <c r="AN618" t="s">
        <v>11104</v>
      </c>
      <c r="AO618" t="s">
        <v>11105</v>
      </c>
      <c r="AP618" t="s">
        <v>74</v>
      </c>
      <c r="AQ618" t="s">
        <v>11106</v>
      </c>
      <c r="AR618" t="s">
        <v>11107</v>
      </c>
      <c r="AS618" t="s">
        <v>74</v>
      </c>
      <c r="AT618" t="s">
        <v>74</v>
      </c>
      <c r="AU618">
        <v>2009</v>
      </c>
      <c r="AV618">
        <v>40</v>
      </c>
      <c r="AW618" t="s">
        <v>74</v>
      </c>
      <c r="AX618" t="s">
        <v>74</v>
      </c>
      <c r="AY618" t="s">
        <v>74</v>
      </c>
      <c r="AZ618" t="s">
        <v>74</v>
      </c>
      <c r="BA618" t="s">
        <v>74</v>
      </c>
      <c r="BB618">
        <v>183</v>
      </c>
      <c r="BC618" t="s">
        <v>10944</v>
      </c>
      <c r="BD618" t="s">
        <v>74</v>
      </c>
      <c r="BE618" t="s">
        <v>11225</v>
      </c>
      <c r="BF618" t="str">
        <f>HYPERLINK("http://dx.doi.org/10.1051/eas/1040025","http://dx.doi.org/10.1051/eas/1040025")</f>
        <v>http://dx.doi.org/10.1051/eas/1040025</v>
      </c>
      <c r="BG618" t="s">
        <v>74</v>
      </c>
      <c r="BH618" t="s">
        <v>74</v>
      </c>
      <c r="BI618">
        <v>2</v>
      </c>
      <c r="BJ618" t="s">
        <v>285</v>
      </c>
      <c r="BK618" t="s">
        <v>2457</v>
      </c>
      <c r="BL618" t="s">
        <v>285</v>
      </c>
      <c r="BM618" t="s">
        <v>11109</v>
      </c>
      <c r="BN618" t="s">
        <v>74</v>
      </c>
      <c r="BO618" t="s">
        <v>74</v>
      </c>
      <c r="BP618" t="s">
        <v>74</v>
      </c>
      <c r="BQ618" t="s">
        <v>74</v>
      </c>
      <c r="BR618" t="s">
        <v>103</v>
      </c>
      <c r="BS618" t="s">
        <v>11226</v>
      </c>
      <c r="BT618" t="str">
        <f>HYPERLINK("https%3A%2F%2Fwww.webofscience.com%2Fwos%2Fwoscc%2Ffull-record%2FWOS:000285825400025","View Full Record in Web of Science")</f>
        <v>View Full Record in Web of Science</v>
      </c>
    </row>
    <row r="619" spans="1:72" x14ac:dyDescent="0.15">
      <c r="A619" t="s">
        <v>2434</v>
      </c>
      <c r="B619" t="s">
        <v>11227</v>
      </c>
      <c r="C619" t="s">
        <v>74</v>
      </c>
      <c r="D619" t="s">
        <v>11088</v>
      </c>
      <c r="E619" t="s">
        <v>74</v>
      </c>
      <c r="F619" t="s">
        <v>11228</v>
      </c>
      <c r="G619" t="s">
        <v>74</v>
      </c>
      <c r="H619" t="s">
        <v>74</v>
      </c>
      <c r="I619" t="s">
        <v>11229</v>
      </c>
      <c r="J619" t="s">
        <v>11091</v>
      </c>
      <c r="K619" t="s">
        <v>11092</v>
      </c>
      <c r="L619" t="s">
        <v>74</v>
      </c>
      <c r="M619" t="s">
        <v>78</v>
      </c>
      <c r="N619" t="s">
        <v>2440</v>
      </c>
      <c r="O619" t="s">
        <v>11093</v>
      </c>
      <c r="P619" t="s">
        <v>11094</v>
      </c>
      <c r="Q619" t="s">
        <v>11095</v>
      </c>
      <c r="R619" t="s">
        <v>74</v>
      </c>
      <c r="S619" t="s">
        <v>74</v>
      </c>
      <c r="T619" t="s">
        <v>74</v>
      </c>
      <c r="U619" t="s">
        <v>11230</v>
      </c>
      <c r="V619" t="s">
        <v>11231</v>
      </c>
      <c r="W619" t="s">
        <v>11232</v>
      </c>
      <c r="X619" t="s">
        <v>11233</v>
      </c>
      <c r="Y619" t="s">
        <v>11234</v>
      </c>
      <c r="Z619" t="s">
        <v>74</v>
      </c>
      <c r="AA619" t="s">
        <v>11235</v>
      </c>
      <c r="AB619" t="s">
        <v>11236</v>
      </c>
      <c r="AC619" t="s">
        <v>74</v>
      </c>
      <c r="AD619" t="s">
        <v>74</v>
      </c>
      <c r="AE619" t="s">
        <v>74</v>
      </c>
      <c r="AF619" t="s">
        <v>74</v>
      </c>
      <c r="AG619">
        <v>8</v>
      </c>
      <c r="AH619">
        <v>0</v>
      </c>
      <c r="AI619">
        <v>0</v>
      </c>
      <c r="AJ619">
        <v>0</v>
      </c>
      <c r="AK619">
        <v>0</v>
      </c>
      <c r="AL619" t="s">
        <v>11102</v>
      </c>
      <c r="AM619" t="s">
        <v>11103</v>
      </c>
      <c r="AN619" t="s">
        <v>11104</v>
      </c>
      <c r="AO619" t="s">
        <v>11105</v>
      </c>
      <c r="AP619" t="s">
        <v>74</v>
      </c>
      <c r="AQ619" t="s">
        <v>11106</v>
      </c>
      <c r="AR619" t="s">
        <v>11107</v>
      </c>
      <c r="AS619" t="s">
        <v>74</v>
      </c>
      <c r="AT619" t="s">
        <v>74</v>
      </c>
      <c r="AU619">
        <v>2009</v>
      </c>
      <c r="AV619">
        <v>40</v>
      </c>
      <c r="AW619" t="s">
        <v>74</v>
      </c>
      <c r="AX619" t="s">
        <v>74</v>
      </c>
      <c r="AY619" t="s">
        <v>74</v>
      </c>
      <c r="AZ619" t="s">
        <v>74</v>
      </c>
      <c r="BA619" t="s">
        <v>74</v>
      </c>
      <c r="BB619">
        <v>197</v>
      </c>
      <c r="BC619" t="s">
        <v>10944</v>
      </c>
      <c r="BD619" t="s">
        <v>74</v>
      </c>
      <c r="BE619" t="s">
        <v>11237</v>
      </c>
      <c r="BF619" t="str">
        <f>HYPERLINK("http://dx.doi.org/10.1051/eas/1040028","http://dx.doi.org/10.1051/eas/1040028")</f>
        <v>http://dx.doi.org/10.1051/eas/1040028</v>
      </c>
      <c r="BG619" t="s">
        <v>74</v>
      </c>
      <c r="BH619" t="s">
        <v>74</v>
      </c>
      <c r="BI619">
        <v>2</v>
      </c>
      <c r="BJ619" t="s">
        <v>285</v>
      </c>
      <c r="BK619" t="s">
        <v>2457</v>
      </c>
      <c r="BL619" t="s">
        <v>285</v>
      </c>
      <c r="BM619" t="s">
        <v>11109</v>
      </c>
      <c r="BN619" t="s">
        <v>74</v>
      </c>
      <c r="BO619" t="s">
        <v>74</v>
      </c>
      <c r="BP619" t="s">
        <v>74</v>
      </c>
      <c r="BQ619" t="s">
        <v>74</v>
      </c>
      <c r="BR619" t="s">
        <v>103</v>
      </c>
      <c r="BS619" t="s">
        <v>11238</v>
      </c>
      <c r="BT619" t="str">
        <f>HYPERLINK("https%3A%2F%2Fwww.webofscience.com%2Fwos%2Fwoscc%2Ffull-record%2FWOS:000285825400028","View Full Record in Web of Science")</f>
        <v>View Full Record in Web of Science</v>
      </c>
    </row>
    <row r="620" spans="1:72" x14ac:dyDescent="0.15">
      <c r="A620" t="s">
        <v>2434</v>
      </c>
      <c r="B620" t="s">
        <v>11239</v>
      </c>
      <c r="C620" t="s">
        <v>74</v>
      </c>
      <c r="D620" t="s">
        <v>11088</v>
      </c>
      <c r="E620" t="s">
        <v>74</v>
      </c>
      <c r="F620" t="s">
        <v>11240</v>
      </c>
      <c r="G620" t="s">
        <v>74</v>
      </c>
      <c r="H620" t="s">
        <v>74</v>
      </c>
      <c r="I620" t="s">
        <v>11241</v>
      </c>
      <c r="J620" t="s">
        <v>11091</v>
      </c>
      <c r="K620" t="s">
        <v>11092</v>
      </c>
      <c r="L620" t="s">
        <v>74</v>
      </c>
      <c r="M620" t="s">
        <v>78</v>
      </c>
      <c r="N620" t="s">
        <v>2440</v>
      </c>
      <c r="O620" t="s">
        <v>11093</v>
      </c>
      <c r="P620" t="s">
        <v>11094</v>
      </c>
      <c r="Q620" t="s">
        <v>11095</v>
      </c>
      <c r="R620" t="s">
        <v>74</v>
      </c>
      <c r="S620" t="s">
        <v>74</v>
      </c>
      <c r="T620" t="s">
        <v>74</v>
      </c>
      <c r="U620" t="s">
        <v>11159</v>
      </c>
      <c r="V620" t="s">
        <v>11242</v>
      </c>
      <c r="W620" t="s">
        <v>11243</v>
      </c>
      <c r="X620" t="s">
        <v>11244</v>
      </c>
      <c r="Y620" t="s">
        <v>11245</v>
      </c>
      <c r="Z620" t="s">
        <v>74</v>
      </c>
      <c r="AA620" t="s">
        <v>11235</v>
      </c>
      <c r="AB620" t="s">
        <v>11246</v>
      </c>
      <c r="AC620" t="s">
        <v>74</v>
      </c>
      <c r="AD620" t="s">
        <v>74</v>
      </c>
      <c r="AE620" t="s">
        <v>74</v>
      </c>
      <c r="AF620" t="s">
        <v>74</v>
      </c>
      <c r="AG620">
        <v>10</v>
      </c>
      <c r="AH620">
        <v>0</v>
      </c>
      <c r="AI620">
        <v>0</v>
      </c>
      <c r="AJ620">
        <v>0</v>
      </c>
      <c r="AK620">
        <v>0</v>
      </c>
      <c r="AL620" t="s">
        <v>11102</v>
      </c>
      <c r="AM620" t="s">
        <v>11103</v>
      </c>
      <c r="AN620" t="s">
        <v>11104</v>
      </c>
      <c r="AO620" t="s">
        <v>11105</v>
      </c>
      <c r="AP620" t="s">
        <v>74</v>
      </c>
      <c r="AQ620" t="s">
        <v>11106</v>
      </c>
      <c r="AR620" t="s">
        <v>11107</v>
      </c>
      <c r="AS620" t="s">
        <v>74</v>
      </c>
      <c r="AT620" t="s">
        <v>74</v>
      </c>
      <c r="AU620">
        <v>2009</v>
      </c>
      <c r="AV620">
        <v>40</v>
      </c>
      <c r="AW620" t="s">
        <v>74</v>
      </c>
      <c r="AX620" t="s">
        <v>74</v>
      </c>
      <c r="AY620" t="s">
        <v>74</v>
      </c>
      <c r="AZ620" t="s">
        <v>74</v>
      </c>
      <c r="BA620" t="s">
        <v>74</v>
      </c>
      <c r="BB620">
        <v>203</v>
      </c>
      <c r="BC620" t="s">
        <v>10944</v>
      </c>
      <c r="BD620" t="s">
        <v>74</v>
      </c>
      <c r="BE620" t="s">
        <v>11247</v>
      </c>
      <c r="BF620" t="str">
        <f>HYPERLINK("http://dx.doi.org/10.1051/eas/1040029","http://dx.doi.org/10.1051/eas/1040029")</f>
        <v>http://dx.doi.org/10.1051/eas/1040029</v>
      </c>
      <c r="BG620" t="s">
        <v>74</v>
      </c>
      <c r="BH620" t="s">
        <v>74</v>
      </c>
      <c r="BI620">
        <v>2</v>
      </c>
      <c r="BJ620" t="s">
        <v>285</v>
      </c>
      <c r="BK620" t="s">
        <v>2457</v>
      </c>
      <c r="BL620" t="s">
        <v>285</v>
      </c>
      <c r="BM620" t="s">
        <v>11109</v>
      </c>
      <c r="BN620" t="s">
        <v>74</v>
      </c>
      <c r="BO620" t="s">
        <v>74</v>
      </c>
      <c r="BP620" t="s">
        <v>74</v>
      </c>
      <c r="BQ620" t="s">
        <v>74</v>
      </c>
      <c r="BR620" t="s">
        <v>103</v>
      </c>
      <c r="BS620" t="s">
        <v>11248</v>
      </c>
      <c r="BT620" t="str">
        <f>HYPERLINK("https%3A%2F%2Fwww.webofscience.com%2Fwos%2Fwoscc%2Ffull-record%2FWOS:000285825400029","View Full Record in Web of Science")</f>
        <v>View Full Record in Web of Science</v>
      </c>
    </row>
    <row r="621" spans="1:72" x14ac:dyDescent="0.15">
      <c r="A621" t="s">
        <v>2434</v>
      </c>
      <c r="B621" t="s">
        <v>11249</v>
      </c>
      <c r="C621" t="s">
        <v>74</v>
      </c>
      <c r="D621" t="s">
        <v>11088</v>
      </c>
      <c r="E621" t="s">
        <v>74</v>
      </c>
      <c r="F621" t="s">
        <v>11250</v>
      </c>
      <c r="G621" t="s">
        <v>74</v>
      </c>
      <c r="H621" t="s">
        <v>74</v>
      </c>
      <c r="I621" t="s">
        <v>11251</v>
      </c>
      <c r="J621" t="s">
        <v>11091</v>
      </c>
      <c r="K621" t="s">
        <v>11092</v>
      </c>
      <c r="L621" t="s">
        <v>74</v>
      </c>
      <c r="M621" t="s">
        <v>78</v>
      </c>
      <c r="N621" t="s">
        <v>2440</v>
      </c>
      <c r="O621" t="s">
        <v>11093</v>
      </c>
      <c r="P621" t="s">
        <v>11094</v>
      </c>
      <c r="Q621" t="s">
        <v>11095</v>
      </c>
      <c r="R621" t="s">
        <v>74</v>
      </c>
      <c r="S621" t="s">
        <v>74</v>
      </c>
      <c r="T621" t="s">
        <v>74</v>
      </c>
      <c r="U621" t="s">
        <v>11252</v>
      </c>
      <c r="V621" t="s">
        <v>11253</v>
      </c>
      <c r="W621" t="s">
        <v>11254</v>
      </c>
      <c r="X621" t="s">
        <v>11255</v>
      </c>
      <c r="Y621" t="s">
        <v>11256</v>
      </c>
      <c r="Z621" t="s">
        <v>74</v>
      </c>
      <c r="AA621" t="s">
        <v>11257</v>
      </c>
      <c r="AB621" t="s">
        <v>11258</v>
      </c>
      <c r="AC621" t="s">
        <v>11259</v>
      </c>
      <c r="AD621" t="s">
        <v>11260</v>
      </c>
      <c r="AE621" t="s">
        <v>11261</v>
      </c>
      <c r="AF621" t="s">
        <v>74</v>
      </c>
      <c r="AG621">
        <v>17</v>
      </c>
      <c r="AH621">
        <v>0</v>
      </c>
      <c r="AI621">
        <v>0</v>
      </c>
      <c r="AJ621">
        <v>0</v>
      </c>
      <c r="AK621">
        <v>0</v>
      </c>
      <c r="AL621" t="s">
        <v>11102</v>
      </c>
      <c r="AM621" t="s">
        <v>11103</v>
      </c>
      <c r="AN621" t="s">
        <v>11104</v>
      </c>
      <c r="AO621" t="s">
        <v>11105</v>
      </c>
      <c r="AP621" t="s">
        <v>74</v>
      </c>
      <c r="AQ621" t="s">
        <v>11106</v>
      </c>
      <c r="AR621" t="s">
        <v>11107</v>
      </c>
      <c r="AS621" t="s">
        <v>74</v>
      </c>
      <c r="AT621" t="s">
        <v>74</v>
      </c>
      <c r="AU621">
        <v>2009</v>
      </c>
      <c r="AV621">
        <v>40</v>
      </c>
      <c r="AW621" t="s">
        <v>74</v>
      </c>
      <c r="AX621" t="s">
        <v>74</v>
      </c>
      <c r="AY621" t="s">
        <v>74</v>
      </c>
      <c r="AZ621" t="s">
        <v>74</v>
      </c>
      <c r="BA621" t="s">
        <v>74</v>
      </c>
      <c r="BB621">
        <v>211</v>
      </c>
      <c r="BC621" t="s">
        <v>10944</v>
      </c>
      <c r="BD621" t="s">
        <v>74</v>
      </c>
      <c r="BE621" t="s">
        <v>11262</v>
      </c>
      <c r="BF621" t="str">
        <f>HYPERLINK("http://dx.doi.org/10.1051/eas/1040031","http://dx.doi.org/10.1051/eas/1040031")</f>
        <v>http://dx.doi.org/10.1051/eas/1040031</v>
      </c>
      <c r="BG621" t="s">
        <v>74</v>
      </c>
      <c r="BH621" t="s">
        <v>74</v>
      </c>
      <c r="BI621">
        <v>2</v>
      </c>
      <c r="BJ621" t="s">
        <v>285</v>
      </c>
      <c r="BK621" t="s">
        <v>2457</v>
      </c>
      <c r="BL621" t="s">
        <v>285</v>
      </c>
      <c r="BM621" t="s">
        <v>11109</v>
      </c>
      <c r="BN621" t="s">
        <v>74</v>
      </c>
      <c r="BO621" t="s">
        <v>1106</v>
      </c>
      <c r="BP621" t="s">
        <v>74</v>
      </c>
      <c r="BQ621" t="s">
        <v>74</v>
      </c>
      <c r="BR621" t="s">
        <v>103</v>
      </c>
      <c r="BS621" t="s">
        <v>11263</v>
      </c>
      <c r="BT621" t="str">
        <f>HYPERLINK("https%3A%2F%2Fwww.webofscience.com%2Fwos%2Fwoscc%2Ffull-record%2FWOS:000285825400031","View Full Record in Web of Science")</f>
        <v>View Full Record in Web of Science</v>
      </c>
    </row>
    <row r="622" spans="1:72" x14ac:dyDescent="0.15">
      <c r="A622" t="s">
        <v>2434</v>
      </c>
      <c r="B622" t="s">
        <v>11264</v>
      </c>
      <c r="C622" t="s">
        <v>74</v>
      </c>
      <c r="D622" t="s">
        <v>11088</v>
      </c>
      <c r="E622" t="s">
        <v>74</v>
      </c>
      <c r="F622" t="s">
        <v>11265</v>
      </c>
      <c r="G622" t="s">
        <v>74</v>
      </c>
      <c r="H622" t="s">
        <v>74</v>
      </c>
      <c r="I622" t="s">
        <v>11266</v>
      </c>
      <c r="J622" t="s">
        <v>11091</v>
      </c>
      <c r="K622" t="s">
        <v>11092</v>
      </c>
      <c r="L622" t="s">
        <v>74</v>
      </c>
      <c r="M622" t="s">
        <v>78</v>
      </c>
      <c r="N622" t="s">
        <v>2440</v>
      </c>
      <c r="O622" t="s">
        <v>11093</v>
      </c>
      <c r="P622" t="s">
        <v>11094</v>
      </c>
      <c r="Q622" t="s">
        <v>11095</v>
      </c>
      <c r="R622" t="s">
        <v>74</v>
      </c>
      <c r="S622" t="s">
        <v>74</v>
      </c>
      <c r="T622" t="s">
        <v>74</v>
      </c>
      <c r="U622" t="s">
        <v>11267</v>
      </c>
      <c r="V622" t="s">
        <v>11268</v>
      </c>
      <c r="W622" t="s">
        <v>11269</v>
      </c>
      <c r="X622" t="s">
        <v>11270</v>
      </c>
      <c r="Y622" t="s">
        <v>11271</v>
      </c>
      <c r="Z622" t="s">
        <v>74</v>
      </c>
      <c r="AA622" t="s">
        <v>74</v>
      </c>
      <c r="AB622" t="s">
        <v>74</v>
      </c>
      <c r="AC622" t="s">
        <v>74</v>
      </c>
      <c r="AD622" t="s">
        <v>74</v>
      </c>
      <c r="AE622" t="s">
        <v>74</v>
      </c>
      <c r="AF622" t="s">
        <v>74</v>
      </c>
      <c r="AG622">
        <v>17</v>
      </c>
      <c r="AH622">
        <v>0</v>
      </c>
      <c r="AI622">
        <v>0</v>
      </c>
      <c r="AJ622">
        <v>0</v>
      </c>
      <c r="AK622">
        <v>2</v>
      </c>
      <c r="AL622" t="s">
        <v>11102</v>
      </c>
      <c r="AM622" t="s">
        <v>11103</v>
      </c>
      <c r="AN622" t="s">
        <v>11104</v>
      </c>
      <c r="AO622" t="s">
        <v>11105</v>
      </c>
      <c r="AP622" t="s">
        <v>74</v>
      </c>
      <c r="AQ622" t="s">
        <v>11106</v>
      </c>
      <c r="AR622" t="s">
        <v>11107</v>
      </c>
      <c r="AS622" t="s">
        <v>74</v>
      </c>
      <c r="AT622" t="s">
        <v>74</v>
      </c>
      <c r="AU622">
        <v>2009</v>
      </c>
      <c r="AV622">
        <v>40</v>
      </c>
      <c r="AW622" t="s">
        <v>74</v>
      </c>
      <c r="AX622" t="s">
        <v>74</v>
      </c>
      <c r="AY622" t="s">
        <v>74</v>
      </c>
      <c r="AZ622" t="s">
        <v>74</v>
      </c>
      <c r="BA622" t="s">
        <v>74</v>
      </c>
      <c r="BB622">
        <v>217</v>
      </c>
      <c r="BC622">
        <v>226</v>
      </c>
      <c r="BD622" t="s">
        <v>74</v>
      </c>
      <c r="BE622" t="s">
        <v>11272</v>
      </c>
      <c r="BF622" t="str">
        <f>HYPERLINK("http://dx.doi.org/10.1051/eas/1040032","http://dx.doi.org/10.1051/eas/1040032")</f>
        <v>http://dx.doi.org/10.1051/eas/1040032</v>
      </c>
      <c r="BG622" t="s">
        <v>74</v>
      </c>
      <c r="BH622" t="s">
        <v>74</v>
      </c>
      <c r="BI622">
        <v>10</v>
      </c>
      <c r="BJ622" t="s">
        <v>285</v>
      </c>
      <c r="BK622" t="s">
        <v>2457</v>
      </c>
      <c r="BL622" t="s">
        <v>285</v>
      </c>
      <c r="BM622" t="s">
        <v>11109</v>
      </c>
      <c r="BN622" t="s">
        <v>74</v>
      </c>
      <c r="BO622" t="s">
        <v>1106</v>
      </c>
      <c r="BP622" t="s">
        <v>74</v>
      </c>
      <c r="BQ622" t="s">
        <v>74</v>
      </c>
      <c r="BR622" t="s">
        <v>103</v>
      </c>
      <c r="BS622" t="s">
        <v>11273</v>
      </c>
      <c r="BT622" t="str">
        <f>HYPERLINK("https%3A%2F%2Fwww.webofscience.com%2Fwos%2Fwoscc%2Ffull-record%2FWOS:000285825400032","View Full Record in Web of Science")</f>
        <v>View Full Record in Web of Science</v>
      </c>
    </row>
    <row r="623" spans="1:72" x14ac:dyDescent="0.15">
      <c r="A623" t="s">
        <v>2434</v>
      </c>
      <c r="B623" t="s">
        <v>11274</v>
      </c>
      <c r="C623" t="s">
        <v>74</v>
      </c>
      <c r="D623" t="s">
        <v>11088</v>
      </c>
      <c r="E623" t="s">
        <v>74</v>
      </c>
      <c r="F623" t="s">
        <v>11275</v>
      </c>
      <c r="G623" t="s">
        <v>74</v>
      </c>
      <c r="H623" t="s">
        <v>74</v>
      </c>
      <c r="I623" t="s">
        <v>11276</v>
      </c>
      <c r="J623" t="s">
        <v>11091</v>
      </c>
      <c r="K623" t="s">
        <v>11092</v>
      </c>
      <c r="L623" t="s">
        <v>74</v>
      </c>
      <c r="M623" t="s">
        <v>78</v>
      </c>
      <c r="N623" t="s">
        <v>2440</v>
      </c>
      <c r="O623" t="s">
        <v>11093</v>
      </c>
      <c r="P623" t="s">
        <v>11094</v>
      </c>
      <c r="Q623" t="s">
        <v>11095</v>
      </c>
      <c r="R623" t="s">
        <v>74</v>
      </c>
      <c r="S623" t="s">
        <v>74</v>
      </c>
      <c r="T623" t="s">
        <v>74</v>
      </c>
      <c r="U623" t="s">
        <v>74</v>
      </c>
      <c r="V623" t="s">
        <v>11277</v>
      </c>
      <c r="W623" t="s">
        <v>11278</v>
      </c>
      <c r="X623" t="s">
        <v>11279</v>
      </c>
      <c r="Y623" t="s">
        <v>11280</v>
      </c>
      <c r="Z623" t="s">
        <v>74</v>
      </c>
      <c r="AA623" t="s">
        <v>74</v>
      </c>
      <c r="AB623" t="s">
        <v>74</v>
      </c>
      <c r="AC623" t="s">
        <v>74</v>
      </c>
      <c r="AD623" t="s">
        <v>74</v>
      </c>
      <c r="AE623" t="s">
        <v>74</v>
      </c>
      <c r="AF623" t="s">
        <v>74</v>
      </c>
      <c r="AG623">
        <v>11</v>
      </c>
      <c r="AH623">
        <v>2</v>
      </c>
      <c r="AI623">
        <v>2</v>
      </c>
      <c r="AJ623">
        <v>0</v>
      </c>
      <c r="AK623">
        <v>0</v>
      </c>
      <c r="AL623" t="s">
        <v>11102</v>
      </c>
      <c r="AM623" t="s">
        <v>11103</v>
      </c>
      <c r="AN623" t="s">
        <v>11104</v>
      </c>
      <c r="AO623" t="s">
        <v>11105</v>
      </c>
      <c r="AP623" t="s">
        <v>74</v>
      </c>
      <c r="AQ623" t="s">
        <v>11106</v>
      </c>
      <c r="AR623" t="s">
        <v>11107</v>
      </c>
      <c r="AS623" t="s">
        <v>74</v>
      </c>
      <c r="AT623" t="s">
        <v>74</v>
      </c>
      <c r="AU623">
        <v>2009</v>
      </c>
      <c r="AV623">
        <v>40</v>
      </c>
      <c r="AW623" t="s">
        <v>74</v>
      </c>
      <c r="AX623" t="s">
        <v>74</v>
      </c>
      <c r="AY623" t="s">
        <v>74</v>
      </c>
      <c r="AZ623" t="s">
        <v>74</v>
      </c>
      <c r="BA623" t="s">
        <v>74</v>
      </c>
      <c r="BB623">
        <v>235</v>
      </c>
      <c r="BC623">
        <v>243</v>
      </c>
      <c r="BD623" t="s">
        <v>74</v>
      </c>
      <c r="BE623" t="s">
        <v>11281</v>
      </c>
      <c r="BF623" t="str">
        <f>HYPERLINK("http://dx.doi.org/10.1051/eas/1040034","http://dx.doi.org/10.1051/eas/1040034")</f>
        <v>http://dx.doi.org/10.1051/eas/1040034</v>
      </c>
      <c r="BG623" t="s">
        <v>74</v>
      </c>
      <c r="BH623" t="s">
        <v>74</v>
      </c>
      <c r="BI623">
        <v>9</v>
      </c>
      <c r="BJ623" t="s">
        <v>285</v>
      </c>
      <c r="BK623" t="s">
        <v>2457</v>
      </c>
      <c r="BL623" t="s">
        <v>285</v>
      </c>
      <c r="BM623" t="s">
        <v>11109</v>
      </c>
      <c r="BN623" t="s">
        <v>74</v>
      </c>
      <c r="BO623" t="s">
        <v>74</v>
      </c>
      <c r="BP623" t="s">
        <v>74</v>
      </c>
      <c r="BQ623" t="s">
        <v>74</v>
      </c>
      <c r="BR623" t="s">
        <v>103</v>
      </c>
      <c r="BS623" t="s">
        <v>11282</v>
      </c>
      <c r="BT623" t="str">
        <f>HYPERLINK("https%3A%2F%2Fwww.webofscience.com%2Fwos%2Fwoscc%2Ffull-record%2FWOS:000285825400034","View Full Record in Web of Science")</f>
        <v>View Full Record in Web of Science</v>
      </c>
    </row>
    <row r="624" spans="1:72" x14ac:dyDescent="0.15">
      <c r="A624" t="s">
        <v>2434</v>
      </c>
      <c r="B624" t="s">
        <v>11283</v>
      </c>
      <c r="C624" t="s">
        <v>74</v>
      </c>
      <c r="D624" t="s">
        <v>11088</v>
      </c>
      <c r="E624" t="s">
        <v>74</v>
      </c>
      <c r="F624" t="s">
        <v>11284</v>
      </c>
      <c r="G624" t="s">
        <v>74</v>
      </c>
      <c r="H624" t="s">
        <v>74</v>
      </c>
      <c r="I624" t="s">
        <v>11285</v>
      </c>
      <c r="J624" t="s">
        <v>11091</v>
      </c>
      <c r="K624" t="s">
        <v>11092</v>
      </c>
      <c r="L624" t="s">
        <v>74</v>
      </c>
      <c r="M624" t="s">
        <v>78</v>
      </c>
      <c r="N624" t="s">
        <v>2440</v>
      </c>
      <c r="O624" t="s">
        <v>11093</v>
      </c>
      <c r="P624" t="s">
        <v>11094</v>
      </c>
      <c r="Q624" t="s">
        <v>11095</v>
      </c>
      <c r="R624" t="s">
        <v>74</v>
      </c>
      <c r="S624" t="s">
        <v>74</v>
      </c>
      <c r="T624" t="s">
        <v>74</v>
      </c>
      <c r="U624" t="s">
        <v>11286</v>
      </c>
      <c r="V624" t="s">
        <v>11287</v>
      </c>
      <c r="W624" t="s">
        <v>11288</v>
      </c>
      <c r="X624" t="s">
        <v>11289</v>
      </c>
      <c r="Y624" t="s">
        <v>11290</v>
      </c>
      <c r="Z624" t="s">
        <v>74</v>
      </c>
      <c r="AA624" t="s">
        <v>74</v>
      </c>
      <c r="AB624" t="s">
        <v>74</v>
      </c>
      <c r="AC624" t="s">
        <v>74</v>
      </c>
      <c r="AD624" t="s">
        <v>74</v>
      </c>
      <c r="AE624" t="s">
        <v>74</v>
      </c>
      <c r="AF624" t="s">
        <v>74</v>
      </c>
      <c r="AG624">
        <v>5</v>
      </c>
      <c r="AH624">
        <v>0</v>
      </c>
      <c r="AI624">
        <v>0</v>
      </c>
      <c r="AJ624">
        <v>0</v>
      </c>
      <c r="AK624">
        <v>0</v>
      </c>
      <c r="AL624" t="s">
        <v>11102</v>
      </c>
      <c r="AM624" t="s">
        <v>11103</v>
      </c>
      <c r="AN624" t="s">
        <v>11104</v>
      </c>
      <c r="AO624" t="s">
        <v>11105</v>
      </c>
      <c r="AP624" t="s">
        <v>74</v>
      </c>
      <c r="AQ624" t="s">
        <v>11106</v>
      </c>
      <c r="AR624" t="s">
        <v>11107</v>
      </c>
      <c r="AS624" t="s">
        <v>74</v>
      </c>
      <c r="AT624" t="s">
        <v>74</v>
      </c>
      <c r="AU624">
        <v>2009</v>
      </c>
      <c r="AV624">
        <v>40</v>
      </c>
      <c r="AW624" t="s">
        <v>74</v>
      </c>
      <c r="AX624" t="s">
        <v>74</v>
      </c>
      <c r="AY624" t="s">
        <v>74</v>
      </c>
      <c r="AZ624" t="s">
        <v>74</v>
      </c>
      <c r="BA624" t="s">
        <v>74</v>
      </c>
      <c r="BB624">
        <v>251</v>
      </c>
      <c r="BC624" t="s">
        <v>10944</v>
      </c>
      <c r="BD624" t="s">
        <v>74</v>
      </c>
      <c r="BE624" t="s">
        <v>11291</v>
      </c>
      <c r="BF624" t="str">
        <f>HYPERLINK("http://dx.doi.org/10.1051/eas/1040036","http://dx.doi.org/10.1051/eas/1040036")</f>
        <v>http://dx.doi.org/10.1051/eas/1040036</v>
      </c>
      <c r="BG624" t="s">
        <v>74</v>
      </c>
      <c r="BH624" t="s">
        <v>74</v>
      </c>
      <c r="BI624">
        <v>2</v>
      </c>
      <c r="BJ624" t="s">
        <v>285</v>
      </c>
      <c r="BK624" t="s">
        <v>2457</v>
      </c>
      <c r="BL624" t="s">
        <v>285</v>
      </c>
      <c r="BM624" t="s">
        <v>11109</v>
      </c>
      <c r="BN624" t="s">
        <v>74</v>
      </c>
      <c r="BO624" t="s">
        <v>1106</v>
      </c>
      <c r="BP624" t="s">
        <v>74</v>
      </c>
      <c r="BQ624" t="s">
        <v>74</v>
      </c>
      <c r="BR624" t="s">
        <v>103</v>
      </c>
      <c r="BS624" t="s">
        <v>11292</v>
      </c>
      <c r="BT624" t="str">
        <f>HYPERLINK("https%3A%2F%2Fwww.webofscience.com%2Fwos%2Fwoscc%2Ffull-record%2FWOS:000285825400036","View Full Record in Web of Science")</f>
        <v>View Full Record in Web of Science</v>
      </c>
    </row>
    <row r="625" spans="1:72" x14ac:dyDescent="0.15">
      <c r="A625" t="s">
        <v>2434</v>
      </c>
      <c r="B625" t="s">
        <v>11293</v>
      </c>
      <c r="C625" t="s">
        <v>74</v>
      </c>
      <c r="D625" t="s">
        <v>11088</v>
      </c>
      <c r="E625" t="s">
        <v>74</v>
      </c>
      <c r="F625" t="s">
        <v>11294</v>
      </c>
      <c r="G625" t="s">
        <v>74</v>
      </c>
      <c r="H625" t="s">
        <v>74</v>
      </c>
      <c r="I625" t="s">
        <v>11295</v>
      </c>
      <c r="J625" t="s">
        <v>11091</v>
      </c>
      <c r="K625" t="s">
        <v>11092</v>
      </c>
      <c r="L625" t="s">
        <v>74</v>
      </c>
      <c r="M625" t="s">
        <v>78</v>
      </c>
      <c r="N625" t="s">
        <v>2440</v>
      </c>
      <c r="O625" t="s">
        <v>11093</v>
      </c>
      <c r="P625" t="s">
        <v>11094</v>
      </c>
      <c r="Q625" t="s">
        <v>11095</v>
      </c>
      <c r="R625" t="s">
        <v>74</v>
      </c>
      <c r="S625" t="s">
        <v>74</v>
      </c>
      <c r="T625" t="s">
        <v>74</v>
      </c>
      <c r="U625" t="s">
        <v>11296</v>
      </c>
      <c r="V625" t="s">
        <v>11297</v>
      </c>
      <c r="W625" t="s">
        <v>11298</v>
      </c>
      <c r="X625" t="s">
        <v>8190</v>
      </c>
      <c r="Y625" t="s">
        <v>11299</v>
      </c>
      <c r="Z625" t="s">
        <v>74</v>
      </c>
      <c r="AA625" t="s">
        <v>74</v>
      </c>
      <c r="AB625" t="s">
        <v>11300</v>
      </c>
      <c r="AC625" t="s">
        <v>74</v>
      </c>
      <c r="AD625" t="s">
        <v>74</v>
      </c>
      <c r="AE625" t="s">
        <v>74</v>
      </c>
      <c r="AF625" t="s">
        <v>74</v>
      </c>
      <c r="AG625">
        <v>4</v>
      </c>
      <c r="AH625">
        <v>0</v>
      </c>
      <c r="AI625">
        <v>0</v>
      </c>
      <c r="AJ625">
        <v>0</v>
      </c>
      <c r="AK625">
        <v>0</v>
      </c>
      <c r="AL625" t="s">
        <v>11102</v>
      </c>
      <c r="AM625" t="s">
        <v>11103</v>
      </c>
      <c r="AN625" t="s">
        <v>11104</v>
      </c>
      <c r="AO625" t="s">
        <v>11105</v>
      </c>
      <c r="AP625" t="s">
        <v>74</v>
      </c>
      <c r="AQ625" t="s">
        <v>11106</v>
      </c>
      <c r="AR625" t="s">
        <v>11107</v>
      </c>
      <c r="AS625" t="s">
        <v>74</v>
      </c>
      <c r="AT625" t="s">
        <v>74</v>
      </c>
      <c r="AU625">
        <v>2009</v>
      </c>
      <c r="AV625">
        <v>40</v>
      </c>
      <c r="AW625" t="s">
        <v>74</v>
      </c>
      <c r="AX625" t="s">
        <v>74</v>
      </c>
      <c r="AY625" t="s">
        <v>74</v>
      </c>
      <c r="AZ625" t="s">
        <v>74</v>
      </c>
      <c r="BA625" t="s">
        <v>74</v>
      </c>
      <c r="BB625">
        <v>257</v>
      </c>
      <c r="BC625">
        <v>262</v>
      </c>
      <c r="BD625" t="s">
        <v>74</v>
      </c>
      <c r="BE625" t="s">
        <v>11301</v>
      </c>
      <c r="BF625" t="str">
        <f>HYPERLINK("http://dx.doi.org/10.1051/eas/1040037","http://dx.doi.org/10.1051/eas/1040037")</f>
        <v>http://dx.doi.org/10.1051/eas/1040037</v>
      </c>
      <c r="BG625" t="s">
        <v>74</v>
      </c>
      <c r="BH625" t="s">
        <v>74</v>
      </c>
      <c r="BI625">
        <v>6</v>
      </c>
      <c r="BJ625" t="s">
        <v>285</v>
      </c>
      <c r="BK625" t="s">
        <v>2457</v>
      </c>
      <c r="BL625" t="s">
        <v>285</v>
      </c>
      <c r="BM625" t="s">
        <v>11109</v>
      </c>
      <c r="BN625" t="s">
        <v>74</v>
      </c>
      <c r="BO625" t="s">
        <v>1106</v>
      </c>
      <c r="BP625" t="s">
        <v>74</v>
      </c>
      <c r="BQ625" t="s">
        <v>74</v>
      </c>
      <c r="BR625" t="s">
        <v>103</v>
      </c>
      <c r="BS625" t="s">
        <v>11302</v>
      </c>
      <c r="BT625" t="str">
        <f>HYPERLINK("https%3A%2F%2Fwww.webofscience.com%2Fwos%2Fwoscc%2Ffull-record%2FWOS:000285825400037","View Full Record in Web of Science")</f>
        <v>View Full Record in Web of Science</v>
      </c>
    </row>
    <row r="626" spans="1:72" x14ac:dyDescent="0.15">
      <c r="A626" t="s">
        <v>2434</v>
      </c>
      <c r="B626" t="s">
        <v>11303</v>
      </c>
      <c r="C626" t="s">
        <v>74</v>
      </c>
      <c r="D626" t="s">
        <v>11088</v>
      </c>
      <c r="E626" t="s">
        <v>74</v>
      </c>
      <c r="F626" t="s">
        <v>11304</v>
      </c>
      <c r="G626" t="s">
        <v>74</v>
      </c>
      <c r="H626" t="s">
        <v>74</v>
      </c>
      <c r="I626" t="s">
        <v>11305</v>
      </c>
      <c r="J626" t="s">
        <v>11091</v>
      </c>
      <c r="K626" t="s">
        <v>11092</v>
      </c>
      <c r="L626" t="s">
        <v>74</v>
      </c>
      <c r="M626" t="s">
        <v>78</v>
      </c>
      <c r="N626" t="s">
        <v>2440</v>
      </c>
      <c r="O626" t="s">
        <v>11093</v>
      </c>
      <c r="P626" t="s">
        <v>11094</v>
      </c>
      <c r="Q626" t="s">
        <v>11095</v>
      </c>
      <c r="R626" t="s">
        <v>74</v>
      </c>
      <c r="S626" t="s">
        <v>74</v>
      </c>
      <c r="T626" t="s">
        <v>74</v>
      </c>
      <c r="U626" t="s">
        <v>74</v>
      </c>
      <c r="V626" t="s">
        <v>11306</v>
      </c>
      <c r="W626" t="s">
        <v>11307</v>
      </c>
      <c r="X626" t="s">
        <v>11308</v>
      </c>
      <c r="Y626" t="s">
        <v>11309</v>
      </c>
      <c r="Z626" t="s">
        <v>74</v>
      </c>
      <c r="AA626" t="s">
        <v>11310</v>
      </c>
      <c r="AB626" t="s">
        <v>11311</v>
      </c>
      <c r="AC626" t="s">
        <v>11312</v>
      </c>
      <c r="AD626" t="s">
        <v>11313</v>
      </c>
      <c r="AE626" t="s">
        <v>11314</v>
      </c>
      <c r="AF626" t="s">
        <v>74</v>
      </c>
      <c r="AG626">
        <v>0</v>
      </c>
      <c r="AH626">
        <v>2</v>
      </c>
      <c r="AI626">
        <v>2</v>
      </c>
      <c r="AJ626">
        <v>0</v>
      </c>
      <c r="AK626">
        <v>1</v>
      </c>
      <c r="AL626" t="s">
        <v>11102</v>
      </c>
      <c r="AM626" t="s">
        <v>11103</v>
      </c>
      <c r="AN626" t="s">
        <v>11104</v>
      </c>
      <c r="AO626" t="s">
        <v>11105</v>
      </c>
      <c r="AP626" t="s">
        <v>74</v>
      </c>
      <c r="AQ626" t="s">
        <v>11106</v>
      </c>
      <c r="AR626" t="s">
        <v>11107</v>
      </c>
      <c r="AS626" t="s">
        <v>74</v>
      </c>
      <c r="AT626" t="s">
        <v>74</v>
      </c>
      <c r="AU626">
        <v>2009</v>
      </c>
      <c r="AV626">
        <v>40</v>
      </c>
      <c r="AW626" t="s">
        <v>74</v>
      </c>
      <c r="AX626" t="s">
        <v>74</v>
      </c>
      <c r="AY626" t="s">
        <v>74</v>
      </c>
      <c r="AZ626" t="s">
        <v>74</v>
      </c>
      <c r="BA626" t="s">
        <v>74</v>
      </c>
      <c r="BB626">
        <v>269</v>
      </c>
      <c r="BC626" t="s">
        <v>10944</v>
      </c>
      <c r="BD626" t="s">
        <v>74</v>
      </c>
      <c r="BE626" t="s">
        <v>11315</v>
      </c>
      <c r="BF626" t="str">
        <f>HYPERLINK("http://dx.doi.org/10.1051/eas/1040039","http://dx.doi.org/10.1051/eas/1040039")</f>
        <v>http://dx.doi.org/10.1051/eas/1040039</v>
      </c>
      <c r="BG626" t="s">
        <v>74</v>
      </c>
      <c r="BH626" t="s">
        <v>74</v>
      </c>
      <c r="BI626">
        <v>2</v>
      </c>
      <c r="BJ626" t="s">
        <v>285</v>
      </c>
      <c r="BK626" t="s">
        <v>2457</v>
      </c>
      <c r="BL626" t="s">
        <v>285</v>
      </c>
      <c r="BM626" t="s">
        <v>11109</v>
      </c>
      <c r="BN626" t="s">
        <v>74</v>
      </c>
      <c r="BO626" t="s">
        <v>74</v>
      </c>
      <c r="BP626" t="s">
        <v>74</v>
      </c>
      <c r="BQ626" t="s">
        <v>74</v>
      </c>
      <c r="BR626" t="s">
        <v>103</v>
      </c>
      <c r="BS626" t="s">
        <v>11316</v>
      </c>
      <c r="BT626" t="str">
        <f>HYPERLINK("https%3A%2F%2Fwww.webofscience.com%2Fwos%2Fwoscc%2Ffull-record%2FWOS:000285825400039","View Full Record in Web of Science")</f>
        <v>View Full Record in Web of Science</v>
      </c>
    </row>
    <row r="627" spans="1:72" x14ac:dyDescent="0.15">
      <c r="A627" t="s">
        <v>2434</v>
      </c>
      <c r="B627" t="s">
        <v>11317</v>
      </c>
      <c r="C627" t="s">
        <v>74</v>
      </c>
      <c r="D627" t="s">
        <v>11088</v>
      </c>
      <c r="E627" t="s">
        <v>74</v>
      </c>
      <c r="F627" t="s">
        <v>11318</v>
      </c>
      <c r="G627" t="s">
        <v>74</v>
      </c>
      <c r="H627" t="s">
        <v>74</v>
      </c>
      <c r="I627" t="s">
        <v>11319</v>
      </c>
      <c r="J627" t="s">
        <v>11091</v>
      </c>
      <c r="K627" t="s">
        <v>11092</v>
      </c>
      <c r="L627" t="s">
        <v>74</v>
      </c>
      <c r="M627" t="s">
        <v>78</v>
      </c>
      <c r="N627" t="s">
        <v>2440</v>
      </c>
      <c r="O627" t="s">
        <v>11093</v>
      </c>
      <c r="P627" t="s">
        <v>11094</v>
      </c>
      <c r="Q627" t="s">
        <v>11095</v>
      </c>
      <c r="R627" t="s">
        <v>74</v>
      </c>
      <c r="S627" t="s">
        <v>74</v>
      </c>
      <c r="T627" t="s">
        <v>74</v>
      </c>
      <c r="U627" t="s">
        <v>74</v>
      </c>
      <c r="V627" t="s">
        <v>11320</v>
      </c>
      <c r="W627" t="s">
        <v>11321</v>
      </c>
      <c r="X627" t="s">
        <v>11322</v>
      </c>
      <c r="Y627" t="s">
        <v>11323</v>
      </c>
      <c r="Z627" t="s">
        <v>74</v>
      </c>
      <c r="AA627" t="s">
        <v>11324</v>
      </c>
      <c r="AB627" t="s">
        <v>11325</v>
      </c>
      <c r="AC627" t="s">
        <v>74</v>
      </c>
      <c r="AD627" t="s">
        <v>74</v>
      </c>
      <c r="AE627" t="s">
        <v>74</v>
      </c>
      <c r="AF627" t="s">
        <v>74</v>
      </c>
      <c r="AG627">
        <v>7</v>
      </c>
      <c r="AH627">
        <v>0</v>
      </c>
      <c r="AI627">
        <v>0</v>
      </c>
      <c r="AJ627">
        <v>0</v>
      </c>
      <c r="AK627">
        <v>2</v>
      </c>
      <c r="AL627" t="s">
        <v>11102</v>
      </c>
      <c r="AM627" t="s">
        <v>11103</v>
      </c>
      <c r="AN627" t="s">
        <v>11104</v>
      </c>
      <c r="AO627" t="s">
        <v>11105</v>
      </c>
      <c r="AP627" t="s">
        <v>74</v>
      </c>
      <c r="AQ627" t="s">
        <v>11106</v>
      </c>
      <c r="AR627" t="s">
        <v>11107</v>
      </c>
      <c r="AS627" t="s">
        <v>74</v>
      </c>
      <c r="AT627" t="s">
        <v>74</v>
      </c>
      <c r="AU627">
        <v>2009</v>
      </c>
      <c r="AV627">
        <v>40</v>
      </c>
      <c r="AW627" t="s">
        <v>74</v>
      </c>
      <c r="AX627" t="s">
        <v>74</v>
      </c>
      <c r="AY627" t="s">
        <v>74</v>
      </c>
      <c r="AZ627" t="s">
        <v>74</v>
      </c>
      <c r="BA627" t="s">
        <v>74</v>
      </c>
      <c r="BB627">
        <v>275</v>
      </c>
      <c r="BC627" t="s">
        <v>10944</v>
      </c>
      <c r="BD627" t="s">
        <v>74</v>
      </c>
      <c r="BE627" t="s">
        <v>11326</v>
      </c>
      <c r="BF627" t="str">
        <f>HYPERLINK("http://dx.doi.org/10.1051/eas/1040040","http://dx.doi.org/10.1051/eas/1040040")</f>
        <v>http://dx.doi.org/10.1051/eas/1040040</v>
      </c>
      <c r="BG627" t="s">
        <v>74</v>
      </c>
      <c r="BH627" t="s">
        <v>74</v>
      </c>
      <c r="BI627">
        <v>2</v>
      </c>
      <c r="BJ627" t="s">
        <v>285</v>
      </c>
      <c r="BK627" t="s">
        <v>2457</v>
      </c>
      <c r="BL627" t="s">
        <v>285</v>
      </c>
      <c r="BM627" t="s">
        <v>11109</v>
      </c>
      <c r="BN627" t="s">
        <v>74</v>
      </c>
      <c r="BO627" t="s">
        <v>74</v>
      </c>
      <c r="BP627" t="s">
        <v>74</v>
      </c>
      <c r="BQ627" t="s">
        <v>74</v>
      </c>
      <c r="BR627" t="s">
        <v>103</v>
      </c>
      <c r="BS627" t="s">
        <v>11327</v>
      </c>
      <c r="BT627" t="str">
        <f>HYPERLINK("https%3A%2F%2Fwww.webofscience.com%2Fwos%2Fwoscc%2Ffull-record%2FWOS:000285825400040","View Full Record in Web of Science")</f>
        <v>View Full Record in Web of Science</v>
      </c>
    </row>
    <row r="628" spans="1:72" x14ac:dyDescent="0.15">
      <c r="A628" t="s">
        <v>2434</v>
      </c>
      <c r="B628" t="s">
        <v>11328</v>
      </c>
      <c r="C628" t="s">
        <v>74</v>
      </c>
      <c r="D628" t="s">
        <v>11088</v>
      </c>
      <c r="E628" t="s">
        <v>74</v>
      </c>
      <c r="F628" t="s">
        <v>11329</v>
      </c>
      <c r="G628" t="s">
        <v>74</v>
      </c>
      <c r="H628" t="s">
        <v>74</v>
      </c>
      <c r="I628" t="s">
        <v>11330</v>
      </c>
      <c r="J628" t="s">
        <v>11091</v>
      </c>
      <c r="K628" t="s">
        <v>11092</v>
      </c>
      <c r="L628" t="s">
        <v>74</v>
      </c>
      <c r="M628" t="s">
        <v>78</v>
      </c>
      <c r="N628" t="s">
        <v>2440</v>
      </c>
      <c r="O628" t="s">
        <v>11093</v>
      </c>
      <c r="P628" t="s">
        <v>11094</v>
      </c>
      <c r="Q628" t="s">
        <v>11095</v>
      </c>
      <c r="R628" t="s">
        <v>74</v>
      </c>
      <c r="S628" t="s">
        <v>74</v>
      </c>
      <c r="T628" t="s">
        <v>74</v>
      </c>
      <c r="U628" t="s">
        <v>11331</v>
      </c>
      <c r="V628" t="s">
        <v>11332</v>
      </c>
      <c r="W628" t="s">
        <v>11333</v>
      </c>
      <c r="X628" t="s">
        <v>11334</v>
      </c>
      <c r="Y628" t="s">
        <v>11335</v>
      </c>
      <c r="Z628" t="s">
        <v>74</v>
      </c>
      <c r="AA628" t="s">
        <v>74</v>
      </c>
      <c r="AB628" t="s">
        <v>74</v>
      </c>
      <c r="AC628" t="s">
        <v>74</v>
      </c>
      <c r="AD628" t="s">
        <v>74</v>
      </c>
      <c r="AE628" t="s">
        <v>74</v>
      </c>
      <c r="AF628" t="s">
        <v>74</v>
      </c>
      <c r="AG628">
        <v>19</v>
      </c>
      <c r="AH628">
        <v>2</v>
      </c>
      <c r="AI628">
        <v>2</v>
      </c>
      <c r="AJ628">
        <v>0</v>
      </c>
      <c r="AK628">
        <v>0</v>
      </c>
      <c r="AL628" t="s">
        <v>11102</v>
      </c>
      <c r="AM628" t="s">
        <v>11103</v>
      </c>
      <c r="AN628" t="s">
        <v>11104</v>
      </c>
      <c r="AO628" t="s">
        <v>11105</v>
      </c>
      <c r="AP628" t="s">
        <v>74</v>
      </c>
      <c r="AQ628" t="s">
        <v>11106</v>
      </c>
      <c r="AR628" t="s">
        <v>11107</v>
      </c>
      <c r="AS628" t="s">
        <v>74</v>
      </c>
      <c r="AT628" t="s">
        <v>74</v>
      </c>
      <c r="AU628">
        <v>2009</v>
      </c>
      <c r="AV628">
        <v>40</v>
      </c>
      <c r="AW628" t="s">
        <v>74</v>
      </c>
      <c r="AX628" t="s">
        <v>74</v>
      </c>
      <c r="AY628" t="s">
        <v>74</v>
      </c>
      <c r="AZ628" t="s">
        <v>74</v>
      </c>
      <c r="BA628" t="s">
        <v>74</v>
      </c>
      <c r="BB628">
        <v>289</v>
      </c>
      <c r="BC628">
        <v>298</v>
      </c>
      <c r="BD628" t="s">
        <v>74</v>
      </c>
      <c r="BE628" t="s">
        <v>11336</v>
      </c>
      <c r="BF628" t="str">
        <f>HYPERLINK("http://dx.doi.org/10.1051/eas/1040042","http://dx.doi.org/10.1051/eas/1040042")</f>
        <v>http://dx.doi.org/10.1051/eas/1040042</v>
      </c>
      <c r="BG628" t="s">
        <v>74</v>
      </c>
      <c r="BH628" t="s">
        <v>74</v>
      </c>
      <c r="BI628">
        <v>10</v>
      </c>
      <c r="BJ628" t="s">
        <v>285</v>
      </c>
      <c r="BK628" t="s">
        <v>2457</v>
      </c>
      <c r="BL628" t="s">
        <v>285</v>
      </c>
      <c r="BM628" t="s">
        <v>11109</v>
      </c>
      <c r="BN628" t="s">
        <v>74</v>
      </c>
      <c r="BO628" t="s">
        <v>74</v>
      </c>
      <c r="BP628" t="s">
        <v>74</v>
      </c>
      <c r="BQ628" t="s">
        <v>74</v>
      </c>
      <c r="BR628" t="s">
        <v>103</v>
      </c>
      <c r="BS628" t="s">
        <v>11337</v>
      </c>
      <c r="BT628" t="str">
        <f>HYPERLINK("https%3A%2F%2Fwww.webofscience.com%2Fwos%2Fwoscc%2Ffull-record%2FWOS:000285825400042","View Full Record in Web of Science")</f>
        <v>View Full Record in Web of Science</v>
      </c>
    </row>
    <row r="629" spans="1:72" x14ac:dyDescent="0.15">
      <c r="A629" t="s">
        <v>2434</v>
      </c>
      <c r="B629" t="s">
        <v>11338</v>
      </c>
      <c r="C629" t="s">
        <v>74</v>
      </c>
      <c r="D629" t="s">
        <v>11088</v>
      </c>
      <c r="E629" t="s">
        <v>74</v>
      </c>
      <c r="F629" t="s">
        <v>11339</v>
      </c>
      <c r="G629" t="s">
        <v>74</v>
      </c>
      <c r="H629" t="s">
        <v>74</v>
      </c>
      <c r="I629" t="s">
        <v>11340</v>
      </c>
      <c r="J629" t="s">
        <v>11091</v>
      </c>
      <c r="K629" t="s">
        <v>11092</v>
      </c>
      <c r="L629" t="s">
        <v>74</v>
      </c>
      <c r="M629" t="s">
        <v>78</v>
      </c>
      <c r="N629" t="s">
        <v>2440</v>
      </c>
      <c r="O629" t="s">
        <v>11093</v>
      </c>
      <c r="P629" t="s">
        <v>11094</v>
      </c>
      <c r="Q629" t="s">
        <v>11095</v>
      </c>
      <c r="R629" t="s">
        <v>74</v>
      </c>
      <c r="S629" t="s">
        <v>74</v>
      </c>
      <c r="T629" t="s">
        <v>74</v>
      </c>
      <c r="U629" t="s">
        <v>74</v>
      </c>
      <c r="V629" t="s">
        <v>11341</v>
      </c>
      <c r="W629" t="s">
        <v>11342</v>
      </c>
      <c r="X629" t="s">
        <v>11343</v>
      </c>
      <c r="Y629" t="s">
        <v>11344</v>
      </c>
      <c r="Z629" t="s">
        <v>74</v>
      </c>
      <c r="AA629" t="s">
        <v>11345</v>
      </c>
      <c r="AB629" t="s">
        <v>11346</v>
      </c>
      <c r="AC629" t="s">
        <v>74</v>
      </c>
      <c r="AD629" t="s">
        <v>74</v>
      </c>
      <c r="AE629" t="s">
        <v>74</v>
      </c>
      <c r="AF629" t="s">
        <v>74</v>
      </c>
      <c r="AG629">
        <v>4</v>
      </c>
      <c r="AH629">
        <v>1</v>
      </c>
      <c r="AI629">
        <v>1</v>
      </c>
      <c r="AJ629">
        <v>0</v>
      </c>
      <c r="AK629">
        <v>0</v>
      </c>
      <c r="AL629" t="s">
        <v>11102</v>
      </c>
      <c r="AM629" t="s">
        <v>11103</v>
      </c>
      <c r="AN629" t="s">
        <v>11104</v>
      </c>
      <c r="AO629" t="s">
        <v>11105</v>
      </c>
      <c r="AP629" t="s">
        <v>74</v>
      </c>
      <c r="AQ629" t="s">
        <v>11106</v>
      </c>
      <c r="AR629" t="s">
        <v>11107</v>
      </c>
      <c r="AS629" t="s">
        <v>74</v>
      </c>
      <c r="AT629" t="s">
        <v>74</v>
      </c>
      <c r="AU629">
        <v>2009</v>
      </c>
      <c r="AV629">
        <v>40</v>
      </c>
      <c r="AW629" t="s">
        <v>74</v>
      </c>
      <c r="AX629" t="s">
        <v>74</v>
      </c>
      <c r="AY629" t="s">
        <v>74</v>
      </c>
      <c r="AZ629" t="s">
        <v>74</v>
      </c>
      <c r="BA629" t="s">
        <v>74</v>
      </c>
      <c r="BB629">
        <v>333</v>
      </c>
      <c r="BC629" t="s">
        <v>10944</v>
      </c>
      <c r="BD629" t="s">
        <v>74</v>
      </c>
      <c r="BE629" t="s">
        <v>11347</v>
      </c>
      <c r="BF629" t="str">
        <f>HYPERLINK("http://dx.doi.org/10.1051/eas/1040047","http://dx.doi.org/10.1051/eas/1040047")</f>
        <v>http://dx.doi.org/10.1051/eas/1040047</v>
      </c>
      <c r="BG629" t="s">
        <v>74</v>
      </c>
      <c r="BH629" t="s">
        <v>74</v>
      </c>
      <c r="BI629">
        <v>2</v>
      </c>
      <c r="BJ629" t="s">
        <v>285</v>
      </c>
      <c r="BK629" t="s">
        <v>2457</v>
      </c>
      <c r="BL629" t="s">
        <v>285</v>
      </c>
      <c r="BM629" t="s">
        <v>11109</v>
      </c>
      <c r="BN629" t="s">
        <v>74</v>
      </c>
      <c r="BO629" t="s">
        <v>74</v>
      </c>
      <c r="BP629" t="s">
        <v>74</v>
      </c>
      <c r="BQ629" t="s">
        <v>74</v>
      </c>
      <c r="BR629" t="s">
        <v>103</v>
      </c>
      <c r="BS629" t="s">
        <v>11348</v>
      </c>
      <c r="BT629" t="str">
        <f>HYPERLINK("https%3A%2F%2Fwww.webofscience.com%2Fwos%2Fwoscc%2Ffull-record%2FWOS:000285825400047","View Full Record in Web of Science")</f>
        <v>View Full Record in Web of Science</v>
      </c>
    </row>
    <row r="630" spans="1:72" x14ac:dyDescent="0.15">
      <c r="A630" t="s">
        <v>2434</v>
      </c>
      <c r="B630" t="s">
        <v>11349</v>
      </c>
      <c r="C630" t="s">
        <v>74</v>
      </c>
      <c r="D630" t="s">
        <v>11088</v>
      </c>
      <c r="E630" t="s">
        <v>74</v>
      </c>
      <c r="F630" t="s">
        <v>11350</v>
      </c>
      <c r="G630" t="s">
        <v>74</v>
      </c>
      <c r="H630" t="s">
        <v>74</v>
      </c>
      <c r="I630" t="s">
        <v>11351</v>
      </c>
      <c r="J630" t="s">
        <v>11091</v>
      </c>
      <c r="K630" t="s">
        <v>11092</v>
      </c>
      <c r="L630" t="s">
        <v>74</v>
      </c>
      <c r="M630" t="s">
        <v>78</v>
      </c>
      <c r="N630" t="s">
        <v>2440</v>
      </c>
      <c r="O630" t="s">
        <v>11093</v>
      </c>
      <c r="P630" t="s">
        <v>11094</v>
      </c>
      <c r="Q630" t="s">
        <v>11095</v>
      </c>
      <c r="R630" t="s">
        <v>74</v>
      </c>
      <c r="S630" t="s">
        <v>74</v>
      </c>
      <c r="T630" t="s">
        <v>74</v>
      </c>
      <c r="U630" t="s">
        <v>74</v>
      </c>
      <c r="V630" t="s">
        <v>11352</v>
      </c>
      <c r="W630" t="s">
        <v>11353</v>
      </c>
      <c r="X630" t="s">
        <v>74</v>
      </c>
      <c r="Y630" t="s">
        <v>11354</v>
      </c>
      <c r="Z630" t="s">
        <v>74</v>
      </c>
      <c r="AA630" t="s">
        <v>74</v>
      </c>
      <c r="AB630" t="s">
        <v>74</v>
      </c>
      <c r="AC630" t="s">
        <v>74</v>
      </c>
      <c r="AD630" t="s">
        <v>74</v>
      </c>
      <c r="AE630" t="s">
        <v>74</v>
      </c>
      <c r="AF630" t="s">
        <v>74</v>
      </c>
      <c r="AG630">
        <v>0</v>
      </c>
      <c r="AH630">
        <v>0</v>
      </c>
      <c r="AI630">
        <v>0</v>
      </c>
      <c r="AJ630">
        <v>0</v>
      </c>
      <c r="AK630">
        <v>0</v>
      </c>
      <c r="AL630" t="s">
        <v>11102</v>
      </c>
      <c r="AM630" t="s">
        <v>11103</v>
      </c>
      <c r="AN630" t="s">
        <v>11104</v>
      </c>
      <c r="AO630" t="s">
        <v>11105</v>
      </c>
      <c r="AP630" t="s">
        <v>74</v>
      </c>
      <c r="AQ630" t="s">
        <v>11106</v>
      </c>
      <c r="AR630" t="s">
        <v>11107</v>
      </c>
      <c r="AS630" t="s">
        <v>74</v>
      </c>
      <c r="AT630" t="s">
        <v>74</v>
      </c>
      <c r="AU630">
        <v>2009</v>
      </c>
      <c r="AV630">
        <v>40</v>
      </c>
      <c r="AW630" t="s">
        <v>74</v>
      </c>
      <c r="AX630" t="s">
        <v>74</v>
      </c>
      <c r="AY630" t="s">
        <v>74</v>
      </c>
      <c r="AZ630" t="s">
        <v>74</v>
      </c>
      <c r="BA630" t="s">
        <v>74</v>
      </c>
      <c r="BB630">
        <v>337</v>
      </c>
      <c r="BC630">
        <v>345</v>
      </c>
      <c r="BD630" t="s">
        <v>74</v>
      </c>
      <c r="BE630" t="s">
        <v>11355</v>
      </c>
      <c r="BF630" t="str">
        <f>HYPERLINK("http://dx.doi.org/10.1051/eas/1040048","http://dx.doi.org/10.1051/eas/1040048")</f>
        <v>http://dx.doi.org/10.1051/eas/1040048</v>
      </c>
      <c r="BG630" t="s">
        <v>74</v>
      </c>
      <c r="BH630" t="s">
        <v>74</v>
      </c>
      <c r="BI630">
        <v>9</v>
      </c>
      <c r="BJ630" t="s">
        <v>285</v>
      </c>
      <c r="BK630" t="s">
        <v>2457</v>
      </c>
      <c r="BL630" t="s">
        <v>285</v>
      </c>
      <c r="BM630" t="s">
        <v>11109</v>
      </c>
      <c r="BN630" t="s">
        <v>74</v>
      </c>
      <c r="BO630" t="s">
        <v>74</v>
      </c>
      <c r="BP630" t="s">
        <v>74</v>
      </c>
      <c r="BQ630" t="s">
        <v>74</v>
      </c>
      <c r="BR630" t="s">
        <v>103</v>
      </c>
      <c r="BS630" t="s">
        <v>11356</v>
      </c>
      <c r="BT630" t="str">
        <f>HYPERLINK("https%3A%2F%2Fwww.webofscience.com%2Fwos%2Fwoscc%2Ffull-record%2FWOS:000285825400048","View Full Record in Web of Science")</f>
        <v>View Full Record in Web of Science</v>
      </c>
    </row>
    <row r="631" spans="1:72" x14ac:dyDescent="0.15">
      <c r="A631" t="s">
        <v>2434</v>
      </c>
      <c r="B631" t="s">
        <v>11357</v>
      </c>
      <c r="C631" t="s">
        <v>74</v>
      </c>
      <c r="D631" t="s">
        <v>11088</v>
      </c>
      <c r="E631" t="s">
        <v>74</v>
      </c>
      <c r="F631" t="s">
        <v>11358</v>
      </c>
      <c r="G631" t="s">
        <v>74</v>
      </c>
      <c r="H631" t="s">
        <v>11359</v>
      </c>
      <c r="I631" t="s">
        <v>11360</v>
      </c>
      <c r="J631" t="s">
        <v>11091</v>
      </c>
      <c r="K631" t="s">
        <v>11092</v>
      </c>
      <c r="L631" t="s">
        <v>74</v>
      </c>
      <c r="M631" t="s">
        <v>78</v>
      </c>
      <c r="N631" t="s">
        <v>2440</v>
      </c>
      <c r="O631" t="s">
        <v>11093</v>
      </c>
      <c r="P631" t="s">
        <v>11094</v>
      </c>
      <c r="Q631" t="s">
        <v>11095</v>
      </c>
      <c r="R631" t="s">
        <v>74</v>
      </c>
      <c r="S631" t="s">
        <v>74</v>
      </c>
      <c r="T631" t="s">
        <v>74</v>
      </c>
      <c r="U631" t="s">
        <v>74</v>
      </c>
      <c r="V631" t="s">
        <v>11361</v>
      </c>
      <c r="W631" t="s">
        <v>11362</v>
      </c>
      <c r="X631" t="s">
        <v>11363</v>
      </c>
      <c r="Y631" t="s">
        <v>11364</v>
      </c>
      <c r="Z631" t="s">
        <v>74</v>
      </c>
      <c r="AA631" t="s">
        <v>11365</v>
      </c>
      <c r="AB631" t="s">
        <v>11366</v>
      </c>
      <c r="AC631" t="s">
        <v>11367</v>
      </c>
      <c r="AD631" t="s">
        <v>11368</v>
      </c>
      <c r="AE631" t="s">
        <v>11369</v>
      </c>
      <c r="AF631" t="s">
        <v>74</v>
      </c>
      <c r="AG631">
        <v>6</v>
      </c>
      <c r="AH631">
        <v>2</v>
      </c>
      <c r="AI631">
        <v>2</v>
      </c>
      <c r="AJ631">
        <v>0</v>
      </c>
      <c r="AK631">
        <v>0</v>
      </c>
      <c r="AL631" t="s">
        <v>11102</v>
      </c>
      <c r="AM631" t="s">
        <v>11103</v>
      </c>
      <c r="AN631" t="s">
        <v>11104</v>
      </c>
      <c r="AO631" t="s">
        <v>11105</v>
      </c>
      <c r="AP631" t="s">
        <v>74</v>
      </c>
      <c r="AQ631" t="s">
        <v>11106</v>
      </c>
      <c r="AR631" t="s">
        <v>11107</v>
      </c>
      <c r="AS631" t="s">
        <v>74</v>
      </c>
      <c r="AT631" t="s">
        <v>74</v>
      </c>
      <c r="AU631">
        <v>2009</v>
      </c>
      <c r="AV631">
        <v>40</v>
      </c>
      <c r="AW631" t="s">
        <v>74</v>
      </c>
      <c r="AX631" t="s">
        <v>74</v>
      </c>
      <c r="AY631" t="s">
        <v>74</v>
      </c>
      <c r="AZ631" t="s">
        <v>74</v>
      </c>
      <c r="BA631" t="s">
        <v>74</v>
      </c>
      <c r="BB631">
        <v>367</v>
      </c>
      <c r="BC631" t="s">
        <v>10944</v>
      </c>
      <c r="BD631" t="s">
        <v>74</v>
      </c>
      <c r="BE631" t="s">
        <v>11370</v>
      </c>
      <c r="BF631" t="str">
        <f>HYPERLINK("http://dx.doi.org/10.1051/eas/1040051","http://dx.doi.org/10.1051/eas/1040051")</f>
        <v>http://dx.doi.org/10.1051/eas/1040051</v>
      </c>
      <c r="BG631" t="s">
        <v>74</v>
      </c>
      <c r="BH631" t="s">
        <v>74</v>
      </c>
      <c r="BI631">
        <v>2</v>
      </c>
      <c r="BJ631" t="s">
        <v>285</v>
      </c>
      <c r="BK631" t="s">
        <v>2457</v>
      </c>
      <c r="BL631" t="s">
        <v>285</v>
      </c>
      <c r="BM631" t="s">
        <v>11109</v>
      </c>
      <c r="BN631" t="s">
        <v>74</v>
      </c>
      <c r="BO631" t="s">
        <v>1106</v>
      </c>
      <c r="BP631" t="s">
        <v>74</v>
      </c>
      <c r="BQ631" t="s">
        <v>74</v>
      </c>
      <c r="BR631" t="s">
        <v>103</v>
      </c>
      <c r="BS631" t="s">
        <v>11371</v>
      </c>
      <c r="BT631" t="str">
        <f>HYPERLINK("https%3A%2F%2Fwww.webofscience.com%2Fwos%2Fwoscc%2Ffull-record%2FWOS:000285825400051","View Full Record in Web of Science")</f>
        <v>View Full Record in Web of Science</v>
      </c>
    </row>
    <row r="632" spans="1:72" x14ac:dyDescent="0.15">
      <c r="A632" t="s">
        <v>2434</v>
      </c>
      <c r="B632" t="s">
        <v>11372</v>
      </c>
      <c r="C632" t="s">
        <v>74</v>
      </c>
      <c r="D632" t="s">
        <v>11088</v>
      </c>
      <c r="E632" t="s">
        <v>74</v>
      </c>
      <c r="F632" t="s">
        <v>11373</v>
      </c>
      <c r="G632" t="s">
        <v>74</v>
      </c>
      <c r="H632" t="s">
        <v>74</v>
      </c>
      <c r="I632" t="s">
        <v>11374</v>
      </c>
      <c r="J632" t="s">
        <v>11091</v>
      </c>
      <c r="K632" t="s">
        <v>11092</v>
      </c>
      <c r="L632" t="s">
        <v>74</v>
      </c>
      <c r="M632" t="s">
        <v>78</v>
      </c>
      <c r="N632" t="s">
        <v>2440</v>
      </c>
      <c r="O632" t="s">
        <v>11093</v>
      </c>
      <c r="P632" t="s">
        <v>11094</v>
      </c>
      <c r="Q632" t="s">
        <v>11095</v>
      </c>
      <c r="R632" t="s">
        <v>74</v>
      </c>
      <c r="S632" t="s">
        <v>74</v>
      </c>
      <c r="T632" t="s">
        <v>74</v>
      </c>
      <c r="U632" t="s">
        <v>74</v>
      </c>
      <c r="V632" t="s">
        <v>11375</v>
      </c>
      <c r="W632" t="s">
        <v>11376</v>
      </c>
      <c r="X632" t="s">
        <v>11377</v>
      </c>
      <c r="Y632" t="s">
        <v>11378</v>
      </c>
      <c r="Z632" t="s">
        <v>74</v>
      </c>
      <c r="AA632" t="s">
        <v>74</v>
      </c>
      <c r="AB632" t="s">
        <v>11379</v>
      </c>
      <c r="AC632" t="s">
        <v>74</v>
      </c>
      <c r="AD632" t="s">
        <v>74</v>
      </c>
      <c r="AE632" t="s">
        <v>74</v>
      </c>
      <c r="AF632" t="s">
        <v>74</v>
      </c>
      <c r="AG632">
        <v>12</v>
      </c>
      <c r="AH632">
        <v>1</v>
      </c>
      <c r="AI632">
        <v>1</v>
      </c>
      <c r="AJ632">
        <v>0</v>
      </c>
      <c r="AK632">
        <v>0</v>
      </c>
      <c r="AL632" t="s">
        <v>11102</v>
      </c>
      <c r="AM632" t="s">
        <v>11103</v>
      </c>
      <c r="AN632" t="s">
        <v>11104</v>
      </c>
      <c r="AO632" t="s">
        <v>11105</v>
      </c>
      <c r="AP632" t="s">
        <v>74</v>
      </c>
      <c r="AQ632" t="s">
        <v>11106</v>
      </c>
      <c r="AR632" t="s">
        <v>11107</v>
      </c>
      <c r="AS632" t="s">
        <v>74</v>
      </c>
      <c r="AT632" t="s">
        <v>74</v>
      </c>
      <c r="AU632">
        <v>2009</v>
      </c>
      <c r="AV632">
        <v>40</v>
      </c>
      <c r="AW632" t="s">
        <v>74</v>
      </c>
      <c r="AX632" t="s">
        <v>74</v>
      </c>
      <c r="AY632" t="s">
        <v>74</v>
      </c>
      <c r="AZ632" t="s">
        <v>74</v>
      </c>
      <c r="BA632" t="s">
        <v>74</v>
      </c>
      <c r="BB632">
        <v>375</v>
      </c>
      <c r="BC632">
        <v>380</v>
      </c>
      <c r="BD632" t="s">
        <v>74</v>
      </c>
      <c r="BE632" t="s">
        <v>11380</v>
      </c>
      <c r="BF632" t="str">
        <f>HYPERLINK("http://dx.doi.org/10.1051/eas/1040052","http://dx.doi.org/10.1051/eas/1040052")</f>
        <v>http://dx.doi.org/10.1051/eas/1040052</v>
      </c>
      <c r="BG632" t="s">
        <v>74</v>
      </c>
      <c r="BH632" t="s">
        <v>74</v>
      </c>
      <c r="BI632">
        <v>6</v>
      </c>
      <c r="BJ632" t="s">
        <v>285</v>
      </c>
      <c r="BK632" t="s">
        <v>2457</v>
      </c>
      <c r="BL632" t="s">
        <v>285</v>
      </c>
      <c r="BM632" t="s">
        <v>11109</v>
      </c>
      <c r="BN632" t="s">
        <v>74</v>
      </c>
      <c r="BO632" t="s">
        <v>1106</v>
      </c>
      <c r="BP632" t="s">
        <v>74</v>
      </c>
      <c r="BQ632" t="s">
        <v>74</v>
      </c>
      <c r="BR632" t="s">
        <v>103</v>
      </c>
      <c r="BS632" t="s">
        <v>11381</v>
      </c>
      <c r="BT632" t="str">
        <f>HYPERLINK("https%3A%2F%2Fwww.webofscience.com%2Fwos%2Fwoscc%2Ffull-record%2FWOS:000285825400052","View Full Record in Web of Science")</f>
        <v>View Full Record in Web of Science</v>
      </c>
    </row>
    <row r="633" spans="1:72" x14ac:dyDescent="0.15">
      <c r="A633" t="s">
        <v>2434</v>
      </c>
      <c r="B633" t="s">
        <v>11382</v>
      </c>
      <c r="C633" t="s">
        <v>74</v>
      </c>
      <c r="D633" t="s">
        <v>11088</v>
      </c>
      <c r="E633" t="s">
        <v>74</v>
      </c>
      <c r="F633" t="s">
        <v>11383</v>
      </c>
      <c r="G633" t="s">
        <v>74</v>
      </c>
      <c r="H633" t="s">
        <v>11384</v>
      </c>
      <c r="I633" t="s">
        <v>11385</v>
      </c>
      <c r="J633" t="s">
        <v>11091</v>
      </c>
      <c r="K633" t="s">
        <v>11092</v>
      </c>
      <c r="L633" t="s">
        <v>74</v>
      </c>
      <c r="M633" t="s">
        <v>78</v>
      </c>
      <c r="N633" t="s">
        <v>2440</v>
      </c>
      <c r="O633" t="s">
        <v>11093</v>
      </c>
      <c r="P633" t="s">
        <v>11094</v>
      </c>
      <c r="Q633" t="s">
        <v>11095</v>
      </c>
      <c r="R633" t="s">
        <v>74</v>
      </c>
      <c r="S633" t="s">
        <v>74</v>
      </c>
      <c r="T633" t="s">
        <v>74</v>
      </c>
      <c r="U633" t="s">
        <v>11386</v>
      </c>
      <c r="V633" t="s">
        <v>11387</v>
      </c>
      <c r="W633" t="s">
        <v>11388</v>
      </c>
      <c r="X633" t="s">
        <v>11389</v>
      </c>
      <c r="Y633" t="s">
        <v>11390</v>
      </c>
      <c r="Z633" t="s">
        <v>74</v>
      </c>
      <c r="AA633" t="s">
        <v>74</v>
      </c>
      <c r="AB633" t="s">
        <v>11391</v>
      </c>
      <c r="AC633" t="s">
        <v>74</v>
      </c>
      <c r="AD633" t="s">
        <v>74</v>
      </c>
      <c r="AE633" t="s">
        <v>74</v>
      </c>
      <c r="AF633" t="s">
        <v>74</v>
      </c>
      <c r="AG633">
        <v>44</v>
      </c>
      <c r="AH633">
        <v>3</v>
      </c>
      <c r="AI633">
        <v>3</v>
      </c>
      <c r="AJ633">
        <v>0</v>
      </c>
      <c r="AK633">
        <v>2</v>
      </c>
      <c r="AL633" t="s">
        <v>11102</v>
      </c>
      <c r="AM633" t="s">
        <v>11103</v>
      </c>
      <c r="AN633" t="s">
        <v>11104</v>
      </c>
      <c r="AO633" t="s">
        <v>11105</v>
      </c>
      <c r="AP633" t="s">
        <v>74</v>
      </c>
      <c r="AQ633" t="s">
        <v>11106</v>
      </c>
      <c r="AR633" t="s">
        <v>11107</v>
      </c>
      <c r="AS633" t="s">
        <v>74</v>
      </c>
      <c r="AT633" t="s">
        <v>74</v>
      </c>
      <c r="AU633">
        <v>2009</v>
      </c>
      <c r="AV633">
        <v>40</v>
      </c>
      <c r="AW633" t="s">
        <v>74</v>
      </c>
      <c r="AX633" t="s">
        <v>74</v>
      </c>
      <c r="AY633" t="s">
        <v>74</v>
      </c>
      <c r="AZ633" t="s">
        <v>74</v>
      </c>
      <c r="BA633" t="s">
        <v>74</v>
      </c>
      <c r="BB633">
        <v>451</v>
      </c>
      <c r="BC633" t="s">
        <v>10944</v>
      </c>
      <c r="BD633" t="s">
        <v>74</v>
      </c>
      <c r="BE633" t="s">
        <v>11392</v>
      </c>
      <c r="BF633" t="str">
        <f>HYPERLINK("http://dx.doi.org/10.1051/eas/1040062","http://dx.doi.org/10.1051/eas/1040062")</f>
        <v>http://dx.doi.org/10.1051/eas/1040062</v>
      </c>
      <c r="BG633" t="s">
        <v>74</v>
      </c>
      <c r="BH633" t="s">
        <v>74</v>
      </c>
      <c r="BI633">
        <v>3</v>
      </c>
      <c r="BJ633" t="s">
        <v>285</v>
      </c>
      <c r="BK633" t="s">
        <v>2457</v>
      </c>
      <c r="BL633" t="s">
        <v>285</v>
      </c>
      <c r="BM633" t="s">
        <v>11109</v>
      </c>
      <c r="BN633" t="s">
        <v>74</v>
      </c>
      <c r="BO633" t="s">
        <v>74</v>
      </c>
      <c r="BP633" t="s">
        <v>74</v>
      </c>
      <c r="BQ633" t="s">
        <v>74</v>
      </c>
      <c r="BR633" t="s">
        <v>103</v>
      </c>
      <c r="BS633" t="s">
        <v>11393</v>
      </c>
      <c r="BT633" t="str">
        <f>HYPERLINK("https%3A%2F%2Fwww.webofscience.com%2Fwos%2Fwoscc%2Ffull-record%2FWOS:000285825400062","View Full Record in Web of Science")</f>
        <v>View Full Record in Web of Science</v>
      </c>
    </row>
    <row r="634" spans="1:72" x14ac:dyDescent="0.15">
      <c r="A634" t="s">
        <v>72</v>
      </c>
      <c r="B634" t="s">
        <v>11394</v>
      </c>
      <c r="C634" t="s">
        <v>74</v>
      </c>
      <c r="D634" t="s">
        <v>74</v>
      </c>
      <c r="E634" t="s">
        <v>74</v>
      </c>
      <c r="F634" t="s">
        <v>11395</v>
      </c>
      <c r="G634" t="s">
        <v>74</v>
      </c>
      <c r="H634" t="s">
        <v>74</v>
      </c>
      <c r="I634" t="s">
        <v>11396</v>
      </c>
      <c r="J634" t="s">
        <v>11397</v>
      </c>
      <c r="K634" t="s">
        <v>74</v>
      </c>
      <c r="L634" t="s">
        <v>74</v>
      </c>
      <c r="M634" t="s">
        <v>78</v>
      </c>
      <c r="N634" t="s">
        <v>79</v>
      </c>
      <c r="O634" t="s">
        <v>74</v>
      </c>
      <c r="P634" t="s">
        <v>74</v>
      </c>
      <c r="Q634" t="s">
        <v>74</v>
      </c>
      <c r="R634" t="s">
        <v>74</v>
      </c>
      <c r="S634" t="s">
        <v>74</v>
      </c>
      <c r="T634" t="s">
        <v>11398</v>
      </c>
      <c r="U634" t="s">
        <v>11399</v>
      </c>
      <c r="V634" t="s">
        <v>11400</v>
      </c>
      <c r="W634" t="s">
        <v>11401</v>
      </c>
      <c r="X634" t="s">
        <v>11402</v>
      </c>
      <c r="Y634" t="s">
        <v>11403</v>
      </c>
      <c r="Z634" t="s">
        <v>11404</v>
      </c>
      <c r="AA634" t="s">
        <v>11405</v>
      </c>
      <c r="AB634" t="s">
        <v>11406</v>
      </c>
      <c r="AC634" t="s">
        <v>74</v>
      </c>
      <c r="AD634" t="s">
        <v>74</v>
      </c>
      <c r="AE634" t="s">
        <v>74</v>
      </c>
      <c r="AF634" t="s">
        <v>74</v>
      </c>
      <c r="AG634">
        <v>47</v>
      </c>
      <c r="AH634">
        <v>6</v>
      </c>
      <c r="AI634">
        <v>7</v>
      </c>
      <c r="AJ634">
        <v>0</v>
      </c>
      <c r="AK634">
        <v>12</v>
      </c>
      <c r="AL634" t="s">
        <v>11397</v>
      </c>
      <c r="AM634" t="s">
        <v>8535</v>
      </c>
      <c r="AN634" t="s">
        <v>11407</v>
      </c>
      <c r="AO634" t="s">
        <v>11408</v>
      </c>
      <c r="AP634" t="s">
        <v>11409</v>
      </c>
      <c r="AQ634" t="s">
        <v>74</v>
      </c>
      <c r="AR634" t="s">
        <v>11410</v>
      </c>
      <c r="AS634" t="s">
        <v>11411</v>
      </c>
      <c r="AT634" t="s">
        <v>74</v>
      </c>
      <c r="AU634">
        <v>2009</v>
      </c>
      <c r="AV634">
        <v>56</v>
      </c>
      <c r="AW634">
        <v>1</v>
      </c>
      <c r="AX634" t="s">
        <v>74</v>
      </c>
      <c r="AY634" t="s">
        <v>74</v>
      </c>
      <c r="AZ634" t="s">
        <v>74</v>
      </c>
      <c r="BA634" t="s">
        <v>74</v>
      </c>
      <c r="BB634">
        <v>63</v>
      </c>
      <c r="BC634">
        <v>69</v>
      </c>
      <c r="BD634" t="s">
        <v>74</v>
      </c>
      <c r="BE634" t="s">
        <v>74</v>
      </c>
      <c r="BF634" t="s">
        <v>74</v>
      </c>
      <c r="BG634" t="s">
        <v>74</v>
      </c>
      <c r="BH634" t="s">
        <v>74</v>
      </c>
      <c r="BI634">
        <v>7</v>
      </c>
      <c r="BJ634" t="s">
        <v>2723</v>
      </c>
      <c r="BK634" t="s">
        <v>100</v>
      </c>
      <c r="BL634" t="s">
        <v>2723</v>
      </c>
      <c r="BM634" t="s">
        <v>11412</v>
      </c>
      <c r="BN634">
        <v>19238258</v>
      </c>
      <c r="BO634" t="s">
        <v>74</v>
      </c>
      <c r="BP634" t="s">
        <v>74</v>
      </c>
      <c r="BQ634" t="s">
        <v>74</v>
      </c>
      <c r="BR634" t="s">
        <v>103</v>
      </c>
      <c r="BS634" t="s">
        <v>11413</v>
      </c>
      <c r="BT634" t="str">
        <f>HYPERLINK("https%3A%2F%2Fwww.webofscience.com%2Fwos%2Fwoscc%2Ffull-record%2FWOS:000264798400007","View Full Record in Web of Science")</f>
        <v>View Full Record in Web of Science</v>
      </c>
    </row>
    <row r="635" spans="1:72" x14ac:dyDescent="0.15">
      <c r="A635" t="s">
        <v>11414</v>
      </c>
      <c r="B635" t="s">
        <v>11415</v>
      </c>
      <c r="C635" t="s">
        <v>74</v>
      </c>
      <c r="D635" t="s">
        <v>11416</v>
      </c>
      <c r="E635" t="s">
        <v>74</v>
      </c>
      <c r="F635" t="s">
        <v>11417</v>
      </c>
      <c r="G635" t="s">
        <v>74</v>
      </c>
      <c r="H635" t="s">
        <v>74</v>
      </c>
      <c r="I635" t="s">
        <v>11418</v>
      </c>
      <c r="J635" t="s">
        <v>11419</v>
      </c>
      <c r="K635" t="s">
        <v>11420</v>
      </c>
      <c r="L635" t="s">
        <v>74</v>
      </c>
      <c r="M635" t="s">
        <v>78</v>
      </c>
      <c r="N635" t="s">
        <v>11421</v>
      </c>
      <c r="O635" t="s">
        <v>74</v>
      </c>
      <c r="P635" t="s">
        <v>74</v>
      </c>
      <c r="Q635" t="s">
        <v>74</v>
      </c>
      <c r="R635" t="s">
        <v>74</v>
      </c>
      <c r="S635" t="s">
        <v>74</v>
      </c>
      <c r="T635" t="s">
        <v>74</v>
      </c>
      <c r="U635" t="s">
        <v>11422</v>
      </c>
      <c r="V635" t="s">
        <v>11423</v>
      </c>
      <c r="W635" t="s">
        <v>11424</v>
      </c>
      <c r="X635" t="s">
        <v>11425</v>
      </c>
      <c r="Y635" t="s">
        <v>11426</v>
      </c>
      <c r="Z635" t="s">
        <v>74</v>
      </c>
      <c r="AA635" t="s">
        <v>11427</v>
      </c>
      <c r="AB635" t="s">
        <v>11428</v>
      </c>
      <c r="AC635" t="s">
        <v>11429</v>
      </c>
      <c r="AD635" t="s">
        <v>5215</v>
      </c>
      <c r="AE635" t="s">
        <v>74</v>
      </c>
      <c r="AF635" t="s">
        <v>74</v>
      </c>
      <c r="AG635">
        <v>421</v>
      </c>
      <c r="AH635">
        <v>101</v>
      </c>
      <c r="AI635">
        <v>110</v>
      </c>
      <c r="AJ635">
        <v>17</v>
      </c>
      <c r="AK635">
        <v>538</v>
      </c>
      <c r="AL635" t="s">
        <v>11430</v>
      </c>
      <c r="AM635" t="s">
        <v>1802</v>
      </c>
      <c r="AN635" t="s">
        <v>11431</v>
      </c>
      <c r="AO635" t="s">
        <v>11432</v>
      </c>
      <c r="AP635" t="s">
        <v>11433</v>
      </c>
      <c r="AQ635" t="s">
        <v>11434</v>
      </c>
      <c r="AR635" t="s">
        <v>11435</v>
      </c>
      <c r="AS635" t="s">
        <v>11436</v>
      </c>
      <c r="AT635" t="s">
        <v>74</v>
      </c>
      <c r="AU635">
        <v>2009</v>
      </c>
      <c r="AV635">
        <v>56</v>
      </c>
      <c r="AW635" t="s">
        <v>74</v>
      </c>
      <c r="AX635" t="s">
        <v>74</v>
      </c>
      <c r="AY635" t="s">
        <v>74</v>
      </c>
      <c r="AZ635" t="s">
        <v>74</v>
      </c>
      <c r="BA635" t="s">
        <v>74</v>
      </c>
      <c r="BB635">
        <v>1</v>
      </c>
      <c r="BC635">
        <v>150</v>
      </c>
      <c r="BD635" t="s">
        <v>74</v>
      </c>
      <c r="BE635" t="s">
        <v>11437</v>
      </c>
      <c r="BF635" t="str">
        <f>HYPERLINK("http://dx.doi.org/10.1016/S0065-2881(09)56001-4","http://dx.doi.org/10.1016/S0065-2881(09)56001-4")</f>
        <v>http://dx.doi.org/10.1016/S0065-2881(09)56001-4</v>
      </c>
      <c r="BG635" t="s">
        <v>74</v>
      </c>
      <c r="BH635" t="s">
        <v>74</v>
      </c>
      <c r="BI635">
        <v>150</v>
      </c>
      <c r="BJ635" t="s">
        <v>448</v>
      </c>
      <c r="BK635" t="s">
        <v>11438</v>
      </c>
      <c r="BL635" t="s">
        <v>448</v>
      </c>
      <c r="BM635" t="s">
        <v>11439</v>
      </c>
      <c r="BN635">
        <v>19895974</v>
      </c>
      <c r="BO635" t="s">
        <v>1106</v>
      </c>
      <c r="BP635" t="s">
        <v>74</v>
      </c>
      <c r="BQ635" t="s">
        <v>74</v>
      </c>
      <c r="BR635" t="s">
        <v>103</v>
      </c>
      <c r="BS635" t="s">
        <v>11440</v>
      </c>
      <c r="BT635" t="str">
        <f>HYPERLINK("https%3A%2F%2Fwww.webofscience.com%2Fwos%2Fwoscc%2Ffull-record%2FWOS:000293022500001","View Full Record in Web of Science")</f>
        <v>View Full Record in Web of Science</v>
      </c>
    </row>
    <row r="636" spans="1:72" x14ac:dyDescent="0.15">
      <c r="A636" t="s">
        <v>72</v>
      </c>
      <c r="B636" t="s">
        <v>11441</v>
      </c>
      <c r="C636" t="s">
        <v>74</v>
      </c>
      <c r="D636" t="s">
        <v>74</v>
      </c>
      <c r="E636" t="s">
        <v>74</v>
      </c>
      <c r="F636" t="s">
        <v>11442</v>
      </c>
      <c r="G636" t="s">
        <v>74</v>
      </c>
      <c r="H636" t="s">
        <v>74</v>
      </c>
      <c r="I636" t="s">
        <v>11443</v>
      </c>
      <c r="J636" t="s">
        <v>6063</v>
      </c>
      <c r="K636" t="s">
        <v>74</v>
      </c>
      <c r="L636" t="s">
        <v>74</v>
      </c>
      <c r="M636" t="s">
        <v>78</v>
      </c>
      <c r="N636" t="s">
        <v>79</v>
      </c>
      <c r="O636" t="s">
        <v>74</v>
      </c>
      <c r="P636" t="s">
        <v>74</v>
      </c>
      <c r="Q636" t="s">
        <v>74</v>
      </c>
      <c r="R636" t="s">
        <v>74</v>
      </c>
      <c r="S636" t="s">
        <v>74</v>
      </c>
      <c r="T636" t="s">
        <v>11444</v>
      </c>
      <c r="U636" t="s">
        <v>11445</v>
      </c>
      <c r="V636" t="s">
        <v>11446</v>
      </c>
      <c r="W636" t="s">
        <v>11447</v>
      </c>
      <c r="X636" t="s">
        <v>11448</v>
      </c>
      <c r="Y636" t="s">
        <v>11449</v>
      </c>
      <c r="Z636" t="s">
        <v>11450</v>
      </c>
      <c r="AA636" t="s">
        <v>11451</v>
      </c>
      <c r="AB636" t="s">
        <v>11452</v>
      </c>
      <c r="AC636" t="s">
        <v>11453</v>
      </c>
      <c r="AD636" t="s">
        <v>11453</v>
      </c>
      <c r="AE636" t="s">
        <v>11454</v>
      </c>
      <c r="AF636" t="s">
        <v>74</v>
      </c>
      <c r="AG636">
        <v>44</v>
      </c>
      <c r="AH636">
        <v>20</v>
      </c>
      <c r="AI636">
        <v>20</v>
      </c>
      <c r="AJ636">
        <v>0</v>
      </c>
      <c r="AK636">
        <v>6</v>
      </c>
      <c r="AL636" t="s">
        <v>1671</v>
      </c>
      <c r="AM636" t="s">
        <v>304</v>
      </c>
      <c r="AN636" t="s">
        <v>1672</v>
      </c>
      <c r="AO636" t="s">
        <v>6074</v>
      </c>
      <c r="AP636" t="s">
        <v>6075</v>
      </c>
      <c r="AQ636" t="s">
        <v>74</v>
      </c>
      <c r="AR636" t="s">
        <v>6076</v>
      </c>
      <c r="AS636" t="s">
        <v>6077</v>
      </c>
      <c r="AT636" t="s">
        <v>11455</v>
      </c>
      <c r="AU636">
        <v>2009</v>
      </c>
      <c r="AV636">
        <v>43</v>
      </c>
      <c r="AW636">
        <v>1</v>
      </c>
      <c r="AX636" t="s">
        <v>74</v>
      </c>
      <c r="AY636" t="s">
        <v>74</v>
      </c>
      <c r="AZ636" t="s">
        <v>74</v>
      </c>
      <c r="BA636" t="s">
        <v>74</v>
      </c>
      <c r="BB636">
        <v>28</v>
      </c>
      <c r="BC636">
        <v>40</v>
      </c>
      <c r="BD636" t="s">
        <v>74</v>
      </c>
      <c r="BE636" t="s">
        <v>11456</v>
      </c>
      <c r="BF636" t="str">
        <f>HYPERLINK("http://dx.doi.org/10.1016/j.asr.2008.06.006","http://dx.doi.org/10.1016/j.asr.2008.06.006")</f>
        <v>http://dx.doi.org/10.1016/j.asr.2008.06.006</v>
      </c>
      <c r="BG636" t="s">
        <v>74</v>
      </c>
      <c r="BH636" t="s">
        <v>74</v>
      </c>
      <c r="BI636">
        <v>13</v>
      </c>
      <c r="BJ636" t="s">
        <v>6080</v>
      </c>
      <c r="BK636" t="s">
        <v>100</v>
      </c>
      <c r="BL636" t="s">
        <v>6081</v>
      </c>
      <c r="BM636" t="s">
        <v>11457</v>
      </c>
      <c r="BN636" t="s">
        <v>74</v>
      </c>
      <c r="BO636" t="s">
        <v>74</v>
      </c>
      <c r="BP636" t="s">
        <v>74</v>
      </c>
      <c r="BQ636" t="s">
        <v>74</v>
      </c>
      <c r="BR636" t="s">
        <v>103</v>
      </c>
      <c r="BS636" t="s">
        <v>11458</v>
      </c>
      <c r="BT636" t="str">
        <f>HYPERLINK("https%3A%2F%2Fwww.webofscience.com%2Fwos%2Fwoscc%2Ffull-record%2FWOS:000262541500003","View Full Record in Web of Science")</f>
        <v>View Full Record in Web of Science</v>
      </c>
    </row>
    <row r="637" spans="1:72" x14ac:dyDescent="0.15">
      <c r="A637" t="s">
        <v>72</v>
      </c>
      <c r="B637" t="s">
        <v>11459</v>
      </c>
      <c r="C637" t="s">
        <v>74</v>
      </c>
      <c r="D637" t="s">
        <v>74</v>
      </c>
      <c r="E637" t="s">
        <v>74</v>
      </c>
      <c r="F637" t="s">
        <v>11460</v>
      </c>
      <c r="G637" t="s">
        <v>74</v>
      </c>
      <c r="H637" t="s">
        <v>74</v>
      </c>
      <c r="I637" t="s">
        <v>11461</v>
      </c>
      <c r="J637" t="s">
        <v>11462</v>
      </c>
      <c r="K637" t="s">
        <v>74</v>
      </c>
      <c r="L637" t="s">
        <v>74</v>
      </c>
      <c r="M637" t="s">
        <v>78</v>
      </c>
      <c r="N637" t="s">
        <v>79</v>
      </c>
      <c r="O637" t="s">
        <v>74</v>
      </c>
      <c r="P637" t="s">
        <v>74</v>
      </c>
      <c r="Q637" t="s">
        <v>74</v>
      </c>
      <c r="R637" t="s">
        <v>74</v>
      </c>
      <c r="S637" t="s">
        <v>74</v>
      </c>
      <c r="T637" t="s">
        <v>11463</v>
      </c>
      <c r="U637" t="s">
        <v>11464</v>
      </c>
      <c r="V637" t="s">
        <v>11465</v>
      </c>
      <c r="W637" t="s">
        <v>11466</v>
      </c>
      <c r="X637" t="s">
        <v>11467</v>
      </c>
      <c r="Y637" t="s">
        <v>11468</v>
      </c>
      <c r="Z637" t="s">
        <v>11469</v>
      </c>
      <c r="AA637" t="s">
        <v>11470</v>
      </c>
      <c r="AB637" t="s">
        <v>11471</v>
      </c>
      <c r="AC637" t="s">
        <v>11472</v>
      </c>
      <c r="AD637" t="s">
        <v>11473</v>
      </c>
      <c r="AE637" t="s">
        <v>11474</v>
      </c>
      <c r="AF637" t="s">
        <v>74</v>
      </c>
      <c r="AG637">
        <v>38</v>
      </c>
      <c r="AH637">
        <v>13</v>
      </c>
      <c r="AI637">
        <v>15</v>
      </c>
      <c r="AJ637">
        <v>0</v>
      </c>
      <c r="AK637">
        <v>18</v>
      </c>
      <c r="AL637" t="s">
        <v>11475</v>
      </c>
      <c r="AM637" t="s">
        <v>5426</v>
      </c>
      <c r="AN637" t="s">
        <v>11476</v>
      </c>
      <c r="AO637" t="s">
        <v>11477</v>
      </c>
      <c r="AP637" t="s">
        <v>74</v>
      </c>
      <c r="AQ637" t="s">
        <v>74</v>
      </c>
      <c r="AR637" t="s">
        <v>11478</v>
      </c>
      <c r="AS637" t="s">
        <v>11479</v>
      </c>
      <c r="AT637" t="s">
        <v>11480</v>
      </c>
      <c r="AU637">
        <v>2009</v>
      </c>
      <c r="AV637">
        <v>36</v>
      </c>
      <c r="AW637">
        <v>1</v>
      </c>
      <c r="AX637" t="s">
        <v>74</v>
      </c>
      <c r="AY637" t="s">
        <v>74</v>
      </c>
      <c r="AZ637" t="s">
        <v>74</v>
      </c>
      <c r="BA637" t="s">
        <v>74</v>
      </c>
      <c r="BB637">
        <v>3</v>
      </c>
      <c r="BC637">
        <v>16</v>
      </c>
      <c r="BD637" t="s">
        <v>74</v>
      </c>
      <c r="BE637" t="s">
        <v>11481</v>
      </c>
      <c r="BF637" t="str">
        <f>HYPERLINK("http://dx.doi.org/10.4067/S0718-71062009000100002","http://dx.doi.org/10.4067/S0718-71062009000100002")</f>
        <v>http://dx.doi.org/10.4067/S0718-71062009000100002</v>
      </c>
      <c r="BG637" t="s">
        <v>74</v>
      </c>
      <c r="BH637" t="s">
        <v>74</v>
      </c>
      <c r="BI637">
        <v>14</v>
      </c>
      <c r="BJ637" t="s">
        <v>497</v>
      </c>
      <c r="BK637" t="s">
        <v>100</v>
      </c>
      <c r="BL637" t="s">
        <v>497</v>
      </c>
      <c r="BM637" t="s">
        <v>11482</v>
      </c>
      <c r="BN637" t="s">
        <v>74</v>
      </c>
      <c r="BO637" t="s">
        <v>450</v>
      </c>
      <c r="BP637" t="s">
        <v>74</v>
      </c>
      <c r="BQ637" t="s">
        <v>74</v>
      </c>
      <c r="BR637" t="s">
        <v>103</v>
      </c>
      <c r="BS637" t="s">
        <v>11483</v>
      </c>
      <c r="BT637" t="str">
        <f>HYPERLINK("https%3A%2F%2Fwww.webofscience.com%2Fwos%2Fwoscc%2Ffull-record%2FWOS:000263305200001","View Full Record in Web of Science")</f>
        <v>View Full Record in Web of Science</v>
      </c>
    </row>
    <row r="638" spans="1:72" x14ac:dyDescent="0.15">
      <c r="A638" t="s">
        <v>72</v>
      </c>
      <c r="B638" t="s">
        <v>11484</v>
      </c>
      <c r="C638" t="s">
        <v>74</v>
      </c>
      <c r="D638" t="s">
        <v>74</v>
      </c>
      <c r="E638" t="s">
        <v>74</v>
      </c>
      <c r="F638" t="s">
        <v>11485</v>
      </c>
      <c r="G638" t="s">
        <v>74</v>
      </c>
      <c r="H638" t="s">
        <v>74</v>
      </c>
      <c r="I638" t="s">
        <v>11486</v>
      </c>
      <c r="J638" t="s">
        <v>11462</v>
      </c>
      <c r="K638" t="s">
        <v>74</v>
      </c>
      <c r="L638" t="s">
        <v>74</v>
      </c>
      <c r="M638" t="s">
        <v>78</v>
      </c>
      <c r="N638" t="s">
        <v>79</v>
      </c>
      <c r="O638" t="s">
        <v>74</v>
      </c>
      <c r="P638" t="s">
        <v>74</v>
      </c>
      <c r="Q638" t="s">
        <v>74</v>
      </c>
      <c r="R638" t="s">
        <v>74</v>
      </c>
      <c r="S638" t="s">
        <v>74</v>
      </c>
      <c r="T638" t="s">
        <v>11487</v>
      </c>
      <c r="U638" t="s">
        <v>11488</v>
      </c>
      <c r="V638" t="s">
        <v>11489</v>
      </c>
      <c r="W638" t="s">
        <v>11490</v>
      </c>
      <c r="X638" t="s">
        <v>11491</v>
      </c>
      <c r="Y638" t="s">
        <v>11492</v>
      </c>
      <c r="Z638" t="s">
        <v>11493</v>
      </c>
      <c r="AA638" t="s">
        <v>74</v>
      </c>
      <c r="AB638" t="s">
        <v>11494</v>
      </c>
      <c r="AC638" t="s">
        <v>11495</v>
      </c>
      <c r="AD638" t="s">
        <v>11496</v>
      </c>
      <c r="AE638" t="s">
        <v>11497</v>
      </c>
      <c r="AF638" t="s">
        <v>74</v>
      </c>
      <c r="AG638">
        <v>47</v>
      </c>
      <c r="AH638">
        <v>18</v>
      </c>
      <c r="AI638">
        <v>19</v>
      </c>
      <c r="AJ638">
        <v>0</v>
      </c>
      <c r="AK638">
        <v>7</v>
      </c>
      <c r="AL638" t="s">
        <v>11475</v>
      </c>
      <c r="AM638" t="s">
        <v>5426</v>
      </c>
      <c r="AN638" t="s">
        <v>11476</v>
      </c>
      <c r="AO638" t="s">
        <v>11498</v>
      </c>
      <c r="AP638" t="s">
        <v>74</v>
      </c>
      <c r="AQ638" t="s">
        <v>74</v>
      </c>
      <c r="AR638" t="s">
        <v>11478</v>
      </c>
      <c r="AS638" t="s">
        <v>11479</v>
      </c>
      <c r="AT638" t="s">
        <v>11480</v>
      </c>
      <c r="AU638">
        <v>2009</v>
      </c>
      <c r="AV638">
        <v>36</v>
      </c>
      <c r="AW638">
        <v>1</v>
      </c>
      <c r="AX638" t="s">
        <v>74</v>
      </c>
      <c r="AY638" t="s">
        <v>74</v>
      </c>
      <c r="AZ638" t="s">
        <v>74</v>
      </c>
      <c r="BA638" t="s">
        <v>74</v>
      </c>
      <c r="BB638">
        <v>81</v>
      </c>
      <c r="BC638">
        <v>93</v>
      </c>
      <c r="BD638" t="s">
        <v>74</v>
      </c>
      <c r="BE638" t="s">
        <v>11499</v>
      </c>
      <c r="BF638" t="str">
        <f>HYPERLINK("http://dx.doi.org/10.4067/S0718-71062009000100007","http://dx.doi.org/10.4067/S0718-71062009000100007")</f>
        <v>http://dx.doi.org/10.4067/S0718-71062009000100007</v>
      </c>
      <c r="BG638" t="s">
        <v>74</v>
      </c>
      <c r="BH638" t="s">
        <v>74</v>
      </c>
      <c r="BI638">
        <v>13</v>
      </c>
      <c r="BJ638" t="s">
        <v>497</v>
      </c>
      <c r="BK638" t="s">
        <v>100</v>
      </c>
      <c r="BL638" t="s">
        <v>497</v>
      </c>
      <c r="BM638" t="s">
        <v>11482</v>
      </c>
      <c r="BN638" t="s">
        <v>74</v>
      </c>
      <c r="BO638" t="s">
        <v>10856</v>
      </c>
      <c r="BP638" t="s">
        <v>74</v>
      </c>
      <c r="BQ638" t="s">
        <v>74</v>
      </c>
      <c r="BR638" t="s">
        <v>103</v>
      </c>
      <c r="BS638" t="s">
        <v>11500</v>
      </c>
      <c r="BT638" t="str">
        <f>HYPERLINK("https%3A%2F%2Fwww.webofscience.com%2Fwos%2Fwoscc%2Ffull-record%2FWOS:000263305200006","View Full Record in Web of Science")</f>
        <v>View Full Record in Web of Science</v>
      </c>
    </row>
    <row r="639" spans="1:72" x14ac:dyDescent="0.15">
      <c r="A639" t="s">
        <v>72</v>
      </c>
      <c r="B639" t="s">
        <v>11501</v>
      </c>
      <c r="C639" t="s">
        <v>74</v>
      </c>
      <c r="D639" t="s">
        <v>74</v>
      </c>
      <c r="E639" t="s">
        <v>74</v>
      </c>
      <c r="F639" t="s">
        <v>11502</v>
      </c>
      <c r="G639" t="s">
        <v>74</v>
      </c>
      <c r="H639" t="s">
        <v>74</v>
      </c>
      <c r="I639" t="s">
        <v>11503</v>
      </c>
      <c r="J639" t="s">
        <v>11504</v>
      </c>
      <c r="K639" t="s">
        <v>74</v>
      </c>
      <c r="L639" t="s">
        <v>74</v>
      </c>
      <c r="M639" t="s">
        <v>78</v>
      </c>
      <c r="N639" t="s">
        <v>79</v>
      </c>
      <c r="O639" t="s">
        <v>74</v>
      </c>
      <c r="P639" t="s">
        <v>74</v>
      </c>
      <c r="Q639" t="s">
        <v>74</v>
      </c>
      <c r="R639" t="s">
        <v>74</v>
      </c>
      <c r="S639" t="s">
        <v>74</v>
      </c>
      <c r="T639" t="s">
        <v>11505</v>
      </c>
      <c r="U639" t="s">
        <v>11506</v>
      </c>
      <c r="V639" t="s">
        <v>11507</v>
      </c>
      <c r="W639" t="s">
        <v>11508</v>
      </c>
      <c r="X639" t="s">
        <v>11509</v>
      </c>
      <c r="Y639" t="s">
        <v>11510</v>
      </c>
      <c r="Z639" t="s">
        <v>11511</v>
      </c>
      <c r="AA639" t="s">
        <v>11512</v>
      </c>
      <c r="AB639" t="s">
        <v>11513</v>
      </c>
      <c r="AC639" t="s">
        <v>11514</v>
      </c>
      <c r="AD639" t="s">
        <v>11515</v>
      </c>
      <c r="AE639" t="s">
        <v>11516</v>
      </c>
      <c r="AF639" t="s">
        <v>74</v>
      </c>
      <c r="AG639">
        <v>44</v>
      </c>
      <c r="AH639">
        <v>16</v>
      </c>
      <c r="AI639">
        <v>21</v>
      </c>
      <c r="AJ639">
        <v>0</v>
      </c>
      <c r="AK639">
        <v>2</v>
      </c>
      <c r="AL639" t="s">
        <v>7730</v>
      </c>
      <c r="AM639" t="s">
        <v>7731</v>
      </c>
      <c r="AN639" t="s">
        <v>7732</v>
      </c>
      <c r="AO639" t="s">
        <v>11517</v>
      </c>
      <c r="AP639" t="s">
        <v>11518</v>
      </c>
      <c r="AQ639" t="s">
        <v>74</v>
      </c>
      <c r="AR639" t="s">
        <v>11519</v>
      </c>
      <c r="AS639" t="s">
        <v>3721</v>
      </c>
      <c r="AT639" t="s">
        <v>74</v>
      </c>
      <c r="AU639">
        <v>2009</v>
      </c>
      <c r="AV639">
        <v>27</v>
      </c>
      <c r="AW639">
        <v>1</v>
      </c>
      <c r="AX639" t="s">
        <v>74</v>
      </c>
      <c r="AY639" t="s">
        <v>74</v>
      </c>
      <c r="AZ639" t="s">
        <v>74</v>
      </c>
      <c r="BA639" t="s">
        <v>74</v>
      </c>
      <c r="BB639">
        <v>131</v>
      </c>
      <c r="BC639">
        <v>145</v>
      </c>
      <c r="BD639" t="s">
        <v>74</v>
      </c>
      <c r="BE639" t="s">
        <v>11520</v>
      </c>
      <c r="BF639" t="str">
        <f>HYPERLINK("http://dx.doi.org/10.5194/angeo-27-131-2009","http://dx.doi.org/10.5194/angeo-27-131-2009")</f>
        <v>http://dx.doi.org/10.5194/angeo-27-131-2009</v>
      </c>
      <c r="BG639" t="s">
        <v>74</v>
      </c>
      <c r="BH639" t="s">
        <v>74</v>
      </c>
      <c r="BI639">
        <v>15</v>
      </c>
      <c r="BJ639" t="s">
        <v>11521</v>
      </c>
      <c r="BK639" t="s">
        <v>100</v>
      </c>
      <c r="BL639" t="s">
        <v>11522</v>
      </c>
      <c r="BM639" t="s">
        <v>11523</v>
      </c>
      <c r="BN639" t="s">
        <v>74</v>
      </c>
      <c r="BO639" t="s">
        <v>450</v>
      </c>
      <c r="BP639" t="s">
        <v>74</v>
      </c>
      <c r="BQ639" t="s">
        <v>74</v>
      </c>
      <c r="BR639" t="s">
        <v>103</v>
      </c>
      <c r="BS639" t="s">
        <v>11524</v>
      </c>
      <c r="BT639" t="str">
        <f>HYPERLINK("https%3A%2F%2Fwww.webofscience.com%2Fwos%2Fwoscc%2Ffull-record%2FWOS:000263839600010","View Full Record in Web of Science")</f>
        <v>View Full Record in Web of Science</v>
      </c>
    </row>
    <row r="640" spans="1:72" x14ac:dyDescent="0.15">
      <c r="A640" t="s">
        <v>72</v>
      </c>
      <c r="B640" t="s">
        <v>11525</v>
      </c>
      <c r="C640" t="s">
        <v>74</v>
      </c>
      <c r="D640" t="s">
        <v>74</v>
      </c>
      <c r="E640" t="s">
        <v>74</v>
      </c>
      <c r="F640" t="s">
        <v>11526</v>
      </c>
      <c r="G640" t="s">
        <v>74</v>
      </c>
      <c r="H640" t="s">
        <v>74</v>
      </c>
      <c r="I640" t="s">
        <v>11527</v>
      </c>
      <c r="J640" t="s">
        <v>11504</v>
      </c>
      <c r="K640" t="s">
        <v>74</v>
      </c>
      <c r="L640" t="s">
        <v>74</v>
      </c>
      <c r="M640" t="s">
        <v>78</v>
      </c>
      <c r="N640" t="s">
        <v>79</v>
      </c>
      <c r="O640" t="s">
        <v>74</v>
      </c>
      <c r="P640" t="s">
        <v>74</v>
      </c>
      <c r="Q640" t="s">
        <v>74</v>
      </c>
      <c r="R640" t="s">
        <v>74</v>
      </c>
      <c r="S640" t="s">
        <v>74</v>
      </c>
      <c r="T640" t="s">
        <v>11528</v>
      </c>
      <c r="U640" t="s">
        <v>11529</v>
      </c>
      <c r="V640" t="s">
        <v>11530</v>
      </c>
      <c r="W640" t="s">
        <v>11531</v>
      </c>
      <c r="X640" t="s">
        <v>1227</v>
      </c>
      <c r="Y640" t="s">
        <v>3168</v>
      </c>
      <c r="Z640" t="s">
        <v>3169</v>
      </c>
      <c r="AA640" t="s">
        <v>11532</v>
      </c>
      <c r="AB640" t="s">
        <v>11533</v>
      </c>
      <c r="AC640" t="s">
        <v>11534</v>
      </c>
      <c r="AD640" t="s">
        <v>11535</v>
      </c>
      <c r="AE640" t="s">
        <v>11536</v>
      </c>
      <c r="AF640" t="s">
        <v>74</v>
      </c>
      <c r="AG640">
        <v>41</v>
      </c>
      <c r="AH640">
        <v>12</v>
      </c>
      <c r="AI640">
        <v>15</v>
      </c>
      <c r="AJ640">
        <v>0</v>
      </c>
      <c r="AK640">
        <v>5</v>
      </c>
      <c r="AL640" t="s">
        <v>7730</v>
      </c>
      <c r="AM640" t="s">
        <v>7731</v>
      </c>
      <c r="AN640" t="s">
        <v>7732</v>
      </c>
      <c r="AO640" t="s">
        <v>11517</v>
      </c>
      <c r="AP640" t="s">
        <v>11518</v>
      </c>
      <c r="AQ640" t="s">
        <v>74</v>
      </c>
      <c r="AR640" t="s">
        <v>11519</v>
      </c>
      <c r="AS640" t="s">
        <v>3721</v>
      </c>
      <c r="AT640" t="s">
        <v>74</v>
      </c>
      <c r="AU640">
        <v>2009</v>
      </c>
      <c r="AV640">
        <v>27</v>
      </c>
      <c r="AW640">
        <v>1</v>
      </c>
      <c r="AX640" t="s">
        <v>74</v>
      </c>
      <c r="AY640" t="s">
        <v>74</v>
      </c>
      <c r="AZ640" t="s">
        <v>74</v>
      </c>
      <c r="BA640" t="s">
        <v>74</v>
      </c>
      <c r="BB640">
        <v>261</v>
      </c>
      <c r="BC640">
        <v>278</v>
      </c>
      <c r="BD640" t="s">
        <v>74</v>
      </c>
      <c r="BE640" t="s">
        <v>11537</v>
      </c>
      <c r="BF640" t="str">
        <f>HYPERLINK("http://dx.doi.org/10.5194/angeo-27-261-2009","http://dx.doi.org/10.5194/angeo-27-261-2009")</f>
        <v>http://dx.doi.org/10.5194/angeo-27-261-2009</v>
      </c>
      <c r="BG640" t="s">
        <v>74</v>
      </c>
      <c r="BH640" t="s">
        <v>74</v>
      </c>
      <c r="BI640">
        <v>18</v>
      </c>
      <c r="BJ640" t="s">
        <v>11521</v>
      </c>
      <c r="BK640" t="s">
        <v>100</v>
      </c>
      <c r="BL640" t="s">
        <v>11522</v>
      </c>
      <c r="BM640" t="s">
        <v>11523</v>
      </c>
      <c r="BN640" t="s">
        <v>74</v>
      </c>
      <c r="BO640" t="s">
        <v>450</v>
      </c>
      <c r="BP640" t="s">
        <v>74</v>
      </c>
      <c r="BQ640" t="s">
        <v>74</v>
      </c>
      <c r="BR640" t="s">
        <v>103</v>
      </c>
      <c r="BS640" t="s">
        <v>11538</v>
      </c>
      <c r="BT640" t="str">
        <f>HYPERLINK("https%3A%2F%2Fwww.webofscience.com%2Fwos%2Fwoscc%2Ffull-record%2FWOS:000263839600016","View Full Record in Web of Science")</f>
        <v>View Full Record in Web of Science</v>
      </c>
    </row>
    <row r="641" spans="1:72" x14ac:dyDescent="0.15">
      <c r="A641" t="s">
        <v>72</v>
      </c>
      <c r="B641" t="s">
        <v>11539</v>
      </c>
      <c r="C641" t="s">
        <v>74</v>
      </c>
      <c r="D641" t="s">
        <v>74</v>
      </c>
      <c r="E641" t="s">
        <v>74</v>
      </c>
      <c r="F641" t="s">
        <v>11540</v>
      </c>
      <c r="G641" t="s">
        <v>74</v>
      </c>
      <c r="H641" t="s">
        <v>74</v>
      </c>
      <c r="I641" t="s">
        <v>11541</v>
      </c>
      <c r="J641" t="s">
        <v>11504</v>
      </c>
      <c r="K641" t="s">
        <v>74</v>
      </c>
      <c r="L641" t="s">
        <v>74</v>
      </c>
      <c r="M641" t="s">
        <v>78</v>
      </c>
      <c r="N641" t="s">
        <v>79</v>
      </c>
      <c r="O641" t="s">
        <v>74</v>
      </c>
      <c r="P641" t="s">
        <v>74</v>
      </c>
      <c r="Q641" t="s">
        <v>74</v>
      </c>
      <c r="R641" t="s">
        <v>74</v>
      </c>
      <c r="S641" t="s">
        <v>74</v>
      </c>
      <c r="T641" t="s">
        <v>11542</v>
      </c>
      <c r="U641" t="s">
        <v>11543</v>
      </c>
      <c r="V641" t="s">
        <v>11544</v>
      </c>
      <c r="W641" t="s">
        <v>11545</v>
      </c>
      <c r="X641" t="s">
        <v>11546</v>
      </c>
      <c r="Y641" t="s">
        <v>11547</v>
      </c>
      <c r="Z641" t="s">
        <v>11548</v>
      </c>
      <c r="AA641" t="s">
        <v>11549</v>
      </c>
      <c r="AB641" t="s">
        <v>11550</v>
      </c>
      <c r="AC641" t="s">
        <v>11551</v>
      </c>
      <c r="AD641" t="s">
        <v>11552</v>
      </c>
      <c r="AE641" t="s">
        <v>11553</v>
      </c>
      <c r="AF641" t="s">
        <v>74</v>
      </c>
      <c r="AG641">
        <v>34</v>
      </c>
      <c r="AH641">
        <v>68</v>
      </c>
      <c r="AI641">
        <v>72</v>
      </c>
      <c r="AJ641">
        <v>0</v>
      </c>
      <c r="AK641">
        <v>9</v>
      </c>
      <c r="AL641" t="s">
        <v>7730</v>
      </c>
      <c r="AM641" t="s">
        <v>7731</v>
      </c>
      <c r="AN641" t="s">
        <v>7732</v>
      </c>
      <c r="AO641" t="s">
        <v>11517</v>
      </c>
      <c r="AP641" t="s">
        <v>11518</v>
      </c>
      <c r="AQ641" t="s">
        <v>74</v>
      </c>
      <c r="AR641" t="s">
        <v>11519</v>
      </c>
      <c r="AS641" t="s">
        <v>3721</v>
      </c>
      <c r="AT641" t="s">
        <v>74</v>
      </c>
      <c r="AU641">
        <v>2009</v>
      </c>
      <c r="AV641">
        <v>27</v>
      </c>
      <c r="AW641">
        <v>2</v>
      </c>
      <c r="AX641" t="s">
        <v>74</v>
      </c>
      <c r="AY641" t="s">
        <v>74</v>
      </c>
      <c r="AZ641" t="s">
        <v>74</v>
      </c>
      <c r="BA641" t="s">
        <v>74</v>
      </c>
      <c r="BB641">
        <v>659</v>
      </c>
      <c r="BC641">
        <v>668</v>
      </c>
      <c r="BD641" t="s">
        <v>74</v>
      </c>
      <c r="BE641" t="s">
        <v>11554</v>
      </c>
      <c r="BF641" t="str">
        <f>HYPERLINK("http://dx.doi.org/10.5194/angeo-27-659-2009","http://dx.doi.org/10.5194/angeo-27-659-2009")</f>
        <v>http://dx.doi.org/10.5194/angeo-27-659-2009</v>
      </c>
      <c r="BG641" t="s">
        <v>74</v>
      </c>
      <c r="BH641" t="s">
        <v>74</v>
      </c>
      <c r="BI641">
        <v>10</v>
      </c>
      <c r="BJ641" t="s">
        <v>11521</v>
      </c>
      <c r="BK641" t="s">
        <v>100</v>
      </c>
      <c r="BL641" t="s">
        <v>11522</v>
      </c>
      <c r="BM641" t="s">
        <v>11555</v>
      </c>
      <c r="BN641" t="s">
        <v>74</v>
      </c>
      <c r="BO641" t="s">
        <v>11556</v>
      </c>
      <c r="BP641" t="s">
        <v>74</v>
      </c>
      <c r="BQ641" t="s">
        <v>74</v>
      </c>
      <c r="BR641" t="s">
        <v>103</v>
      </c>
      <c r="BS641" t="s">
        <v>11557</v>
      </c>
      <c r="BT641" t="str">
        <f>HYPERLINK("https%3A%2F%2Fwww.webofscience.com%2Fwos%2Fwoscc%2Ffull-record%2FWOS:000263839900020","View Full Record in Web of Science")</f>
        <v>View Full Record in Web of Science</v>
      </c>
    </row>
    <row r="642" spans="1:72" x14ac:dyDescent="0.15">
      <c r="A642" t="s">
        <v>72</v>
      </c>
      <c r="B642" t="s">
        <v>11558</v>
      </c>
      <c r="C642" t="s">
        <v>74</v>
      </c>
      <c r="D642" t="s">
        <v>74</v>
      </c>
      <c r="E642" t="s">
        <v>74</v>
      </c>
      <c r="F642" t="s">
        <v>11559</v>
      </c>
      <c r="G642" t="s">
        <v>74</v>
      </c>
      <c r="H642" t="s">
        <v>74</v>
      </c>
      <c r="I642" t="s">
        <v>11560</v>
      </c>
      <c r="J642" t="s">
        <v>11504</v>
      </c>
      <c r="K642" t="s">
        <v>74</v>
      </c>
      <c r="L642" t="s">
        <v>74</v>
      </c>
      <c r="M642" t="s">
        <v>78</v>
      </c>
      <c r="N642" t="s">
        <v>79</v>
      </c>
      <c r="O642" t="s">
        <v>74</v>
      </c>
      <c r="P642" t="s">
        <v>74</v>
      </c>
      <c r="Q642" t="s">
        <v>74</v>
      </c>
      <c r="R642" t="s">
        <v>74</v>
      </c>
      <c r="S642" t="s">
        <v>74</v>
      </c>
      <c r="T642" t="s">
        <v>11561</v>
      </c>
      <c r="U642" t="s">
        <v>11562</v>
      </c>
      <c r="V642" t="s">
        <v>11563</v>
      </c>
      <c r="W642" t="s">
        <v>11564</v>
      </c>
      <c r="X642" t="s">
        <v>11565</v>
      </c>
      <c r="Y642" t="s">
        <v>11566</v>
      </c>
      <c r="Z642" t="s">
        <v>11567</v>
      </c>
      <c r="AA642" t="s">
        <v>11568</v>
      </c>
      <c r="AB642" t="s">
        <v>11569</v>
      </c>
      <c r="AC642" t="s">
        <v>11570</v>
      </c>
      <c r="AD642" t="s">
        <v>11571</v>
      </c>
      <c r="AE642" t="s">
        <v>11572</v>
      </c>
      <c r="AF642" t="s">
        <v>74</v>
      </c>
      <c r="AG642">
        <v>38</v>
      </c>
      <c r="AH642">
        <v>53</v>
      </c>
      <c r="AI642">
        <v>57</v>
      </c>
      <c r="AJ642">
        <v>0</v>
      </c>
      <c r="AK642">
        <v>6</v>
      </c>
      <c r="AL642" t="s">
        <v>7730</v>
      </c>
      <c r="AM642" t="s">
        <v>7731</v>
      </c>
      <c r="AN642" t="s">
        <v>7732</v>
      </c>
      <c r="AO642" t="s">
        <v>11517</v>
      </c>
      <c r="AP642" t="s">
        <v>11518</v>
      </c>
      <c r="AQ642" t="s">
        <v>74</v>
      </c>
      <c r="AR642" t="s">
        <v>11519</v>
      </c>
      <c r="AS642" t="s">
        <v>3721</v>
      </c>
      <c r="AT642" t="s">
        <v>74</v>
      </c>
      <c r="AU642">
        <v>2009</v>
      </c>
      <c r="AV642">
        <v>27</v>
      </c>
      <c r="AW642">
        <v>2</v>
      </c>
      <c r="AX642" t="s">
        <v>74</v>
      </c>
      <c r="AY642" t="s">
        <v>74</v>
      </c>
      <c r="AZ642" t="s">
        <v>74</v>
      </c>
      <c r="BA642" t="s">
        <v>74</v>
      </c>
      <c r="BB642">
        <v>725</v>
      </c>
      <c r="BC642">
        <v>743</v>
      </c>
      <c r="BD642" t="s">
        <v>74</v>
      </c>
      <c r="BE642" t="s">
        <v>11573</v>
      </c>
      <c r="BF642" t="str">
        <f>HYPERLINK("http://dx.doi.org/10.5194/angeo-27-725-2009","http://dx.doi.org/10.5194/angeo-27-725-2009")</f>
        <v>http://dx.doi.org/10.5194/angeo-27-725-2009</v>
      </c>
      <c r="BG642" t="s">
        <v>74</v>
      </c>
      <c r="BH642" t="s">
        <v>74</v>
      </c>
      <c r="BI642">
        <v>19</v>
      </c>
      <c r="BJ642" t="s">
        <v>11521</v>
      </c>
      <c r="BK642" t="s">
        <v>100</v>
      </c>
      <c r="BL642" t="s">
        <v>11522</v>
      </c>
      <c r="BM642" t="s">
        <v>11555</v>
      </c>
      <c r="BN642" t="s">
        <v>74</v>
      </c>
      <c r="BO642" t="s">
        <v>11574</v>
      </c>
      <c r="BP642" t="s">
        <v>74</v>
      </c>
      <c r="BQ642" t="s">
        <v>74</v>
      </c>
      <c r="BR642" t="s">
        <v>103</v>
      </c>
      <c r="BS642" t="s">
        <v>11575</v>
      </c>
      <c r="BT642" t="str">
        <f>HYPERLINK("https%3A%2F%2Fwww.webofscience.com%2Fwos%2Fwoscc%2Ffull-record%2FWOS:000263839900024","View Full Record in Web of Science")</f>
        <v>View Full Record in Web of Science</v>
      </c>
    </row>
    <row r="643" spans="1:72" x14ac:dyDescent="0.15">
      <c r="A643" t="s">
        <v>72</v>
      </c>
      <c r="B643" t="s">
        <v>11576</v>
      </c>
      <c r="C643" t="s">
        <v>74</v>
      </c>
      <c r="D643" t="s">
        <v>74</v>
      </c>
      <c r="E643" t="s">
        <v>74</v>
      </c>
      <c r="F643" t="s">
        <v>11577</v>
      </c>
      <c r="G643" t="s">
        <v>74</v>
      </c>
      <c r="H643" t="s">
        <v>74</v>
      </c>
      <c r="I643" t="s">
        <v>11578</v>
      </c>
      <c r="J643" t="s">
        <v>11504</v>
      </c>
      <c r="K643" t="s">
        <v>74</v>
      </c>
      <c r="L643" t="s">
        <v>74</v>
      </c>
      <c r="M643" t="s">
        <v>78</v>
      </c>
      <c r="N643" t="s">
        <v>79</v>
      </c>
      <c r="O643" t="s">
        <v>74</v>
      </c>
      <c r="P643" t="s">
        <v>74</v>
      </c>
      <c r="Q643" t="s">
        <v>74</v>
      </c>
      <c r="R643" t="s">
        <v>74</v>
      </c>
      <c r="S643" t="s">
        <v>74</v>
      </c>
      <c r="T643" t="s">
        <v>11579</v>
      </c>
      <c r="U643" t="s">
        <v>11580</v>
      </c>
      <c r="V643" t="s">
        <v>11581</v>
      </c>
      <c r="W643" t="s">
        <v>11582</v>
      </c>
      <c r="X643" t="s">
        <v>11583</v>
      </c>
      <c r="Y643" t="s">
        <v>11584</v>
      </c>
      <c r="Z643" t="s">
        <v>11585</v>
      </c>
      <c r="AA643" t="s">
        <v>11586</v>
      </c>
      <c r="AB643" t="s">
        <v>11587</v>
      </c>
      <c r="AC643" t="s">
        <v>74</v>
      </c>
      <c r="AD643" t="s">
        <v>74</v>
      </c>
      <c r="AE643" t="s">
        <v>74</v>
      </c>
      <c r="AF643" t="s">
        <v>74</v>
      </c>
      <c r="AG643">
        <v>35</v>
      </c>
      <c r="AH643">
        <v>33</v>
      </c>
      <c r="AI643">
        <v>34</v>
      </c>
      <c r="AJ643">
        <v>1</v>
      </c>
      <c r="AK643">
        <v>9</v>
      </c>
      <c r="AL643" t="s">
        <v>7730</v>
      </c>
      <c r="AM643" t="s">
        <v>7731</v>
      </c>
      <c r="AN643" t="s">
        <v>7732</v>
      </c>
      <c r="AO643" t="s">
        <v>11517</v>
      </c>
      <c r="AP643" t="s">
        <v>11518</v>
      </c>
      <c r="AQ643" t="s">
        <v>74</v>
      </c>
      <c r="AR643" t="s">
        <v>11519</v>
      </c>
      <c r="AS643" t="s">
        <v>3721</v>
      </c>
      <c r="AT643" t="s">
        <v>74</v>
      </c>
      <c r="AU643">
        <v>2009</v>
      </c>
      <c r="AV643">
        <v>27</v>
      </c>
      <c r="AW643">
        <v>3</v>
      </c>
      <c r="AX643" t="s">
        <v>74</v>
      </c>
      <c r="AY643" t="s">
        <v>74</v>
      </c>
      <c r="AZ643" t="s">
        <v>74</v>
      </c>
      <c r="BA643" t="s">
        <v>74</v>
      </c>
      <c r="BB643">
        <v>1153</v>
      </c>
      <c r="BC643">
        <v>1173</v>
      </c>
      <c r="BD643" t="s">
        <v>74</v>
      </c>
      <c r="BE643" t="s">
        <v>11588</v>
      </c>
      <c r="BF643" t="str">
        <f>HYPERLINK("http://dx.doi.org/10.5194/angeo-27-1153-2009","http://dx.doi.org/10.5194/angeo-27-1153-2009")</f>
        <v>http://dx.doi.org/10.5194/angeo-27-1153-2009</v>
      </c>
      <c r="BG643" t="s">
        <v>74</v>
      </c>
      <c r="BH643" t="s">
        <v>74</v>
      </c>
      <c r="BI643">
        <v>21</v>
      </c>
      <c r="BJ643" t="s">
        <v>11521</v>
      </c>
      <c r="BK643" t="s">
        <v>100</v>
      </c>
      <c r="BL643" t="s">
        <v>11522</v>
      </c>
      <c r="BM643" t="s">
        <v>11589</v>
      </c>
      <c r="BN643" t="s">
        <v>74</v>
      </c>
      <c r="BO643" t="s">
        <v>7315</v>
      </c>
      <c r="BP643" t="s">
        <v>74</v>
      </c>
      <c r="BQ643" t="s">
        <v>74</v>
      </c>
      <c r="BR643" t="s">
        <v>103</v>
      </c>
      <c r="BS643" t="s">
        <v>11590</v>
      </c>
      <c r="BT643" t="str">
        <f>HYPERLINK("https%3A%2F%2Fwww.webofscience.com%2Fwos%2Fwoscc%2Ffull-record%2FWOS:000264676500023","View Full Record in Web of Science")</f>
        <v>View Full Record in Web of Science</v>
      </c>
    </row>
    <row r="644" spans="1:72" x14ac:dyDescent="0.15">
      <c r="A644" t="s">
        <v>72</v>
      </c>
      <c r="B644" t="s">
        <v>11591</v>
      </c>
      <c r="C644" t="s">
        <v>74</v>
      </c>
      <c r="D644" t="s">
        <v>74</v>
      </c>
      <c r="E644" t="s">
        <v>74</v>
      </c>
      <c r="F644" t="s">
        <v>11592</v>
      </c>
      <c r="G644" t="s">
        <v>74</v>
      </c>
      <c r="H644" t="s">
        <v>74</v>
      </c>
      <c r="I644" t="s">
        <v>11593</v>
      </c>
      <c r="J644" t="s">
        <v>11504</v>
      </c>
      <c r="K644" t="s">
        <v>74</v>
      </c>
      <c r="L644" t="s">
        <v>74</v>
      </c>
      <c r="M644" t="s">
        <v>78</v>
      </c>
      <c r="N644" t="s">
        <v>79</v>
      </c>
      <c r="O644" t="s">
        <v>74</v>
      </c>
      <c r="P644" t="s">
        <v>74</v>
      </c>
      <c r="Q644" t="s">
        <v>74</v>
      </c>
      <c r="R644" t="s">
        <v>74</v>
      </c>
      <c r="S644" t="s">
        <v>74</v>
      </c>
      <c r="T644" t="s">
        <v>11594</v>
      </c>
      <c r="U644" t="s">
        <v>11595</v>
      </c>
      <c r="V644" t="s">
        <v>11596</v>
      </c>
      <c r="W644" t="s">
        <v>11597</v>
      </c>
      <c r="X644" t="s">
        <v>11598</v>
      </c>
      <c r="Y644" t="s">
        <v>11599</v>
      </c>
      <c r="Z644" t="s">
        <v>11600</v>
      </c>
      <c r="AA644" t="s">
        <v>11601</v>
      </c>
      <c r="AB644" t="s">
        <v>74</v>
      </c>
      <c r="AC644" t="s">
        <v>11602</v>
      </c>
      <c r="AD644" t="s">
        <v>11603</v>
      </c>
      <c r="AE644" t="s">
        <v>11604</v>
      </c>
      <c r="AF644" t="s">
        <v>74</v>
      </c>
      <c r="AG644">
        <v>41</v>
      </c>
      <c r="AH644">
        <v>12</v>
      </c>
      <c r="AI644">
        <v>17</v>
      </c>
      <c r="AJ644">
        <v>0</v>
      </c>
      <c r="AK644">
        <v>17</v>
      </c>
      <c r="AL644" t="s">
        <v>7730</v>
      </c>
      <c r="AM644" t="s">
        <v>7731</v>
      </c>
      <c r="AN644" t="s">
        <v>7732</v>
      </c>
      <c r="AO644" t="s">
        <v>11517</v>
      </c>
      <c r="AP644" t="s">
        <v>11518</v>
      </c>
      <c r="AQ644" t="s">
        <v>74</v>
      </c>
      <c r="AR644" t="s">
        <v>11519</v>
      </c>
      <c r="AS644" t="s">
        <v>3721</v>
      </c>
      <c r="AT644" t="s">
        <v>74</v>
      </c>
      <c r="AU644">
        <v>2009</v>
      </c>
      <c r="AV644">
        <v>27</v>
      </c>
      <c r="AW644">
        <v>5</v>
      </c>
      <c r="AX644" t="s">
        <v>74</v>
      </c>
      <c r="AY644" t="s">
        <v>74</v>
      </c>
      <c r="AZ644" t="s">
        <v>74</v>
      </c>
      <c r="BA644" t="s">
        <v>74</v>
      </c>
      <c r="BB644">
        <v>1979</v>
      </c>
      <c r="BC644">
        <v>1988</v>
      </c>
      <c r="BD644" t="s">
        <v>74</v>
      </c>
      <c r="BE644" t="s">
        <v>11605</v>
      </c>
      <c r="BF644" t="str">
        <f>HYPERLINK("http://dx.doi.org/10.5194/angeo-27-1979-2009","http://dx.doi.org/10.5194/angeo-27-1979-2009")</f>
        <v>http://dx.doi.org/10.5194/angeo-27-1979-2009</v>
      </c>
      <c r="BG644" t="s">
        <v>74</v>
      </c>
      <c r="BH644" t="s">
        <v>74</v>
      </c>
      <c r="BI644">
        <v>10</v>
      </c>
      <c r="BJ644" t="s">
        <v>11521</v>
      </c>
      <c r="BK644" t="s">
        <v>100</v>
      </c>
      <c r="BL644" t="s">
        <v>11522</v>
      </c>
      <c r="BM644" t="s">
        <v>11606</v>
      </c>
      <c r="BN644" t="s">
        <v>74</v>
      </c>
      <c r="BO644" t="s">
        <v>450</v>
      </c>
      <c r="BP644" t="s">
        <v>74</v>
      </c>
      <c r="BQ644" t="s">
        <v>74</v>
      </c>
      <c r="BR644" t="s">
        <v>103</v>
      </c>
      <c r="BS644" t="s">
        <v>11607</v>
      </c>
      <c r="BT644" t="str">
        <f>HYPERLINK("https%3A%2F%2Fwww.webofscience.com%2Fwos%2Fwoscc%2Ffull-record%2FWOS:000266406300016","View Full Record in Web of Science")</f>
        <v>View Full Record in Web of Science</v>
      </c>
    </row>
    <row r="645" spans="1:72" x14ac:dyDescent="0.15">
      <c r="A645" t="s">
        <v>72</v>
      </c>
      <c r="B645" t="s">
        <v>11608</v>
      </c>
      <c r="C645" t="s">
        <v>74</v>
      </c>
      <c r="D645" t="s">
        <v>74</v>
      </c>
      <c r="E645" t="s">
        <v>74</v>
      </c>
      <c r="F645" t="s">
        <v>11609</v>
      </c>
      <c r="G645" t="s">
        <v>74</v>
      </c>
      <c r="H645" t="s">
        <v>74</v>
      </c>
      <c r="I645" t="s">
        <v>11610</v>
      </c>
      <c r="J645" t="s">
        <v>11504</v>
      </c>
      <c r="K645" t="s">
        <v>74</v>
      </c>
      <c r="L645" t="s">
        <v>74</v>
      </c>
      <c r="M645" t="s">
        <v>78</v>
      </c>
      <c r="N645" t="s">
        <v>79</v>
      </c>
      <c r="O645" t="s">
        <v>74</v>
      </c>
      <c r="P645" t="s">
        <v>74</v>
      </c>
      <c r="Q645" t="s">
        <v>74</v>
      </c>
      <c r="R645" t="s">
        <v>74</v>
      </c>
      <c r="S645" t="s">
        <v>74</v>
      </c>
      <c r="T645" t="s">
        <v>11611</v>
      </c>
      <c r="U645" t="s">
        <v>11612</v>
      </c>
      <c r="V645" t="s">
        <v>11613</v>
      </c>
      <c r="W645" t="s">
        <v>11614</v>
      </c>
      <c r="X645" t="s">
        <v>11615</v>
      </c>
      <c r="Y645" t="s">
        <v>11616</v>
      </c>
      <c r="Z645" t="s">
        <v>11617</v>
      </c>
      <c r="AA645" t="s">
        <v>74</v>
      </c>
      <c r="AB645" t="s">
        <v>11618</v>
      </c>
      <c r="AC645" t="s">
        <v>11619</v>
      </c>
      <c r="AD645" t="s">
        <v>11620</v>
      </c>
      <c r="AE645" t="s">
        <v>11621</v>
      </c>
      <c r="AF645" t="s">
        <v>74</v>
      </c>
      <c r="AG645">
        <v>25</v>
      </c>
      <c r="AH645">
        <v>14</v>
      </c>
      <c r="AI645">
        <v>17</v>
      </c>
      <c r="AJ645">
        <v>0</v>
      </c>
      <c r="AK645">
        <v>6</v>
      </c>
      <c r="AL645" t="s">
        <v>7730</v>
      </c>
      <c r="AM645" t="s">
        <v>7731</v>
      </c>
      <c r="AN645" t="s">
        <v>7732</v>
      </c>
      <c r="AO645" t="s">
        <v>11517</v>
      </c>
      <c r="AP645" t="s">
        <v>11518</v>
      </c>
      <c r="AQ645" t="s">
        <v>74</v>
      </c>
      <c r="AR645" t="s">
        <v>11519</v>
      </c>
      <c r="AS645" t="s">
        <v>3721</v>
      </c>
      <c r="AT645" t="s">
        <v>74</v>
      </c>
      <c r="AU645">
        <v>2009</v>
      </c>
      <c r="AV645">
        <v>27</v>
      </c>
      <c r="AW645">
        <v>5</v>
      </c>
      <c r="AX645" t="s">
        <v>74</v>
      </c>
      <c r="AY645" t="s">
        <v>74</v>
      </c>
      <c r="AZ645" t="s">
        <v>74</v>
      </c>
      <c r="BA645" t="s">
        <v>74</v>
      </c>
      <c r="BB645">
        <v>2225</v>
      </c>
      <c r="BC645">
        <v>2235</v>
      </c>
      <c r="BD645" t="s">
        <v>74</v>
      </c>
      <c r="BE645" t="s">
        <v>11622</v>
      </c>
      <c r="BF645" t="str">
        <f>HYPERLINK("http://dx.doi.org/10.5194/angeo-27-2225-2009","http://dx.doi.org/10.5194/angeo-27-2225-2009")</f>
        <v>http://dx.doi.org/10.5194/angeo-27-2225-2009</v>
      </c>
      <c r="BG645" t="s">
        <v>74</v>
      </c>
      <c r="BH645" t="s">
        <v>74</v>
      </c>
      <c r="BI645">
        <v>11</v>
      </c>
      <c r="BJ645" t="s">
        <v>11521</v>
      </c>
      <c r="BK645" t="s">
        <v>100</v>
      </c>
      <c r="BL645" t="s">
        <v>11522</v>
      </c>
      <c r="BM645" t="s">
        <v>11606</v>
      </c>
      <c r="BN645" t="s">
        <v>74</v>
      </c>
      <c r="BO645" t="s">
        <v>11623</v>
      </c>
      <c r="BP645" t="s">
        <v>74</v>
      </c>
      <c r="BQ645" t="s">
        <v>74</v>
      </c>
      <c r="BR645" t="s">
        <v>103</v>
      </c>
      <c r="BS645" t="s">
        <v>11624</v>
      </c>
      <c r="BT645" t="str">
        <f>HYPERLINK("https%3A%2F%2Fwww.webofscience.com%2Fwos%2Fwoscc%2Ffull-record%2FWOS:000266406300039","View Full Record in Web of Science")</f>
        <v>View Full Record in Web of Science</v>
      </c>
    </row>
    <row r="646" spans="1:72" x14ac:dyDescent="0.15">
      <c r="A646" t="s">
        <v>72</v>
      </c>
      <c r="B646" t="s">
        <v>11625</v>
      </c>
      <c r="C646" t="s">
        <v>74</v>
      </c>
      <c r="D646" t="s">
        <v>74</v>
      </c>
      <c r="E646" t="s">
        <v>74</v>
      </c>
      <c r="F646" t="s">
        <v>11626</v>
      </c>
      <c r="G646" t="s">
        <v>74</v>
      </c>
      <c r="H646" t="s">
        <v>74</v>
      </c>
      <c r="I646" t="s">
        <v>11627</v>
      </c>
      <c r="J646" t="s">
        <v>11504</v>
      </c>
      <c r="K646" t="s">
        <v>74</v>
      </c>
      <c r="L646" t="s">
        <v>74</v>
      </c>
      <c r="M646" t="s">
        <v>78</v>
      </c>
      <c r="N646" t="s">
        <v>79</v>
      </c>
      <c r="O646" t="s">
        <v>74</v>
      </c>
      <c r="P646" t="s">
        <v>74</v>
      </c>
      <c r="Q646" t="s">
        <v>74</v>
      </c>
      <c r="R646" t="s">
        <v>74</v>
      </c>
      <c r="S646" t="s">
        <v>74</v>
      </c>
      <c r="T646" t="s">
        <v>11628</v>
      </c>
      <c r="U646" t="s">
        <v>11629</v>
      </c>
      <c r="V646" t="s">
        <v>11630</v>
      </c>
      <c r="W646" t="s">
        <v>11631</v>
      </c>
      <c r="X646" t="s">
        <v>11632</v>
      </c>
      <c r="Y646" t="s">
        <v>11633</v>
      </c>
      <c r="Z646" t="s">
        <v>11634</v>
      </c>
      <c r="AA646" t="s">
        <v>11635</v>
      </c>
      <c r="AB646" t="s">
        <v>11636</v>
      </c>
      <c r="AC646" t="s">
        <v>11637</v>
      </c>
      <c r="AD646" t="s">
        <v>11638</v>
      </c>
      <c r="AE646" t="s">
        <v>11639</v>
      </c>
      <c r="AF646" t="s">
        <v>74</v>
      </c>
      <c r="AG646">
        <v>40</v>
      </c>
      <c r="AH646">
        <v>2</v>
      </c>
      <c r="AI646">
        <v>2</v>
      </c>
      <c r="AJ646">
        <v>0</v>
      </c>
      <c r="AK646">
        <v>3</v>
      </c>
      <c r="AL646" t="s">
        <v>11640</v>
      </c>
      <c r="AM646" t="s">
        <v>11641</v>
      </c>
      <c r="AN646" t="s">
        <v>11642</v>
      </c>
      <c r="AO646" t="s">
        <v>11517</v>
      </c>
      <c r="AP646" t="s">
        <v>74</v>
      </c>
      <c r="AQ646" t="s">
        <v>74</v>
      </c>
      <c r="AR646" t="s">
        <v>11519</v>
      </c>
      <c r="AS646" t="s">
        <v>3721</v>
      </c>
      <c r="AT646" t="s">
        <v>74</v>
      </c>
      <c r="AU646">
        <v>2009</v>
      </c>
      <c r="AV646">
        <v>27</v>
      </c>
      <c r="AW646">
        <v>6</v>
      </c>
      <c r="AX646" t="s">
        <v>74</v>
      </c>
      <c r="AY646" t="s">
        <v>74</v>
      </c>
      <c r="AZ646" t="s">
        <v>74</v>
      </c>
      <c r="BA646" t="s">
        <v>74</v>
      </c>
      <c r="BB646">
        <v>2423</v>
      </c>
      <c r="BC646">
        <v>2438</v>
      </c>
      <c r="BD646" t="s">
        <v>74</v>
      </c>
      <c r="BE646" t="s">
        <v>11643</v>
      </c>
      <c r="BF646" t="str">
        <f>HYPERLINK("http://dx.doi.org/10.5194/angeo-27-2423-2009","http://dx.doi.org/10.5194/angeo-27-2423-2009")</f>
        <v>http://dx.doi.org/10.5194/angeo-27-2423-2009</v>
      </c>
      <c r="BG646" t="s">
        <v>74</v>
      </c>
      <c r="BH646" t="s">
        <v>74</v>
      </c>
      <c r="BI646">
        <v>16</v>
      </c>
      <c r="BJ646" t="s">
        <v>11521</v>
      </c>
      <c r="BK646" t="s">
        <v>100</v>
      </c>
      <c r="BL646" t="s">
        <v>11522</v>
      </c>
      <c r="BM646" t="s">
        <v>11644</v>
      </c>
      <c r="BN646" t="s">
        <v>74</v>
      </c>
      <c r="BO646" t="s">
        <v>450</v>
      </c>
      <c r="BP646" t="s">
        <v>74</v>
      </c>
      <c r="BQ646" t="s">
        <v>74</v>
      </c>
      <c r="BR646" t="s">
        <v>103</v>
      </c>
      <c r="BS646" t="s">
        <v>11645</v>
      </c>
      <c r="BT646" t="str">
        <f>HYPERLINK("https%3A%2F%2Fwww.webofscience.com%2Fwos%2Fwoscc%2Ffull-record%2FWOS:000267543600016","View Full Record in Web of Science")</f>
        <v>View Full Record in Web of Science</v>
      </c>
    </row>
    <row r="647" spans="1:72" x14ac:dyDescent="0.15">
      <c r="A647" t="s">
        <v>72</v>
      </c>
      <c r="B647" t="s">
        <v>11646</v>
      </c>
      <c r="C647" t="s">
        <v>74</v>
      </c>
      <c r="D647" t="s">
        <v>74</v>
      </c>
      <c r="E647" t="s">
        <v>74</v>
      </c>
      <c r="F647" t="s">
        <v>11647</v>
      </c>
      <c r="G647" t="s">
        <v>74</v>
      </c>
      <c r="H647" t="s">
        <v>74</v>
      </c>
      <c r="I647" t="s">
        <v>11648</v>
      </c>
      <c r="J647" t="s">
        <v>11504</v>
      </c>
      <c r="K647" t="s">
        <v>74</v>
      </c>
      <c r="L647" t="s">
        <v>74</v>
      </c>
      <c r="M647" t="s">
        <v>78</v>
      </c>
      <c r="N647" t="s">
        <v>79</v>
      </c>
      <c r="O647" t="s">
        <v>74</v>
      </c>
      <c r="P647" t="s">
        <v>74</v>
      </c>
      <c r="Q647" t="s">
        <v>74</v>
      </c>
      <c r="R647" t="s">
        <v>74</v>
      </c>
      <c r="S647" t="s">
        <v>74</v>
      </c>
      <c r="T647" t="s">
        <v>11649</v>
      </c>
      <c r="U647" t="s">
        <v>11650</v>
      </c>
      <c r="V647" t="s">
        <v>11651</v>
      </c>
      <c r="W647" t="s">
        <v>11652</v>
      </c>
      <c r="X647" t="s">
        <v>11653</v>
      </c>
      <c r="Y647" t="s">
        <v>11654</v>
      </c>
      <c r="Z647" t="s">
        <v>11655</v>
      </c>
      <c r="AA647" t="s">
        <v>74</v>
      </c>
      <c r="AB647" t="s">
        <v>74</v>
      </c>
      <c r="AC647" t="s">
        <v>11656</v>
      </c>
      <c r="AD647" t="s">
        <v>11657</v>
      </c>
      <c r="AE647" t="s">
        <v>11658</v>
      </c>
      <c r="AF647" t="s">
        <v>74</v>
      </c>
      <c r="AG647">
        <v>43</v>
      </c>
      <c r="AH647">
        <v>6</v>
      </c>
      <c r="AI647">
        <v>7</v>
      </c>
      <c r="AJ647">
        <v>1</v>
      </c>
      <c r="AK647">
        <v>5</v>
      </c>
      <c r="AL647" t="s">
        <v>11640</v>
      </c>
      <c r="AM647" t="s">
        <v>11641</v>
      </c>
      <c r="AN647" t="s">
        <v>11642</v>
      </c>
      <c r="AO647" t="s">
        <v>11517</v>
      </c>
      <c r="AP647" t="s">
        <v>74</v>
      </c>
      <c r="AQ647" t="s">
        <v>74</v>
      </c>
      <c r="AR647" t="s">
        <v>11519</v>
      </c>
      <c r="AS647" t="s">
        <v>3721</v>
      </c>
      <c r="AT647" t="s">
        <v>74</v>
      </c>
      <c r="AU647">
        <v>2009</v>
      </c>
      <c r="AV647">
        <v>27</v>
      </c>
      <c r="AW647">
        <v>6</v>
      </c>
      <c r="AX647" t="s">
        <v>74</v>
      </c>
      <c r="AY647" t="s">
        <v>74</v>
      </c>
      <c r="AZ647" t="s">
        <v>74</v>
      </c>
      <c r="BA647" t="s">
        <v>74</v>
      </c>
      <c r="BB647">
        <v>2491</v>
      </c>
      <c r="BC647">
        <v>2502</v>
      </c>
      <c r="BD647" t="s">
        <v>74</v>
      </c>
      <c r="BE647" t="s">
        <v>11659</v>
      </c>
      <c r="BF647" t="str">
        <f>HYPERLINK("http://dx.doi.org/10.5194/angeo-27-2491-2009","http://dx.doi.org/10.5194/angeo-27-2491-2009")</f>
        <v>http://dx.doi.org/10.5194/angeo-27-2491-2009</v>
      </c>
      <c r="BG647" t="s">
        <v>74</v>
      </c>
      <c r="BH647" t="s">
        <v>74</v>
      </c>
      <c r="BI647">
        <v>12</v>
      </c>
      <c r="BJ647" t="s">
        <v>11521</v>
      </c>
      <c r="BK647" t="s">
        <v>100</v>
      </c>
      <c r="BL647" t="s">
        <v>11522</v>
      </c>
      <c r="BM647" t="s">
        <v>11644</v>
      </c>
      <c r="BN647" t="s">
        <v>74</v>
      </c>
      <c r="BO647" t="s">
        <v>7315</v>
      </c>
      <c r="BP647" t="s">
        <v>74</v>
      </c>
      <c r="BQ647" t="s">
        <v>74</v>
      </c>
      <c r="BR647" t="s">
        <v>103</v>
      </c>
      <c r="BS647" t="s">
        <v>11660</v>
      </c>
      <c r="BT647" t="str">
        <f>HYPERLINK("https%3A%2F%2Fwww.webofscience.com%2Fwos%2Fwoscc%2Ffull-record%2FWOS:000267543600022","View Full Record in Web of Science")</f>
        <v>View Full Record in Web of Science</v>
      </c>
    </row>
    <row r="648" spans="1:72" x14ac:dyDescent="0.15">
      <c r="A648" t="s">
        <v>72</v>
      </c>
      <c r="B648" t="s">
        <v>11661</v>
      </c>
      <c r="C648" t="s">
        <v>74</v>
      </c>
      <c r="D648" t="s">
        <v>74</v>
      </c>
      <c r="E648" t="s">
        <v>74</v>
      </c>
      <c r="F648" t="s">
        <v>11662</v>
      </c>
      <c r="G648" t="s">
        <v>74</v>
      </c>
      <c r="H648" t="s">
        <v>74</v>
      </c>
      <c r="I648" t="s">
        <v>11663</v>
      </c>
      <c r="J648" t="s">
        <v>11504</v>
      </c>
      <c r="K648" t="s">
        <v>74</v>
      </c>
      <c r="L648" t="s">
        <v>74</v>
      </c>
      <c r="M648" t="s">
        <v>78</v>
      </c>
      <c r="N648" t="s">
        <v>79</v>
      </c>
      <c r="O648" t="s">
        <v>74</v>
      </c>
      <c r="P648" t="s">
        <v>74</v>
      </c>
      <c r="Q648" t="s">
        <v>74</v>
      </c>
      <c r="R648" t="s">
        <v>74</v>
      </c>
      <c r="S648" t="s">
        <v>74</v>
      </c>
      <c r="T648" t="s">
        <v>11664</v>
      </c>
      <c r="U648" t="s">
        <v>11665</v>
      </c>
      <c r="V648" t="s">
        <v>11666</v>
      </c>
      <c r="W648" t="s">
        <v>11667</v>
      </c>
      <c r="X648" t="s">
        <v>11668</v>
      </c>
      <c r="Y648" t="s">
        <v>11669</v>
      </c>
      <c r="Z648" t="s">
        <v>11670</v>
      </c>
      <c r="AA648" t="s">
        <v>11671</v>
      </c>
      <c r="AB648" t="s">
        <v>11672</v>
      </c>
      <c r="AC648" t="s">
        <v>11673</v>
      </c>
      <c r="AD648" t="s">
        <v>11674</v>
      </c>
      <c r="AE648" t="s">
        <v>11675</v>
      </c>
      <c r="AF648" t="s">
        <v>74</v>
      </c>
      <c r="AG648">
        <v>18</v>
      </c>
      <c r="AH648">
        <v>22</v>
      </c>
      <c r="AI648">
        <v>24</v>
      </c>
      <c r="AJ648">
        <v>0</v>
      </c>
      <c r="AK648">
        <v>3</v>
      </c>
      <c r="AL648" t="s">
        <v>7730</v>
      </c>
      <c r="AM648" t="s">
        <v>7731</v>
      </c>
      <c r="AN648" t="s">
        <v>7732</v>
      </c>
      <c r="AO648" t="s">
        <v>11517</v>
      </c>
      <c r="AP648" t="s">
        <v>11518</v>
      </c>
      <c r="AQ648" t="s">
        <v>74</v>
      </c>
      <c r="AR648" t="s">
        <v>11519</v>
      </c>
      <c r="AS648" t="s">
        <v>3721</v>
      </c>
      <c r="AT648" t="s">
        <v>74</v>
      </c>
      <c r="AU648">
        <v>2009</v>
      </c>
      <c r="AV648">
        <v>27</v>
      </c>
      <c r="AW648">
        <v>6</v>
      </c>
      <c r="AX648" t="s">
        <v>74</v>
      </c>
      <c r="AY648" t="s">
        <v>74</v>
      </c>
      <c r="AZ648" t="s">
        <v>74</v>
      </c>
      <c r="BA648" t="s">
        <v>74</v>
      </c>
      <c r="BB648">
        <v>2593</v>
      </c>
      <c r="BC648">
        <v>2598</v>
      </c>
      <c r="BD648" t="s">
        <v>74</v>
      </c>
      <c r="BE648" t="s">
        <v>11676</v>
      </c>
      <c r="BF648" t="str">
        <f>HYPERLINK("http://dx.doi.org/10.5194/angeo-27-2593-2009","http://dx.doi.org/10.5194/angeo-27-2593-2009")</f>
        <v>http://dx.doi.org/10.5194/angeo-27-2593-2009</v>
      </c>
      <c r="BG648" t="s">
        <v>74</v>
      </c>
      <c r="BH648" t="s">
        <v>74</v>
      </c>
      <c r="BI648">
        <v>6</v>
      </c>
      <c r="BJ648" t="s">
        <v>11521</v>
      </c>
      <c r="BK648" t="s">
        <v>100</v>
      </c>
      <c r="BL648" t="s">
        <v>11522</v>
      </c>
      <c r="BM648" t="s">
        <v>11644</v>
      </c>
      <c r="BN648" t="s">
        <v>74</v>
      </c>
      <c r="BO648" t="s">
        <v>450</v>
      </c>
      <c r="BP648" t="s">
        <v>74</v>
      </c>
      <c r="BQ648" t="s">
        <v>74</v>
      </c>
      <c r="BR648" t="s">
        <v>103</v>
      </c>
      <c r="BS648" t="s">
        <v>11677</v>
      </c>
      <c r="BT648" t="str">
        <f>HYPERLINK("https%3A%2F%2Fwww.webofscience.com%2Fwos%2Fwoscc%2Ffull-record%2FWOS:000267543600032","View Full Record in Web of Science")</f>
        <v>View Full Record in Web of Science</v>
      </c>
    </row>
    <row r="649" spans="1:72" x14ac:dyDescent="0.15">
      <c r="A649" t="s">
        <v>72</v>
      </c>
      <c r="B649" t="s">
        <v>11678</v>
      </c>
      <c r="C649" t="s">
        <v>74</v>
      </c>
      <c r="D649" t="s">
        <v>74</v>
      </c>
      <c r="E649" t="s">
        <v>74</v>
      </c>
      <c r="F649" t="s">
        <v>11679</v>
      </c>
      <c r="G649" t="s">
        <v>74</v>
      </c>
      <c r="H649" t="s">
        <v>74</v>
      </c>
      <c r="I649" t="s">
        <v>11680</v>
      </c>
      <c r="J649" t="s">
        <v>11504</v>
      </c>
      <c r="K649" t="s">
        <v>74</v>
      </c>
      <c r="L649" t="s">
        <v>74</v>
      </c>
      <c r="M649" t="s">
        <v>78</v>
      </c>
      <c r="N649" t="s">
        <v>79</v>
      </c>
      <c r="O649" t="s">
        <v>74</v>
      </c>
      <c r="P649" t="s">
        <v>74</v>
      </c>
      <c r="Q649" t="s">
        <v>74</v>
      </c>
      <c r="R649" t="s">
        <v>74</v>
      </c>
      <c r="S649" t="s">
        <v>74</v>
      </c>
      <c r="T649" t="s">
        <v>11681</v>
      </c>
      <c r="U649" t="s">
        <v>11682</v>
      </c>
      <c r="V649" t="s">
        <v>11683</v>
      </c>
      <c r="W649" t="s">
        <v>11684</v>
      </c>
      <c r="X649" t="s">
        <v>11685</v>
      </c>
      <c r="Y649" t="s">
        <v>11686</v>
      </c>
      <c r="Z649" t="s">
        <v>11687</v>
      </c>
      <c r="AA649" t="s">
        <v>11688</v>
      </c>
      <c r="AB649" t="s">
        <v>11689</v>
      </c>
      <c r="AC649" t="s">
        <v>11690</v>
      </c>
      <c r="AD649" t="s">
        <v>11690</v>
      </c>
      <c r="AE649" t="s">
        <v>11691</v>
      </c>
      <c r="AF649" t="s">
        <v>74</v>
      </c>
      <c r="AG649">
        <v>36</v>
      </c>
      <c r="AH649">
        <v>2</v>
      </c>
      <c r="AI649">
        <v>2</v>
      </c>
      <c r="AJ649">
        <v>0</v>
      </c>
      <c r="AK649">
        <v>5</v>
      </c>
      <c r="AL649" t="s">
        <v>7730</v>
      </c>
      <c r="AM649" t="s">
        <v>7731</v>
      </c>
      <c r="AN649" t="s">
        <v>7732</v>
      </c>
      <c r="AO649" t="s">
        <v>11517</v>
      </c>
      <c r="AP649" t="s">
        <v>11518</v>
      </c>
      <c r="AQ649" t="s">
        <v>74</v>
      </c>
      <c r="AR649" t="s">
        <v>11519</v>
      </c>
      <c r="AS649" t="s">
        <v>3721</v>
      </c>
      <c r="AT649" t="s">
        <v>74</v>
      </c>
      <c r="AU649">
        <v>2009</v>
      </c>
      <c r="AV649">
        <v>27</v>
      </c>
      <c r="AW649">
        <v>7</v>
      </c>
      <c r="AX649" t="s">
        <v>74</v>
      </c>
      <c r="AY649" t="s">
        <v>74</v>
      </c>
      <c r="AZ649" t="s">
        <v>74</v>
      </c>
      <c r="BA649" t="s">
        <v>74</v>
      </c>
      <c r="BB649">
        <v>2653</v>
      </c>
      <c r="BC649">
        <v>2659</v>
      </c>
      <c r="BD649" t="s">
        <v>74</v>
      </c>
      <c r="BE649" t="s">
        <v>11692</v>
      </c>
      <c r="BF649" t="str">
        <f>HYPERLINK("http://dx.doi.org/10.5194/angeo-27-2653-2009","http://dx.doi.org/10.5194/angeo-27-2653-2009")</f>
        <v>http://dx.doi.org/10.5194/angeo-27-2653-2009</v>
      </c>
      <c r="BG649" t="s">
        <v>74</v>
      </c>
      <c r="BH649" t="s">
        <v>74</v>
      </c>
      <c r="BI649">
        <v>7</v>
      </c>
      <c r="BJ649" t="s">
        <v>11521</v>
      </c>
      <c r="BK649" t="s">
        <v>100</v>
      </c>
      <c r="BL649" t="s">
        <v>11522</v>
      </c>
      <c r="BM649" t="s">
        <v>11693</v>
      </c>
      <c r="BN649" t="s">
        <v>74</v>
      </c>
      <c r="BO649" t="s">
        <v>11694</v>
      </c>
      <c r="BP649" t="s">
        <v>74</v>
      </c>
      <c r="BQ649" t="s">
        <v>74</v>
      </c>
      <c r="BR649" t="s">
        <v>103</v>
      </c>
      <c r="BS649" t="s">
        <v>11695</v>
      </c>
      <c r="BT649" t="str">
        <f>HYPERLINK("https%3A%2F%2Fwww.webofscience.com%2Fwos%2Fwoscc%2Ffull-record%2FWOS:000268622700005","View Full Record in Web of Science")</f>
        <v>View Full Record in Web of Science</v>
      </c>
    </row>
    <row r="650" spans="1:72" x14ac:dyDescent="0.15">
      <c r="A650" t="s">
        <v>72</v>
      </c>
      <c r="B650" t="s">
        <v>11696</v>
      </c>
      <c r="C650" t="s">
        <v>74</v>
      </c>
      <c r="D650" t="s">
        <v>74</v>
      </c>
      <c r="E650" t="s">
        <v>74</v>
      </c>
      <c r="F650" t="s">
        <v>11697</v>
      </c>
      <c r="G650" t="s">
        <v>74</v>
      </c>
      <c r="H650" t="s">
        <v>74</v>
      </c>
      <c r="I650" t="s">
        <v>11698</v>
      </c>
      <c r="J650" t="s">
        <v>11504</v>
      </c>
      <c r="K650" t="s">
        <v>74</v>
      </c>
      <c r="L650" t="s">
        <v>74</v>
      </c>
      <c r="M650" t="s">
        <v>78</v>
      </c>
      <c r="N650" t="s">
        <v>79</v>
      </c>
      <c r="O650" t="s">
        <v>74</v>
      </c>
      <c r="P650" t="s">
        <v>74</v>
      </c>
      <c r="Q650" t="s">
        <v>74</v>
      </c>
      <c r="R650" t="s">
        <v>74</v>
      </c>
      <c r="S650" t="s">
        <v>74</v>
      </c>
      <c r="T650" t="s">
        <v>11699</v>
      </c>
      <c r="U650" t="s">
        <v>11700</v>
      </c>
      <c r="V650" t="s">
        <v>11701</v>
      </c>
      <c r="W650" t="s">
        <v>11702</v>
      </c>
      <c r="X650" t="s">
        <v>11703</v>
      </c>
      <c r="Y650" t="s">
        <v>11704</v>
      </c>
      <c r="Z650" t="s">
        <v>11705</v>
      </c>
      <c r="AA650" t="s">
        <v>11706</v>
      </c>
      <c r="AB650" t="s">
        <v>11707</v>
      </c>
      <c r="AC650" t="s">
        <v>11708</v>
      </c>
      <c r="AD650" t="s">
        <v>11709</v>
      </c>
      <c r="AE650" t="s">
        <v>74</v>
      </c>
      <c r="AF650" t="s">
        <v>74</v>
      </c>
      <c r="AG650">
        <v>19</v>
      </c>
      <c r="AH650">
        <v>34</v>
      </c>
      <c r="AI650">
        <v>35</v>
      </c>
      <c r="AJ650">
        <v>0</v>
      </c>
      <c r="AK650">
        <v>13</v>
      </c>
      <c r="AL650" t="s">
        <v>7730</v>
      </c>
      <c r="AM650" t="s">
        <v>7731</v>
      </c>
      <c r="AN650" t="s">
        <v>7732</v>
      </c>
      <c r="AO650" t="s">
        <v>11517</v>
      </c>
      <c r="AP650" t="s">
        <v>11518</v>
      </c>
      <c r="AQ650" t="s">
        <v>74</v>
      </c>
      <c r="AR650" t="s">
        <v>11519</v>
      </c>
      <c r="AS650" t="s">
        <v>3721</v>
      </c>
      <c r="AT650" t="s">
        <v>74</v>
      </c>
      <c r="AU650">
        <v>2009</v>
      </c>
      <c r="AV650">
        <v>27</v>
      </c>
      <c r="AW650">
        <v>7</v>
      </c>
      <c r="AX650" t="s">
        <v>74</v>
      </c>
      <c r="AY650" t="s">
        <v>74</v>
      </c>
      <c r="AZ650" t="s">
        <v>74</v>
      </c>
      <c r="BA650" t="s">
        <v>74</v>
      </c>
      <c r="BB650">
        <v>2831</v>
      </c>
      <c r="BC650">
        <v>2841</v>
      </c>
      <c r="BD650" t="s">
        <v>74</v>
      </c>
      <c r="BE650" t="s">
        <v>11710</v>
      </c>
      <c r="BF650" t="str">
        <f>HYPERLINK("http://dx.doi.org/10.5194/angeo-27-2831-2009","http://dx.doi.org/10.5194/angeo-27-2831-2009")</f>
        <v>http://dx.doi.org/10.5194/angeo-27-2831-2009</v>
      </c>
      <c r="BG650" t="s">
        <v>74</v>
      </c>
      <c r="BH650" t="s">
        <v>74</v>
      </c>
      <c r="BI650">
        <v>11</v>
      </c>
      <c r="BJ650" t="s">
        <v>11521</v>
      </c>
      <c r="BK650" t="s">
        <v>100</v>
      </c>
      <c r="BL650" t="s">
        <v>11522</v>
      </c>
      <c r="BM650" t="s">
        <v>11693</v>
      </c>
      <c r="BN650" t="s">
        <v>74</v>
      </c>
      <c r="BO650" t="s">
        <v>1106</v>
      </c>
      <c r="BP650" t="s">
        <v>74</v>
      </c>
      <c r="BQ650" t="s">
        <v>74</v>
      </c>
      <c r="BR650" t="s">
        <v>103</v>
      </c>
      <c r="BS650" t="s">
        <v>11711</v>
      </c>
      <c r="BT650" t="str">
        <f>HYPERLINK("https%3A%2F%2Fwww.webofscience.com%2Fwos%2Fwoscc%2Ffull-record%2FWOS:000268622700019","View Full Record in Web of Science")</f>
        <v>View Full Record in Web of Science</v>
      </c>
    </row>
    <row r="651" spans="1:72" x14ac:dyDescent="0.15">
      <c r="A651" t="s">
        <v>72</v>
      </c>
      <c r="B651" t="s">
        <v>11712</v>
      </c>
      <c r="C651" t="s">
        <v>74</v>
      </c>
      <c r="D651" t="s">
        <v>74</v>
      </c>
      <c r="E651" t="s">
        <v>74</v>
      </c>
      <c r="F651" t="s">
        <v>11713</v>
      </c>
      <c r="G651" t="s">
        <v>74</v>
      </c>
      <c r="H651" t="s">
        <v>74</v>
      </c>
      <c r="I651" t="s">
        <v>11714</v>
      </c>
      <c r="J651" t="s">
        <v>11504</v>
      </c>
      <c r="K651" t="s">
        <v>74</v>
      </c>
      <c r="L651" t="s">
        <v>74</v>
      </c>
      <c r="M651" t="s">
        <v>78</v>
      </c>
      <c r="N651" t="s">
        <v>79</v>
      </c>
      <c r="O651" t="s">
        <v>74</v>
      </c>
      <c r="P651" t="s">
        <v>74</v>
      </c>
      <c r="Q651" t="s">
        <v>74</v>
      </c>
      <c r="R651" t="s">
        <v>74</v>
      </c>
      <c r="S651" t="s">
        <v>74</v>
      </c>
      <c r="T651" t="s">
        <v>11715</v>
      </c>
      <c r="U651" t="s">
        <v>11716</v>
      </c>
      <c r="V651" t="s">
        <v>11717</v>
      </c>
      <c r="W651" t="s">
        <v>11718</v>
      </c>
      <c r="X651" t="s">
        <v>7935</v>
      </c>
      <c r="Y651" t="s">
        <v>11547</v>
      </c>
      <c r="Z651" t="s">
        <v>11548</v>
      </c>
      <c r="AA651" t="s">
        <v>74</v>
      </c>
      <c r="AB651" t="s">
        <v>11719</v>
      </c>
      <c r="AC651" t="s">
        <v>11720</v>
      </c>
      <c r="AD651" t="s">
        <v>11721</v>
      </c>
      <c r="AE651" t="s">
        <v>11722</v>
      </c>
      <c r="AF651" t="s">
        <v>74</v>
      </c>
      <c r="AG651">
        <v>44</v>
      </c>
      <c r="AH651">
        <v>79</v>
      </c>
      <c r="AI651">
        <v>81</v>
      </c>
      <c r="AJ651">
        <v>1</v>
      </c>
      <c r="AK651">
        <v>4</v>
      </c>
      <c r="AL651" t="s">
        <v>7730</v>
      </c>
      <c r="AM651" t="s">
        <v>7731</v>
      </c>
      <c r="AN651" t="s">
        <v>7732</v>
      </c>
      <c r="AO651" t="s">
        <v>11517</v>
      </c>
      <c r="AP651" t="s">
        <v>11518</v>
      </c>
      <c r="AQ651" t="s">
        <v>74</v>
      </c>
      <c r="AR651" t="s">
        <v>11519</v>
      </c>
      <c r="AS651" t="s">
        <v>3721</v>
      </c>
      <c r="AT651" t="s">
        <v>74</v>
      </c>
      <c r="AU651">
        <v>2009</v>
      </c>
      <c r="AV651">
        <v>27</v>
      </c>
      <c r="AW651">
        <v>7</v>
      </c>
      <c r="AX651" t="s">
        <v>74</v>
      </c>
      <c r="AY651" t="s">
        <v>74</v>
      </c>
      <c r="AZ651" t="s">
        <v>74</v>
      </c>
      <c r="BA651" t="s">
        <v>74</v>
      </c>
      <c r="BB651">
        <v>2913</v>
      </c>
      <c r="BC651">
        <v>2924</v>
      </c>
      <c r="BD651" t="s">
        <v>74</v>
      </c>
      <c r="BE651" t="s">
        <v>11723</v>
      </c>
      <c r="BF651" t="str">
        <f>HYPERLINK("http://dx.doi.org/10.5194/angeo-27-2913-2009","http://dx.doi.org/10.5194/angeo-27-2913-2009")</f>
        <v>http://dx.doi.org/10.5194/angeo-27-2913-2009</v>
      </c>
      <c r="BG651" t="s">
        <v>74</v>
      </c>
      <c r="BH651" t="s">
        <v>74</v>
      </c>
      <c r="BI651">
        <v>12</v>
      </c>
      <c r="BJ651" t="s">
        <v>11521</v>
      </c>
      <c r="BK651" t="s">
        <v>100</v>
      </c>
      <c r="BL651" t="s">
        <v>11522</v>
      </c>
      <c r="BM651" t="s">
        <v>11693</v>
      </c>
      <c r="BN651" t="s">
        <v>74</v>
      </c>
      <c r="BO651" t="s">
        <v>450</v>
      </c>
      <c r="BP651" t="s">
        <v>74</v>
      </c>
      <c r="BQ651" t="s">
        <v>74</v>
      </c>
      <c r="BR651" t="s">
        <v>103</v>
      </c>
      <c r="BS651" t="s">
        <v>11724</v>
      </c>
      <c r="BT651" t="str">
        <f>HYPERLINK("https%3A%2F%2Fwww.webofscience.com%2Fwos%2Fwoscc%2Ffull-record%2FWOS:000268622700027","View Full Record in Web of Science")</f>
        <v>View Full Record in Web of Science</v>
      </c>
    </row>
    <row r="652" spans="1:72" x14ac:dyDescent="0.15">
      <c r="A652" t="s">
        <v>72</v>
      </c>
      <c r="B652" t="s">
        <v>11725</v>
      </c>
      <c r="C652" t="s">
        <v>74</v>
      </c>
      <c r="D652" t="s">
        <v>74</v>
      </c>
      <c r="E652" t="s">
        <v>74</v>
      </c>
      <c r="F652" t="s">
        <v>11726</v>
      </c>
      <c r="G652" t="s">
        <v>74</v>
      </c>
      <c r="H652" t="s">
        <v>74</v>
      </c>
      <c r="I652" t="s">
        <v>11727</v>
      </c>
      <c r="J652" t="s">
        <v>11504</v>
      </c>
      <c r="K652" t="s">
        <v>74</v>
      </c>
      <c r="L652" t="s">
        <v>74</v>
      </c>
      <c r="M652" t="s">
        <v>78</v>
      </c>
      <c r="N652" t="s">
        <v>79</v>
      </c>
      <c r="O652" t="s">
        <v>74</v>
      </c>
      <c r="P652" t="s">
        <v>74</v>
      </c>
      <c r="Q652" t="s">
        <v>74</v>
      </c>
      <c r="R652" t="s">
        <v>74</v>
      </c>
      <c r="S652" t="s">
        <v>74</v>
      </c>
      <c r="T652" t="s">
        <v>11728</v>
      </c>
      <c r="U652" t="s">
        <v>11729</v>
      </c>
      <c r="V652" t="s">
        <v>11730</v>
      </c>
      <c r="W652" t="s">
        <v>11731</v>
      </c>
      <c r="X652" t="s">
        <v>11732</v>
      </c>
      <c r="Y652" t="s">
        <v>11733</v>
      </c>
      <c r="Z652" t="s">
        <v>11734</v>
      </c>
      <c r="AA652" t="s">
        <v>11735</v>
      </c>
      <c r="AB652" t="s">
        <v>11736</v>
      </c>
      <c r="AC652" t="s">
        <v>11737</v>
      </c>
      <c r="AD652" t="s">
        <v>11738</v>
      </c>
      <c r="AE652" t="s">
        <v>11739</v>
      </c>
      <c r="AF652" t="s">
        <v>74</v>
      </c>
      <c r="AG652">
        <v>43</v>
      </c>
      <c r="AH652">
        <v>30</v>
      </c>
      <c r="AI652">
        <v>31</v>
      </c>
      <c r="AJ652">
        <v>1</v>
      </c>
      <c r="AK652">
        <v>17</v>
      </c>
      <c r="AL652" t="s">
        <v>7730</v>
      </c>
      <c r="AM652" t="s">
        <v>7731</v>
      </c>
      <c r="AN652" t="s">
        <v>7732</v>
      </c>
      <c r="AO652" t="s">
        <v>11517</v>
      </c>
      <c r="AP652" t="s">
        <v>11518</v>
      </c>
      <c r="AQ652" t="s">
        <v>74</v>
      </c>
      <c r="AR652" t="s">
        <v>11519</v>
      </c>
      <c r="AS652" t="s">
        <v>3721</v>
      </c>
      <c r="AT652" t="s">
        <v>74</v>
      </c>
      <c r="AU652">
        <v>2009</v>
      </c>
      <c r="AV652">
        <v>27</v>
      </c>
      <c r="AW652">
        <v>9</v>
      </c>
      <c r="AX652" t="s">
        <v>74</v>
      </c>
      <c r="AY652" t="s">
        <v>74</v>
      </c>
      <c r="AZ652" t="s">
        <v>74</v>
      </c>
      <c r="BA652" t="s">
        <v>74</v>
      </c>
      <c r="BB652">
        <v>3387</v>
      </c>
      <c r="BC652">
        <v>3409</v>
      </c>
      <c r="BD652" t="s">
        <v>74</v>
      </c>
      <c r="BE652" t="s">
        <v>11740</v>
      </c>
      <c r="BF652" t="str">
        <f>HYPERLINK("http://dx.doi.org/10.5194/angeo-27-3387-2009","http://dx.doi.org/10.5194/angeo-27-3387-2009")</f>
        <v>http://dx.doi.org/10.5194/angeo-27-3387-2009</v>
      </c>
      <c r="BG652" t="s">
        <v>74</v>
      </c>
      <c r="BH652" t="s">
        <v>74</v>
      </c>
      <c r="BI652">
        <v>23</v>
      </c>
      <c r="BJ652" t="s">
        <v>11521</v>
      </c>
      <c r="BK652" t="s">
        <v>100</v>
      </c>
      <c r="BL652" t="s">
        <v>11522</v>
      </c>
      <c r="BM652" t="s">
        <v>11741</v>
      </c>
      <c r="BN652" t="s">
        <v>74</v>
      </c>
      <c r="BO652" t="s">
        <v>11574</v>
      </c>
      <c r="BP652" t="s">
        <v>74</v>
      </c>
      <c r="BQ652" t="s">
        <v>74</v>
      </c>
      <c r="BR652" t="s">
        <v>103</v>
      </c>
      <c r="BS652" t="s">
        <v>11742</v>
      </c>
      <c r="BT652" t="str">
        <f>HYPERLINK("https%3A%2F%2Fwww.webofscience.com%2Fwos%2Fwoscc%2Ffull-record%2FWOS:000270321600004","View Full Record in Web of Science")</f>
        <v>View Full Record in Web of Science</v>
      </c>
    </row>
    <row r="653" spans="1:72" x14ac:dyDescent="0.15">
      <c r="A653" t="s">
        <v>72</v>
      </c>
      <c r="B653" t="s">
        <v>11743</v>
      </c>
      <c r="C653" t="s">
        <v>74</v>
      </c>
      <c r="D653" t="s">
        <v>74</v>
      </c>
      <c r="E653" t="s">
        <v>74</v>
      </c>
      <c r="F653" t="s">
        <v>11744</v>
      </c>
      <c r="G653" t="s">
        <v>74</v>
      </c>
      <c r="H653" t="s">
        <v>74</v>
      </c>
      <c r="I653" t="s">
        <v>11745</v>
      </c>
      <c r="J653" t="s">
        <v>11504</v>
      </c>
      <c r="K653" t="s">
        <v>74</v>
      </c>
      <c r="L653" t="s">
        <v>74</v>
      </c>
      <c r="M653" t="s">
        <v>78</v>
      </c>
      <c r="N653" t="s">
        <v>79</v>
      </c>
      <c r="O653" t="s">
        <v>74</v>
      </c>
      <c r="P653" t="s">
        <v>74</v>
      </c>
      <c r="Q653" t="s">
        <v>74</v>
      </c>
      <c r="R653" t="s">
        <v>74</v>
      </c>
      <c r="S653" t="s">
        <v>74</v>
      </c>
      <c r="T653" t="s">
        <v>11728</v>
      </c>
      <c r="U653" t="s">
        <v>11746</v>
      </c>
      <c r="V653" t="s">
        <v>11747</v>
      </c>
      <c r="W653" t="s">
        <v>11748</v>
      </c>
      <c r="X653" t="s">
        <v>11749</v>
      </c>
      <c r="Y653" t="s">
        <v>11733</v>
      </c>
      <c r="Z653" t="s">
        <v>11734</v>
      </c>
      <c r="AA653" t="s">
        <v>11750</v>
      </c>
      <c r="AB653" t="s">
        <v>11736</v>
      </c>
      <c r="AC653" t="s">
        <v>11751</v>
      </c>
      <c r="AD653" t="s">
        <v>11752</v>
      </c>
      <c r="AE653" t="s">
        <v>11753</v>
      </c>
      <c r="AF653" t="s">
        <v>74</v>
      </c>
      <c r="AG653">
        <v>42</v>
      </c>
      <c r="AH653">
        <v>12</v>
      </c>
      <c r="AI653">
        <v>12</v>
      </c>
      <c r="AJ653">
        <v>0</v>
      </c>
      <c r="AK653">
        <v>4</v>
      </c>
      <c r="AL653" t="s">
        <v>7730</v>
      </c>
      <c r="AM653" t="s">
        <v>7731</v>
      </c>
      <c r="AN653" t="s">
        <v>7732</v>
      </c>
      <c r="AO653" t="s">
        <v>11517</v>
      </c>
      <c r="AP653" t="s">
        <v>11518</v>
      </c>
      <c r="AQ653" t="s">
        <v>74</v>
      </c>
      <c r="AR653" t="s">
        <v>11519</v>
      </c>
      <c r="AS653" t="s">
        <v>3721</v>
      </c>
      <c r="AT653" t="s">
        <v>74</v>
      </c>
      <c r="AU653">
        <v>2009</v>
      </c>
      <c r="AV653">
        <v>27</v>
      </c>
      <c r="AW653">
        <v>11</v>
      </c>
      <c r="AX653" t="s">
        <v>74</v>
      </c>
      <c r="AY653" t="s">
        <v>74</v>
      </c>
      <c r="AZ653" t="s">
        <v>74</v>
      </c>
      <c r="BA653" t="s">
        <v>74</v>
      </c>
      <c r="BB653">
        <v>4239</v>
      </c>
      <c r="BC653">
        <v>4256</v>
      </c>
      <c r="BD653" t="s">
        <v>74</v>
      </c>
      <c r="BE653" t="s">
        <v>11754</v>
      </c>
      <c r="BF653" t="str">
        <f>HYPERLINK("http://dx.doi.org/10.5194/angeo-27-4239-2009","http://dx.doi.org/10.5194/angeo-27-4239-2009")</f>
        <v>http://dx.doi.org/10.5194/angeo-27-4239-2009</v>
      </c>
      <c r="BG653" t="s">
        <v>74</v>
      </c>
      <c r="BH653" t="s">
        <v>74</v>
      </c>
      <c r="BI653">
        <v>18</v>
      </c>
      <c r="BJ653" t="s">
        <v>11521</v>
      </c>
      <c r="BK653" t="s">
        <v>100</v>
      </c>
      <c r="BL653" t="s">
        <v>11522</v>
      </c>
      <c r="BM653" t="s">
        <v>11755</v>
      </c>
      <c r="BN653" t="s">
        <v>74</v>
      </c>
      <c r="BO653" t="s">
        <v>11623</v>
      </c>
      <c r="BP653" t="s">
        <v>74</v>
      </c>
      <c r="BQ653" t="s">
        <v>74</v>
      </c>
      <c r="BR653" t="s">
        <v>103</v>
      </c>
      <c r="BS653" t="s">
        <v>11756</v>
      </c>
      <c r="BT653" t="str">
        <f>HYPERLINK("https%3A%2F%2Fwww.webofscience.com%2Fwos%2Fwoscc%2Ffull-record%2FWOS:000272232100013","View Full Record in Web of Science")</f>
        <v>View Full Record in Web of Science</v>
      </c>
    </row>
    <row r="654" spans="1:72" x14ac:dyDescent="0.15">
      <c r="A654" t="s">
        <v>72</v>
      </c>
      <c r="B654" t="s">
        <v>11757</v>
      </c>
      <c r="C654" t="s">
        <v>74</v>
      </c>
      <c r="D654" t="s">
        <v>74</v>
      </c>
      <c r="E654" t="s">
        <v>74</v>
      </c>
      <c r="F654" t="s">
        <v>11758</v>
      </c>
      <c r="G654" t="s">
        <v>74</v>
      </c>
      <c r="H654" t="s">
        <v>74</v>
      </c>
      <c r="I654" t="s">
        <v>11759</v>
      </c>
      <c r="J654" t="s">
        <v>11760</v>
      </c>
      <c r="K654" t="s">
        <v>74</v>
      </c>
      <c r="L654" t="s">
        <v>74</v>
      </c>
      <c r="M654" t="s">
        <v>78</v>
      </c>
      <c r="N654" t="s">
        <v>79</v>
      </c>
      <c r="O654" t="s">
        <v>74</v>
      </c>
      <c r="P654" t="s">
        <v>74</v>
      </c>
      <c r="Q654" t="s">
        <v>74</v>
      </c>
      <c r="R654" t="s">
        <v>74</v>
      </c>
      <c r="S654" t="s">
        <v>74</v>
      </c>
      <c r="T654" t="s">
        <v>74</v>
      </c>
      <c r="U654" t="s">
        <v>11761</v>
      </c>
      <c r="V654" t="s">
        <v>11762</v>
      </c>
      <c r="W654" t="s">
        <v>11763</v>
      </c>
      <c r="X654" t="s">
        <v>11764</v>
      </c>
      <c r="Y654" t="s">
        <v>11765</v>
      </c>
      <c r="Z654" t="s">
        <v>11766</v>
      </c>
      <c r="AA654" t="s">
        <v>11767</v>
      </c>
      <c r="AB654" t="s">
        <v>11768</v>
      </c>
      <c r="AC654" t="s">
        <v>11769</v>
      </c>
      <c r="AD654" t="s">
        <v>11770</v>
      </c>
      <c r="AE654" t="s">
        <v>11771</v>
      </c>
      <c r="AF654" t="s">
        <v>74</v>
      </c>
      <c r="AG654">
        <v>26</v>
      </c>
      <c r="AH654">
        <v>17</v>
      </c>
      <c r="AI654">
        <v>22</v>
      </c>
      <c r="AJ654">
        <v>0</v>
      </c>
      <c r="AK654">
        <v>14</v>
      </c>
      <c r="AL654" t="s">
        <v>11772</v>
      </c>
      <c r="AM654" t="s">
        <v>5833</v>
      </c>
      <c r="AN654" t="s">
        <v>11773</v>
      </c>
      <c r="AO654" t="s">
        <v>11774</v>
      </c>
      <c r="AP654" t="s">
        <v>74</v>
      </c>
      <c r="AQ654" t="s">
        <v>74</v>
      </c>
      <c r="AR654" t="s">
        <v>11775</v>
      </c>
      <c r="AS654" t="s">
        <v>11776</v>
      </c>
      <c r="AT654" t="s">
        <v>74</v>
      </c>
      <c r="AU654">
        <v>2009</v>
      </c>
      <c r="AV654">
        <v>50</v>
      </c>
      <c r="AW654">
        <v>51</v>
      </c>
      <c r="AX654" t="s">
        <v>74</v>
      </c>
      <c r="AY654" t="s">
        <v>74</v>
      </c>
      <c r="AZ654" t="s">
        <v>74</v>
      </c>
      <c r="BA654" t="s">
        <v>74</v>
      </c>
      <c r="BB654">
        <v>25</v>
      </c>
      <c r="BC654">
        <v>34</v>
      </c>
      <c r="BD654" t="s">
        <v>74</v>
      </c>
      <c r="BE654" t="s">
        <v>11777</v>
      </c>
      <c r="BF654" t="str">
        <f>HYPERLINK("http://dx.doi.org/10.3189/172756409789097441","http://dx.doi.org/10.3189/172756409789097441")</f>
        <v>http://dx.doi.org/10.3189/172756409789097441</v>
      </c>
      <c r="BG654" t="s">
        <v>74</v>
      </c>
      <c r="BH654" t="s">
        <v>74</v>
      </c>
      <c r="BI654">
        <v>10</v>
      </c>
      <c r="BJ654" t="s">
        <v>312</v>
      </c>
      <c r="BK654" t="s">
        <v>100</v>
      </c>
      <c r="BL654" t="s">
        <v>313</v>
      </c>
      <c r="BM654" t="s">
        <v>11778</v>
      </c>
      <c r="BN654" t="s">
        <v>74</v>
      </c>
      <c r="BO654" t="s">
        <v>499</v>
      </c>
      <c r="BP654" t="s">
        <v>74</v>
      </c>
      <c r="BQ654" t="s">
        <v>74</v>
      </c>
      <c r="BR654" t="s">
        <v>103</v>
      </c>
      <c r="BS654" t="s">
        <v>11779</v>
      </c>
      <c r="BT654" t="str">
        <f>HYPERLINK("https%3A%2F%2Fwww.webofscience.com%2Fwos%2Fwoscc%2Ffull-record%2FWOS:000280106200005","View Full Record in Web of Science")</f>
        <v>View Full Record in Web of Science</v>
      </c>
    </row>
    <row r="655" spans="1:72" x14ac:dyDescent="0.15">
      <c r="A655" t="s">
        <v>72</v>
      </c>
      <c r="B655" t="s">
        <v>11780</v>
      </c>
      <c r="C655" t="s">
        <v>74</v>
      </c>
      <c r="D655" t="s">
        <v>74</v>
      </c>
      <c r="E655" t="s">
        <v>74</v>
      </c>
      <c r="F655" t="s">
        <v>11781</v>
      </c>
      <c r="G655" t="s">
        <v>74</v>
      </c>
      <c r="H655" t="s">
        <v>74</v>
      </c>
      <c r="I655" t="s">
        <v>11782</v>
      </c>
      <c r="J655" t="s">
        <v>11760</v>
      </c>
      <c r="K655" t="s">
        <v>74</v>
      </c>
      <c r="L655" t="s">
        <v>74</v>
      </c>
      <c r="M655" t="s">
        <v>78</v>
      </c>
      <c r="N655" t="s">
        <v>79</v>
      </c>
      <c r="O655" t="s">
        <v>74</v>
      </c>
      <c r="P655" t="s">
        <v>74</v>
      </c>
      <c r="Q655" t="s">
        <v>74</v>
      </c>
      <c r="R655" t="s">
        <v>74</v>
      </c>
      <c r="S655" t="s">
        <v>74</v>
      </c>
      <c r="T655" t="s">
        <v>74</v>
      </c>
      <c r="U655" t="s">
        <v>11783</v>
      </c>
      <c r="V655" t="s">
        <v>11784</v>
      </c>
      <c r="W655" t="s">
        <v>11785</v>
      </c>
      <c r="X655" t="s">
        <v>11786</v>
      </c>
      <c r="Y655" t="s">
        <v>11787</v>
      </c>
      <c r="Z655" t="s">
        <v>11788</v>
      </c>
      <c r="AA655" t="s">
        <v>74</v>
      </c>
      <c r="AB655" t="s">
        <v>74</v>
      </c>
      <c r="AC655" t="s">
        <v>11789</v>
      </c>
      <c r="AD655" t="s">
        <v>5734</v>
      </c>
      <c r="AE655" t="s">
        <v>11790</v>
      </c>
      <c r="AF655" t="s">
        <v>74</v>
      </c>
      <c r="AG655">
        <v>13</v>
      </c>
      <c r="AH655">
        <v>20</v>
      </c>
      <c r="AI655">
        <v>23</v>
      </c>
      <c r="AJ655">
        <v>2</v>
      </c>
      <c r="AK655">
        <v>14</v>
      </c>
      <c r="AL655" t="s">
        <v>11772</v>
      </c>
      <c r="AM655" t="s">
        <v>5833</v>
      </c>
      <c r="AN655" t="s">
        <v>11773</v>
      </c>
      <c r="AO655" t="s">
        <v>11774</v>
      </c>
      <c r="AP655" t="s">
        <v>74</v>
      </c>
      <c r="AQ655" t="s">
        <v>74</v>
      </c>
      <c r="AR655" t="s">
        <v>11775</v>
      </c>
      <c r="AS655" t="s">
        <v>11776</v>
      </c>
      <c r="AT655" t="s">
        <v>74</v>
      </c>
      <c r="AU655">
        <v>2009</v>
      </c>
      <c r="AV655">
        <v>50</v>
      </c>
      <c r="AW655">
        <v>51</v>
      </c>
      <c r="AX655" t="s">
        <v>74</v>
      </c>
      <c r="AY655" t="s">
        <v>74</v>
      </c>
      <c r="AZ655" t="s">
        <v>74</v>
      </c>
      <c r="BA655" t="s">
        <v>74</v>
      </c>
      <c r="BB655">
        <v>35</v>
      </c>
      <c r="BC655">
        <v>41</v>
      </c>
      <c r="BD655" t="s">
        <v>74</v>
      </c>
      <c r="BE655" t="s">
        <v>11791</v>
      </c>
      <c r="BF655" t="str">
        <f>HYPERLINK("http://dx.doi.org/10.3189/172756409789097496","http://dx.doi.org/10.3189/172756409789097496")</f>
        <v>http://dx.doi.org/10.3189/172756409789097496</v>
      </c>
      <c r="BG655" t="s">
        <v>74</v>
      </c>
      <c r="BH655" t="s">
        <v>74</v>
      </c>
      <c r="BI655">
        <v>7</v>
      </c>
      <c r="BJ655" t="s">
        <v>312</v>
      </c>
      <c r="BK655" t="s">
        <v>100</v>
      </c>
      <c r="BL655" t="s">
        <v>313</v>
      </c>
      <c r="BM655" t="s">
        <v>11778</v>
      </c>
      <c r="BN655" t="s">
        <v>74</v>
      </c>
      <c r="BO655" t="s">
        <v>1137</v>
      </c>
      <c r="BP655" t="s">
        <v>74</v>
      </c>
      <c r="BQ655" t="s">
        <v>74</v>
      </c>
      <c r="BR655" t="s">
        <v>103</v>
      </c>
      <c r="BS655" t="s">
        <v>11792</v>
      </c>
      <c r="BT655" t="str">
        <f>HYPERLINK("https%3A%2F%2Fwww.webofscience.com%2Fwos%2Fwoscc%2Ffull-record%2FWOS:000280106200006","View Full Record in Web of Science")</f>
        <v>View Full Record in Web of Science</v>
      </c>
    </row>
    <row r="656" spans="1:72" x14ac:dyDescent="0.15">
      <c r="A656" t="s">
        <v>72</v>
      </c>
      <c r="B656" t="s">
        <v>11793</v>
      </c>
      <c r="C656" t="s">
        <v>74</v>
      </c>
      <c r="D656" t="s">
        <v>74</v>
      </c>
      <c r="E656" t="s">
        <v>74</v>
      </c>
      <c r="F656" t="s">
        <v>11794</v>
      </c>
      <c r="G656" t="s">
        <v>74</v>
      </c>
      <c r="H656" t="s">
        <v>74</v>
      </c>
      <c r="I656" t="s">
        <v>11795</v>
      </c>
      <c r="J656" t="s">
        <v>11760</v>
      </c>
      <c r="K656" t="s">
        <v>74</v>
      </c>
      <c r="L656" t="s">
        <v>74</v>
      </c>
      <c r="M656" t="s">
        <v>78</v>
      </c>
      <c r="N656" t="s">
        <v>79</v>
      </c>
      <c r="O656" t="s">
        <v>74</v>
      </c>
      <c r="P656" t="s">
        <v>74</v>
      </c>
      <c r="Q656" t="s">
        <v>74</v>
      </c>
      <c r="R656" t="s">
        <v>74</v>
      </c>
      <c r="S656" t="s">
        <v>74</v>
      </c>
      <c r="T656" t="s">
        <v>74</v>
      </c>
      <c r="U656" t="s">
        <v>11796</v>
      </c>
      <c r="V656" t="s">
        <v>11797</v>
      </c>
      <c r="W656" t="s">
        <v>11798</v>
      </c>
      <c r="X656" t="s">
        <v>824</v>
      </c>
      <c r="Y656" t="s">
        <v>11799</v>
      </c>
      <c r="Z656" t="s">
        <v>11800</v>
      </c>
      <c r="AA656" t="s">
        <v>74</v>
      </c>
      <c r="AB656" t="s">
        <v>74</v>
      </c>
      <c r="AC656" t="s">
        <v>11801</v>
      </c>
      <c r="AD656" t="s">
        <v>1490</v>
      </c>
      <c r="AE656" t="s">
        <v>74</v>
      </c>
      <c r="AF656" t="s">
        <v>74</v>
      </c>
      <c r="AG656">
        <v>35</v>
      </c>
      <c r="AH656">
        <v>12</v>
      </c>
      <c r="AI656">
        <v>13</v>
      </c>
      <c r="AJ656">
        <v>1</v>
      </c>
      <c r="AK656">
        <v>7</v>
      </c>
      <c r="AL656" t="s">
        <v>3728</v>
      </c>
      <c r="AM656" t="s">
        <v>5833</v>
      </c>
      <c r="AN656" t="s">
        <v>11802</v>
      </c>
      <c r="AO656" t="s">
        <v>11774</v>
      </c>
      <c r="AP656" t="s">
        <v>11803</v>
      </c>
      <c r="AQ656" t="s">
        <v>74</v>
      </c>
      <c r="AR656" t="s">
        <v>11775</v>
      </c>
      <c r="AS656" t="s">
        <v>11776</v>
      </c>
      <c r="AT656" t="s">
        <v>74</v>
      </c>
      <c r="AU656">
        <v>2009</v>
      </c>
      <c r="AV656">
        <v>50</v>
      </c>
      <c r="AW656">
        <v>51</v>
      </c>
      <c r="AX656" t="s">
        <v>74</v>
      </c>
      <c r="AY656" t="s">
        <v>74</v>
      </c>
      <c r="AZ656" t="s">
        <v>74</v>
      </c>
      <c r="BA656" t="s">
        <v>74</v>
      </c>
      <c r="BB656">
        <v>42</v>
      </c>
      <c r="BC656">
        <v>48</v>
      </c>
      <c r="BD656" t="s">
        <v>74</v>
      </c>
      <c r="BE656" t="s">
        <v>11804</v>
      </c>
      <c r="BF656" t="str">
        <f>HYPERLINK("http://dx.doi.org/10.3189/172756409789097586","http://dx.doi.org/10.3189/172756409789097586")</f>
        <v>http://dx.doi.org/10.3189/172756409789097586</v>
      </c>
      <c r="BG656" t="s">
        <v>74</v>
      </c>
      <c r="BH656" t="s">
        <v>74</v>
      </c>
      <c r="BI656">
        <v>7</v>
      </c>
      <c r="BJ656" t="s">
        <v>312</v>
      </c>
      <c r="BK656" t="s">
        <v>100</v>
      </c>
      <c r="BL656" t="s">
        <v>313</v>
      </c>
      <c r="BM656" t="s">
        <v>11778</v>
      </c>
      <c r="BN656" t="s">
        <v>74</v>
      </c>
      <c r="BO656" t="s">
        <v>499</v>
      </c>
      <c r="BP656" t="s">
        <v>74</v>
      </c>
      <c r="BQ656" t="s">
        <v>74</v>
      </c>
      <c r="BR656" t="s">
        <v>103</v>
      </c>
      <c r="BS656" t="s">
        <v>11805</v>
      </c>
      <c r="BT656" t="str">
        <f>HYPERLINK("https%3A%2F%2Fwww.webofscience.com%2Fwos%2Fwoscc%2Ffull-record%2FWOS:000280106200007","View Full Record in Web of Science")</f>
        <v>View Full Record in Web of Science</v>
      </c>
    </row>
    <row r="657" spans="1:72" x14ac:dyDescent="0.15">
      <c r="A657" t="s">
        <v>72</v>
      </c>
      <c r="B657" t="s">
        <v>11806</v>
      </c>
      <c r="C657" t="s">
        <v>74</v>
      </c>
      <c r="D657" t="s">
        <v>74</v>
      </c>
      <c r="E657" t="s">
        <v>74</v>
      </c>
      <c r="F657" t="s">
        <v>11807</v>
      </c>
      <c r="G657" t="s">
        <v>74</v>
      </c>
      <c r="H657" t="s">
        <v>74</v>
      </c>
      <c r="I657" t="s">
        <v>11808</v>
      </c>
      <c r="J657" t="s">
        <v>11760</v>
      </c>
      <c r="K657" t="s">
        <v>74</v>
      </c>
      <c r="L657" t="s">
        <v>74</v>
      </c>
      <c r="M657" t="s">
        <v>78</v>
      </c>
      <c r="N657" t="s">
        <v>79</v>
      </c>
      <c r="O657" t="s">
        <v>74</v>
      </c>
      <c r="P657" t="s">
        <v>74</v>
      </c>
      <c r="Q657" t="s">
        <v>74</v>
      </c>
      <c r="R657" t="s">
        <v>74</v>
      </c>
      <c r="S657" t="s">
        <v>74</v>
      </c>
      <c r="T657" t="s">
        <v>74</v>
      </c>
      <c r="U657" t="s">
        <v>11809</v>
      </c>
      <c r="V657" t="s">
        <v>11810</v>
      </c>
      <c r="W657" t="s">
        <v>11811</v>
      </c>
      <c r="X657" t="s">
        <v>11812</v>
      </c>
      <c r="Y657" t="s">
        <v>11813</v>
      </c>
      <c r="Z657" t="s">
        <v>11814</v>
      </c>
      <c r="AA657" t="s">
        <v>11815</v>
      </c>
      <c r="AB657" t="s">
        <v>11816</v>
      </c>
      <c r="AC657" t="s">
        <v>11817</v>
      </c>
      <c r="AD657" t="s">
        <v>11818</v>
      </c>
      <c r="AE657" t="s">
        <v>11819</v>
      </c>
      <c r="AF657" t="s">
        <v>74</v>
      </c>
      <c r="AG657">
        <v>15</v>
      </c>
      <c r="AH657">
        <v>41</v>
      </c>
      <c r="AI657">
        <v>43</v>
      </c>
      <c r="AJ657">
        <v>1</v>
      </c>
      <c r="AK657">
        <v>17</v>
      </c>
      <c r="AL657" t="s">
        <v>3728</v>
      </c>
      <c r="AM657" t="s">
        <v>5833</v>
      </c>
      <c r="AN657" t="s">
        <v>11802</v>
      </c>
      <c r="AO657" t="s">
        <v>11774</v>
      </c>
      <c r="AP657" t="s">
        <v>11803</v>
      </c>
      <c r="AQ657" t="s">
        <v>74</v>
      </c>
      <c r="AR657" t="s">
        <v>11775</v>
      </c>
      <c r="AS657" t="s">
        <v>11776</v>
      </c>
      <c r="AT657" t="s">
        <v>74</v>
      </c>
      <c r="AU657">
        <v>2009</v>
      </c>
      <c r="AV657">
        <v>50</v>
      </c>
      <c r="AW657">
        <v>50</v>
      </c>
      <c r="AX657" t="s">
        <v>74</v>
      </c>
      <c r="AY657" t="s">
        <v>74</v>
      </c>
      <c r="AZ657" t="s">
        <v>74</v>
      </c>
      <c r="BA657" t="s">
        <v>74</v>
      </c>
      <c r="BB657">
        <v>55</v>
      </c>
      <c r="BC657">
        <v>60</v>
      </c>
      <c r="BD657" t="s">
        <v>74</v>
      </c>
      <c r="BE657" t="s">
        <v>11820</v>
      </c>
      <c r="BF657" t="str">
        <f>HYPERLINK("http://dx.doi.org/10.3189/172756409787769681","http://dx.doi.org/10.3189/172756409787769681")</f>
        <v>http://dx.doi.org/10.3189/172756409787769681</v>
      </c>
      <c r="BG657" t="s">
        <v>74</v>
      </c>
      <c r="BH657" t="s">
        <v>74</v>
      </c>
      <c r="BI657">
        <v>6</v>
      </c>
      <c r="BJ657" t="s">
        <v>312</v>
      </c>
      <c r="BK657" t="s">
        <v>100</v>
      </c>
      <c r="BL657" t="s">
        <v>313</v>
      </c>
      <c r="BM657" t="s">
        <v>11821</v>
      </c>
      <c r="BN657" t="s">
        <v>74</v>
      </c>
      <c r="BO657" t="s">
        <v>1036</v>
      </c>
      <c r="BP657" t="s">
        <v>74</v>
      </c>
      <c r="BQ657" t="s">
        <v>74</v>
      </c>
      <c r="BR657" t="s">
        <v>103</v>
      </c>
      <c r="BS657" t="s">
        <v>11822</v>
      </c>
      <c r="BT657" t="str">
        <f>HYPERLINK("https%3A%2F%2Fwww.webofscience.com%2Fwos%2Fwoscc%2Ffull-record%2FWOS:000279990100009","View Full Record in Web of Science")</f>
        <v>View Full Record in Web of Science</v>
      </c>
    </row>
    <row r="658" spans="1:72" x14ac:dyDescent="0.15">
      <c r="A658" t="s">
        <v>72</v>
      </c>
      <c r="B658" t="s">
        <v>11823</v>
      </c>
      <c r="C658" t="s">
        <v>74</v>
      </c>
      <c r="D658" t="s">
        <v>74</v>
      </c>
      <c r="E658" t="s">
        <v>74</v>
      </c>
      <c r="F658" t="s">
        <v>11824</v>
      </c>
      <c r="G658" t="s">
        <v>74</v>
      </c>
      <c r="H658" t="s">
        <v>74</v>
      </c>
      <c r="I658" t="s">
        <v>11825</v>
      </c>
      <c r="J658" t="s">
        <v>11760</v>
      </c>
      <c r="K658" t="s">
        <v>74</v>
      </c>
      <c r="L658" t="s">
        <v>74</v>
      </c>
      <c r="M658" t="s">
        <v>78</v>
      </c>
      <c r="N658" t="s">
        <v>79</v>
      </c>
      <c r="O658" t="s">
        <v>74</v>
      </c>
      <c r="P658" t="s">
        <v>74</v>
      </c>
      <c r="Q658" t="s">
        <v>74</v>
      </c>
      <c r="R658" t="s">
        <v>74</v>
      </c>
      <c r="S658" t="s">
        <v>74</v>
      </c>
      <c r="T658" t="s">
        <v>74</v>
      </c>
      <c r="U658" t="s">
        <v>11826</v>
      </c>
      <c r="V658" t="s">
        <v>11827</v>
      </c>
      <c r="W658" t="s">
        <v>11828</v>
      </c>
      <c r="X658" t="s">
        <v>11829</v>
      </c>
      <c r="Y658" t="s">
        <v>11830</v>
      </c>
      <c r="Z658" t="s">
        <v>11831</v>
      </c>
      <c r="AA658" t="s">
        <v>11832</v>
      </c>
      <c r="AB658" t="s">
        <v>11833</v>
      </c>
      <c r="AC658" t="s">
        <v>11834</v>
      </c>
      <c r="AD658" t="s">
        <v>1593</v>
      </c>
      <c r="AE658" t="s">
        <v>74</v>
      </c>
      <c r="AF658" t="s">
        <v>74</v>
      </c>
      <c r="AG658">
        <v>21</v>
      </c>
      <c r="AH658">
        <v>12</v>
      </c>
      <c r="AI658">
        <v>12</v>
      </c>
      <c r="AJ658">
        <v>0</v>
      </c>
      <c r="AK658">
        <v>13</v>
      </c>
      <c r="AL658" t="s">
        <v>11772</v>
      </c>
      <c r="AM658" t="s">
        <v>5833</v>
      </c>
      <c r="AN658" t="s">
        <v>11773</v>
      </c>
      <c r="AO658" t="s">
        <v>11774</v>
      </c>
      <c r="AP658" t="s">
        <v>11803</v>
      </c>
      <c r="AQ658" t="s">
        <v>74</v>
      </c>
      <c r="AR658" t="s">
        <v>11775</v>
      </c>
      <c r="AS658" t="s">
        <v>11776</v>
      </c>
      <c r="AT658" t="s">
        <v>74</v>
      </c>
      <c r="AU658">
        <v>2009</v>
      </c>
      <c r="AV658">
        <v>50</v>
      </c>
      <c r="AW658">
        <v>51</v>
      </c>
      <c r="AX658" t="s">
        <v>74</v>
      </c>
      <c r="AY658" t="s">
        <v>74</v>
      </c>
      <c r="AZ658" t="s">
        <v>74</v>
      </c>
      <c r="BA658" t="s">
        <v>74</v>
      </c>
      <c r="BB658">
        <v>57</v>
      </c>
      <c r="BC658">
        <v>62</v>
      </c>
      <c r="BD658" t="s">
        <v>74</v>
      </c>
      <c r="BE658" t="s">
        <v>11835</v>
      </c>
      <c r="BF658" t="str">
        <f>HYPERLINK("http://dx.doi.org/10.3189/172756409789097469","http://dx.doi.org/10.3189/172756409789097469")</f>
        <v>http://dx.doi.org/10.3189/172756409789097469</v>
      </c>
      <c r="BG658" t="s">
        <v>74</v>
      </c>
      <c r="BH658" t="s">
        <v>74</v>
      </c>
      <c r="BI658">
        <v>6</v>
      </c>
      <c r="BJ658" t="s">
        <v>312</v>
      </c>
      <c r="BK658" t="s">
        <v>100</v>
      </c>
      <c r="BL658" t="s">
        <v>313</v>
      </c>
      <c r="BM658" t="s">
        <v>11778</v>
      </c>
      <c r="BN658" t="s">
        <v>74</v>
      </c>
      <c r="BO658" t="s">
        <v>499</v>
      </c>
      <c r="BP658" t="s">
        <v>74</v>
      </c>
      <c r="BQ658" t="s">
        <v>74</v>
      </c>
      <c r="BR658" t="s">
        <v>103</v>
      </c>
      <c r="BS658" t="s">
        <v>11836</v>
      </c>
      <c r="BT658" t="str">
        <f>HYPERLINK("https%3A%2F%2Fwww.webofscience.com%2Fwos%2Fwoscc%2Ffull-record%2FWOS:000280106200009","View Full Record in Web of Science")</f>
        <v>View Full Record in Web of Science</v>
      </c>
    </row>
    <row r="659" spans="1:72" x14ac:dyDescent="0.15">
      <c r="A659" t="s">
        <v>72</v>
      </c>
      <c r="B659" t="s">
        <v>11837</v>
      </c>
      <c r="C659" t="s">
        <v>74</v>
      </c>
      <c r="D659" t="s">
        <v>74</v>
      </c>
      <c r="E659" t="s">
        <v>74</v>
      </c>
      <c r="F659" t="s">
        <v>11838</v>
      </c>
      <c r="G659" t="s">
        <v>74</v>
      </c>
      <c r="H659" t="s">
        <v>74</v>
      </c>
      <c r="I659" t="s">
        <v>11839</v>
      </c>
      <c r="J659" t="s">
        <v>11760</v>
      </c>
      <c r="K659" t="s">
        <v>74</v>
      </c>
      <c r="L659" t="s">
        <v>74</v>
      </c>
      <c r="M659" t="s">
        <v>78</v>
      </c>
      <c r="N659" t="s">
        <v>79</v>
      </c>
      <c r="O659" t="s">
        <v>74</v>
      </c>
      <c r="P659" t="s">
        <v>74</v>
      </c>
      <c r="Q659" t="s">
        <v>74</v>
      </c>
      <c r="R659" t="s">
        <v>74</v>
      </c>
      <c r="S659" t="s">
        <v>74</v>
      </c>
      <c r="T659" t="s">
        <v>74</v>
      </c>
      <c r="U659" t="s">
        <v>11840</v>
      </c>
      <c r="V659" t="s">
        <v>11841</v>
      </c>
      <c r="W659" t="s">
        <v>11842</v>
      </c>
      <c r="X659" t="s">
        <v>11843</v>
      </c>
      <c r="Y659" t="s">
        <v>11844</v>
      </c>
      <c r="Z659" t="s">
        <v>11814</v>
      </c>
      <c r="AA659" t="s">
        <v>11845</v>
      </c>
      <c r="AB659" t="s">
        <v>11846</v>
      </c>
      <c r="AC659" t="s">
        <v>11847</v>
      </c>
      <c r="AD659" t="s">
        <v>11847</v>
      </c>
      <c r="AE659" t="s">
        <v>11848</v>
      </c>
      <c r="AF659" t="s">
        <v>74</v>
      </c>
      <c r="AG659">
        <v>17</v>
      </c>
      <c r="AH659">
        <v>15</v>
      </c>
      <c r="AI659">
        <v>17</v>
      </c>
      <c r="AJ659">
        <v>0</v>
      </c>
      <c r="AK659">
        <v>4</v>
      </c>
      <c r="AL659" t="s">
        <v>3728</v>
      </c>
      <c r="AM659" t="s">
        <v>5833</v>
      </c>
      <c r="AN659" t="s">
        <v>11802</v>
      </c>
      <c r="AO659" t="s">
        <v>11774</v>
      </c>
      <c r="AP659" t="s">
        <v>11803</v>
      </c>
      <c r="AQ659" t="s">
        <v>74</v>
      </c>
      <c r="AR659" t="s">
        <v>11775</v>
      </c>
      <c r="AS659" t="s">
        <v>11776</v>
      </c>
      <c r="AT659" t="s">
        <v>74</v>
      </c>
      <c r="AU659">
        <v>2009</v>
      </c>
      <c r="AV659">
        <v>50</v>
      </c>
      <c r="AW659">
        <v>50</v>
      </c>
      <c r="AX659" t="s">
        <v>74</v>
      </c>
      <c r="AY659" t="s">
        <v>74</v>
      </c>
      <c r="AZ659" t="s">
        <v>74</v>
      </c>
      <c r="BA659" t="s">
        <v>74</v>
      </c>
      <c r="BB659">
        <v>61</v>
      </c>
      <c r="BC659">
        <v>65</v>
      </c>
      <c r="BD659" t="s">
        <v>74</v>
      </c>
      <c r="BE659" t="s">
        <v>11849</v>
      </c>
      <c r="BF659" t="str">
        <f>HYPERLINK("http://dx.doi.org/10.3189/172756409787769735","http://dx.doi.org/10.3189/172756409787769735")</f>
        <v>http://dx.doi.org/10.3189/172756409787769735</v>
      </c>
      <c r="BG659" t="s">
        <v>74</v>
      </c>
      <c r="BH659" t="s">
        <v>74</v>
      </c>
      <c r="BI659">
        <v>5</v>
      </c>
      <c r="BJ659" t="s">
        <v>312</v>
      </c>
      <c r="BK659" t="s">
        <v>100</v>
      </c>
      <c r="BL659" t="s">
        <v>313</v>
      </c>
      <c r="BM659" t="s">
        <v>11821</v>
      </c>
      <c r="BN659" t="s">
        <v>74</v>
      </c>
      <c r="BO659" t="s">
        <v>1036</v>
      </c>
      <c r="BP659" t="s">
        <v>74</v>
      </c>
      <c r="BQ659" t="s">
        <v>74</v>
      </c>
      <c r="BR659" t="s">
        <v>103</v>
      </c>
      <c r="BS659" t="s">
        <v>11850</v>
      </c>
      <c r="BT659" t="str">
        <f>HYPERLINK("https%3A%2F%2Fwww.webofscience.com%2Fwos%2Fwoscc%2Ffull-record%2FWOS:000279990100010","View Full Record in Web of Science")</f>
        <v>View Full Record in Web of Science</v>
      </c>
    </row>
    <row r="660" spans="1:72" x14ac:dyDescent="0.15">
      <c r="A660" t="s">
        <v>72</v>
      </c>
      <c r="B660" t="s">
        <v>11851</v>
      </c>
      <c r="C660" t="s">
        <v>74</v>
      </c>
      <c r="D660" t="s">
        <v>74</v>
      </c>
      <c r="E660" t="s">
        <v>74</v>
      </c>
      <c r="F660" t="s">
        <v>11852</v>
      </c>
      <c r="G660" t="s">
        <v>74</v>
      </c>
      <c r="H660" t="s">
        <v>74</v>
      </c>
      <c r="I660" t="s">
        <v>11853</v>
      </c>
      <c r="J660" t="s">
        <v>11760</v>
      </c>
      <c r="K660" t="s">
        <v>74</v>
      </c>
      <c r="L660" t="s">
        <v>74</v>
      </c>
      <c r="M660" t="s">
        <v>78</v>
      </c>
      <c r="N660" t="s">
        <v>79</v>
      </c>
      <c r="O660" t="s">
        <v>74</v>
      </c>
      <c r="P660" t="s">
        <v>74</v>
      </c>
      <c r="Q660" t="s">
        <v>74</v>
      </c>
      <c r="R660" t="s">
        <v>74</v>
      </c>
      <c r="S660" t="s">
        <v>74</v>
      </c>
      <c r="T660" t="s">
        <v>74</v>
      </c>
      <c r="U660" t="s">
        <v>74</v>
      </c>
      <c r="V660" t="s">
        <v>11854</v>
      </c>
      <c r="W660" t="s">
        <v>11855</v>
      </c>
      <c r="X660" t="s">
        <v>11856</v>
      </c>
      <c r="Y660" t="s">
        <v>11857</v>
      </c>
      <c r="Z660" t="s">
        <v>11858</v>
      </c>
      <c r="AA660" t="s">
        <v>11859</v>
      </c>
      <c r="AB660" t="s">
        <v>11860</v>
      </c>
      <c r="AC660" t="s">
        <v>11861</v>
      </c>
      <c r="AD660" t="s">
        <v>11862</v>
      </c>
      <c r="AE660" t="s">
        <v>11863</v>
      </c>
      <c r="AF660" t="s">
        <v>74</v>
      </c>
      <c r="AG660">
        <v>14</v>
      </c>
      <c r="AH660">
        <v>61</v>
      </c>
      <c r="AI660">
        <v>65</v>
      </c>
      <c r="AJ660">
        <v>0</v>
      </c>
      <c r="AK660">
        <v>8</v>
      </c>
      <c r="AL660" t="s">
        <v>3728</v>
      </c>
      <c r="AM660" t="s">
        <v>5833</v>
      </c>
      <c r="AN660" t="s">
        <v>11802</v>
      </c>
      <c r="AO660" t="s">
        <v>11774</v>
      </c>
      <c r="AP660" t="s">
        <v>11803</v>
      </c>
      <c r="AQ660" t="s">
        <v>74</v>
      </c>
      <c r="AR660" t="s">
        <v>11775</v>
      </c>
      <c r="AS660" t="s">
        <v>11776</v>
      </c>
      <c r="AT660" t="s">
        <v>74</v>
      </c>
      <c r="AU660">
        <v>2009</v>
      </c>
      <c r="AV660">
        <v>50</v>
      </c>
      <c r="AW660">
        <v>52</v>
      </c>
      <c r="AX660" t="s">
        <v>74</v>
      </c>
      <c r="AY660" t="s">
        <v>74</v>
      </c>
      <c r="AZ660" t="s">
        <v>74</v>
      </c>
      <c r="BA660" t="s">
        <v>74</v>
      </c>
      <c r="BB660">
        <v>109</v>
      </c>
      <c r="BC660">
        <v>114</v>
      </c>
      <c r="BD660" t="s">
        <v>74</v>
      </c>
      <c r="BE660" t="s">
        <v>11864</v>
      </c>
      <c r="BF660" t="str">
        <f>HYPERLINK("http://dx.doi.org/10.3189/172756409789624283","http://dx.doi.org/10.3189/172756409789624283")</f>
        <v>http://dx.doi.org/10.3189/172756409789624283</v>
      </c>
      <c r="BG660" t="s">
        <v>74</v>
      </c>
      <c r="BH660" t="s">
        <v>74</v>
      </c>
      <c r="BI660">
        <v>6</v>
      </c>
      <c r="BJ660" t="s">
        <v>312</v>
      </c>
      <c r="BK660" t="s">
        <v>100</v>
      </c>
      <c r="BL660" t="s">
        <v>313</v>
      </c>
      <c r="BM660" t="s">
        <v>11865</v>
      </c>
      <c r="BN660" t="s">
        <v>74</v>
      </c>
      <c r="BO660" t="s">
        <v>1036</v>
      </c>
      <c r="BP660" t="s">
        <v>74</v>
      </c>
      <c r="BQ660" t="s">
        <v>74</v>
      </c>
      <c r="BR660" t="s">
        <v>103</v>
      </c>
      <c r="BS660" t="s">
        <v>11866</v>
      </c>
      <c r="BT660" t="str">
        <f>HYPERLINK("https%3A%2F%2Fwww.webofscience.com%2Fwos%2Fwoscc%2Ffull-record%2FWOS:000281033800015","View Full Record in Web of Science")</f>
        <v>View Full Record in Web of Science</v>
      </c>
    </row>
    <row r="661" spans="1:72" x14ac:dyDescent="0.15">
      <c r="A661" t="s">
        <v>72</v>
      </c>
      <c r="B661" t="s">
        <v>11867</v>
      </c>
      <c r="C661" t="s">
        <v>74</v>
      </c>
      <c r="D661" t="s">
        <v>74</v>
      </c>
      <c r="E661" t="s">
        <v>74</v>
      </c>
      <c r="F661" t="s">
        <v>11868</v>
      </c>
      <c r="G661" t="s">
        <v>74</v>
      </c>
      <c r="H661" t="s">
        <v>74</v>
      </c>
      <c r="I661" t="s">
        <v>11869</v>
      </c>
      <c r="J661" t="s">
        <v>11760</v>
      </c>
      <c r="K661" t="s">
        <v>74</v>
      </c>
      <c r="L661" t="s">
        <v>74</v>
      </c>
      <c r="M661" t="s">
        <v>78</v>
      </c>
      <c r="N661" t="s">
        <v>79</v>
      </c>
      <c r="O661" t="s">
        <v>74</v>
      </c>
      <c r="P661" t="s">
        <v>74</v>
      </c>
      <c r="Q661" t="s">
        <v>74</v>
      </c>
      <c r="R661" t="s">
        <v>74</v>
      </c>
      <c r="S661" t="s">
        <v>74</v>
      </c>
      <c r="T661" t="s">
        <v>74</v>
      </c>
      <c r="U661" t="s">
        <v>11870</v>
      </c>
      <c r="V661" t="s">
        <v>11871</v>
      </c>
      <c r="W661" t="s">
        <v>11872</v>
      </c>
      <c r="X661" t="s">
        <v>11873</v>
      </c>
      <c r="Y661" t="s">
        <v>11874</v>
      </c>
      <c r="Z661" t="s">
        <v>5699</v>
      </c>
      <c r="AA661" t="s">
        <v>11875</v>
      </c>
      <c r="AB661" t="s">
        <v>11876</v>
      </c>
      <c r="AC661" t="s">
        <v>11877</v>
      </c>
      <c r="AD661" t="s">
        <v>11878</v>
      </c>
      <c r="AE661" t="s">
        <v>11879</v>
      </c>
      <c r="AF661" t="s">
        <v>74</v>
      </c>
      <c r="AG661">
        <v>33</v>
      </c>
      <c r="AH661">
        <v>17</v>
      </c>
      <c r="AI661">
        <v>21</v>
      </c>
      <c r="AJ661">
        <v>0</v>
      </c>
      <c r="AK661">
        <v>18</v>
      </c>
      <c r="AL661" t="s">
        <v>3728</v>
      </c>
      <c r="AM661" t="s">
        <v>5833</v>
      </c>
      <c r="AN661" t="s">
        <v>11802</v>
      </c>
      <c r="AO661" t="s">
        <v>11774</v>
      </c>
      <c r="AP661" t="s">
        <v>11803</v>
      </c>
      <c r="AQ661" t="s">
        <v>74</v>
      </c>
      <c r="AR661" t="s">
        <v>11775</v>
      </c>
      <c r="AS661" t="s">
        <v>11776</v>
      </c>
      <c r="AT661" t="s">
        <v>74</v>
      </c>
      <c r="AU661">
        <v>2009</v>
      </c>
      <c r="AV661">
        <v>50</v>
      </c>
      <c r="AW661">
        <v>51</v>
      </c>
      <c r="AX661" t="s">
        <v>74</v>
      </c>
      <c r="AY661" t="s">
        <v>74</v>
      </c>
      <c r="AZ661" t="s">
        <v>74</v>
      </c>
      <c r="BA661" t="s">
        <v>74</v>
      </c>
      <c r="BB661">
        <v>112</v>
      </c>
      <c r="BC661">
        <v>120</v>
      </c>
      <c r="BD661" t="s">
        <v>74</v>
      </c>
      <c r="BE661" t="s">
        <v>11880</v>
      </c>
      <c r="BF661" t="str">
        <f>HYPERLINK("http://dx.doi.org/10.3189/172756409789097513","http://dx.doi.org/10.3189/172756409789097513")</f>
        <v>http://dx.doi.org/10.3189/172756409789097513</v>
      </c>
      <c r="BG661" t="s">
        <v>74</v>
      </c>
      <c r="BH661" t="s">
        <v>74</v>
      </c>
      <c r="BI661">
        <v>9</v>
      </c>
      <c r="BJ661" t="s">
        <v>312</v>
      </c>
      <c r="BK661" t="s">
        <v>100</v>
      </c>
      <c r="BL661" t="s">
        <v>313</v>
      </c>
      <c r="BM661" t="s">
        <v>11778</v>
      </c>
      <c r="BN661" t="s">
        <v>74</v>
      </c>
      <c r="BO661" t="s">
        <v>1137</v>
      </c>
      <c r="BP661" t="s">
        <v>74</v>
      </c>
      <c r="BQ661" t="s">
        <v>74</v>
      </c>
      <c r="BR661" t="s">
        <v>103</v>
      </c>
      <c r="BS661" t="s">
        <v>11881</v>
      </c>
      <c r="BT661" t="str">
        <f>HYPERLINK("https%3A%2F%2Fwww.webofscience.com%2Fwos%2Fwoscc%2Ffull-record%2FWOS:000280106200017","View Full Record in Web of Science")</f>
        <v>View Full Record in Web of Science</v>
      </c>
    </row>
    <row r="662" spans="1:72" x14ac:dyDescent="0.15">
      <c r="A662" t="s">
        <v>72</v>
      </c>
      <c r="B662" t="s">
        <v>11882</v>
      </c>
      <c r="C662" t="s">
        <v>74</v>
      </c>
      <c r="D662" t="s">
        <v>74</v>
      </c>
      <c r="E662" t="s">
        <v>74</v>
      </c>
      <c r="F662" t="s">
        <v>11883</v>
      </c>
      <c r="G662" t="s">
        <v>74</v>
      </c>
      <c r="H662" t="s">
        <v>74</v>
      </c>
      <c r="I662" t="s">
        <v>11884</v>
      </c>
      <c r="J662" t="s">
        <v>11760</v>
      </c>
      <c r="K662" t="s">
        <v>74</v>
      </c>
      <c r="L662" t="s">
        <v>74</v>
      </c>
      <c r="M662" t="s">
        <v>78</v>
      </c>
      <c r="N662" t="s">
        <v>79</v>
      </c>
      <c r="O662" t="s">
        <v>74</v>
      </c>
      <c r="P662" t="s">
        <v>74</v>
      </c>
      <c r="Q662" t="s">
        <v>74</v>
      </c>
      <c r="R662" t="s">
        <v>74</v>
      </c>
      <c r="S662" t="s">
        <v>74</v>
      </c>
      <c r="T662" t="s">
        <v>74</v>
      </c>
      <c r="U662" t="s">
        <v>11885</v>
      </c>
      <c r="V662" t="s">
        <v>11886</v>
      </c>
      <c r="W662" t="s">
        <v>11887</v>
      </c>
      <c r="X662" t="s">
        <v>11888</v>
      </c>
      <c r="Y662" t="s">
        <v>11889</v>
      </c>
      <c r="Z662" t="s">
        <v>11890</v>
      </c>
      <c r="AA662" t="s">
        <v>74</v>
      </c>
      <c r="AB662" t="s">
        <v>74</v>
      </c>
      <c r="AC662" t="s">
        <v>11891</v>
      </c>
      <c r="AD662" t="s">
        <v>5734</v>
      </c>
      <c r="AE662" t="s">
        <v>11892</v>
      </c>
      <c r="AF662" t="s">
        <v>74</v>
      </c>
      <c r="AG662">
        <v>26</v>
      </c>
      <c r="AH662">
        <v>12</v>
      </c>
      <c r="AI662">
        <v>15</v>
      </c>
      <c r="AJ662">
        <v>1</v>
      </c>
      <c r="AK662">
        <v>12</v>
      </c>
      <c r="AL662" t="s">
        <v>3728</v>
      </c>
      <c r="AM662" t="s">
        <v>5833</v>
      </c>
      <c r="AN662" t="s">
        <v>11802</v>
      </c>
      <c r="AO662" t="s">
        <v>11774</v>
      </c>
      <c r="AP662" t="s">
        <v>11803</v>
      </c>
      <c r="AQ662" t="s">
        <v>74</v>
      </c>
      <c r="AR662" t="s">
        <v>11775</v>
      </c>
      <c r="AS662" t="s">
        <v>11776</v>
      </c>
      <c r="AT662" t="s">
        <v>74</v>
      </c>
      <c r="AU662">
        <v>2009</v>
      </c>
      <c r="AV662">
        <v>50</v>
      </c>
      <c r="AW662">
        <v>51</v>
      </c>
      <c r="AX662" t="s">
        <v>74</v>
      </c>
      <c r="AY662" t="s">
        <v>74</v>
      </c>
      <c r="AZ662" t="s">
        <v>74</v>
      </c>
      <c r="BA662" t="s">
        <v>74</v>
      </c>
      <c r="BB662">
        <v>121</v>
      </c>
      <c r="BC662">
        <v>129</v>
      </c>
      <c r="BD662" t="s">
        <v>74</v>
      </c>
      <c r="BE662" t="s">
        <v>11893</v>
      </c>
      <c r="BF662" t="str">
        <f>HYPERLINK("http://dx.doi.org/10.3189/172756409789097531","http://dx.doi.org/10.3189/172756409789097531")</f>
        <v>http://dx.doi.org/10.3189/172756409789097531</v>
      </c>
      <c r="BG662" t="s">
        <v>74</v>
      </c>
      <c r="BH662" t="s">
        <v>74</v>
      </c>
      <c r="BI662">
        <v>9</v>
      </c>
      <c r="BJ662" t="s">
        <v>312</v>
      </c>
      <c r="BK662" t="s">
        <v>100</v>
      </c>
      <c r="BL662" t="s">
        <v>313</v>
      </c>
      <c r="BM662" t="s">
        <v>11778</v>
      </c>
      <c r="BN662" t="s">
        <v>74</v>
      </c>
      <c r="BO662" t="s">
        <v>1137</v>
      </c>
      <c r="BP662" t="s">
        <v>74</v>
      </c>
      <c r="BQ662" t="s">
        <v>74</v>
      </c>
      <c r="BR662" t="s">
        <v>103</v>
      </c>
      <c r="BS662" t="s">
        <v>11894</v>
      </c>
      <c r="BT662" t="str">
        <f>HYPERLINK("https%3A%2F%2Fwww.webofscience.com%2Fwos%2Fwoscc%2Ffull-record%2FWOS:000280106200018","View Full Record in Web of Science")</f>
        <v>View Full Record in Web of Science</v>
      </c>
    </row>
    <row r="663" spans="1:72" x14ac:dyDescent="0.15">
      <c r="A663" t="s">
        <v>72</v>
      </c>
      <c r="B663" t="s">
        <v>11895</v>
      </c>
      <c r="C663" t="s">
        <v>74</v>
      </c>
      <c r="D663" t="s">
        <v>74</v>
      </c>
      <c r="E663" t="s">
        <v>74</v>
      </c>
      <c r="F663" t="s">
        <v>11896</v>
      </c>
      <c r="G663" t="s">
        <v>74</v>
      </c>
      <c r="H663" t="s">
        <v>74</v>
      </c>
      <c r="I663" t="s">
        <v>11897</v>
      </c>
      <c r="J663" t="s">
        <v>11760</v>
      </c>
      <c r="K663" t="s">
        <v>74</v>
      </c>
      <c r="L663" t="s">
        <v>74</v>
      </c>
      <c r="M663" t="s">
        <v>78</v>
      </c>
      <c r="N663" t="s">
        <v>79</v>
      </c>
      <c r="O663" t="s">
        <v>74</v>
      </c>
      <c r="P663" t="s">
        <v>74</v>
      </c>
      <c r="Q663" t="s">
        <v>74</v>
      </c>
      <c r="R663" t="s">
        <v>74</v>
      </c>
      <c r="S663" t="s">
        <v>74</v>
      </c>
      <c r="T663" t="s">
        <v>74</v>
      </c>
      <c r="U663" t="s">
        <v>11898</v>
      </c>
      <c r="V663" t="s">
        <v>11899</v>
      </c>
      <c r="W663" t="s">
        <v>11900</v>
      </c>
      <c r="X663" t="s">
        <v>11901</v>
      </c>
      <c r="Y663" t="s">
        <v>11902</v>
      </c>
      <c r="Z663" t="s">
        <v>5574</v>
      </c>
      <c r="AA663" t="s">
        <v>11903</v>
      </c>
      <c r="AB663" t="s">
        <v>11904</v>
      </c>
      <c r="AC663" t="s">
        <v>11801</v>
      </c>
      <c r="AD663" t="s">
        <v>1490</v>
      </c>
      <c r="AE663" t="s">
        <v>74</v>
      </c>
      <c r="AF663" t="s">
        <v>74</v>
      </c>
      <c r="AG663">
        <v>31</v>
      </c>
      <c r="AH663">
        <v>25</v>
      </c>
      <c r="AI663">
        <v>29</v>
      </c>
      <c r="AJ663">
        <v>0</v>
      </c>
      <c r="AK663">
        <v>7</v>
      </c>
      <c r="AL663" t="s">
        <v>3728</v>
      </c>
      <c r="AM663" t="s">
        <v>5833</v>
      </c>
      <c r="AN663" t="s">
        <v>11802</v>
      </c>
      <c r="AO663" t="s">
        <v>11774</v>
      </c>
      <c r="AP663" t="s">
        <v>11803</v>
      </c>
      <c r="AQ663" t="s">
        <v>74</v>
      </c>
      <c r="AR663" t="s">
        <v>11775</v>
      </c>
      <c r="AS663" t="s">
        <v>11776</v>
      </c>
      <c r="AT663" t="s">
        <v>74</v>
      </c>
      <c r="AU663">
        <v>2009</v>
      </c>
      <c r="AV663">
        <v>50</v>
      </c>
      <c r="AW663">
        <v>51</v>
      </c>
      <c r="AX663" t="s">
        <v>74</v>
      </c>
      <c r="AY663" t="s">
        <v>74</v>
      </c>
      <c r="AZ663" t="s">
        <v>74</v>
      </c>
      <c r="BA663" t="s">
        <v>74</v>
      </c>
      <c r="BB663">
        <v>130</v>
      </c>
      <c r="BC663">
        <v>140</v>
      </c>
      <c r="BD663" t="s">
        <v>74</v>
      </c>
      <c r="BE663" t="s">
        <v>11905</v>
      </c>
      <c r="BF663" t="str">
        <f>HYPERLINK("http://dx.doi.org/10.3189/172756409789097450","http://dx.doi.org/10.3189/172756409789097450")</f>
        <v>http://dx.doi.org/10.3189/172756409789097450</v>
      </c>
      <c r="BG663" t="s">
        <v>74</v>
      </c>
      <c r="BH663" t="s">
        <v>74</v>
      </c>
      <c r="BI663">
        <v>11</v>
      </c>
      <c r="BJ663" t="s">
        <v>312</v>
      </c>
      <c r="BK663" t="s">
        <v>100</v>
      </c>
      <c r="BL663" t="s">
        <v>313</v>
      </c>
      <c r="BM663" t="s">
        <v>11778</v>
      </c>
      <c r="BN663" t="s">
        <v>74</v>
      </c>
      <c r="BO663" t="s">
        <v>1353</v>
      </c>
      <c r="BP663" t="s">
        <v>74</v>
      </c>
      <c r="BQ663" t="s">
        <v>74</v>
      </c>
      <c r="BR663" t="s">
        <v>103</v>
      </c>
      <c r="BS663" t="s">
        <v>11906</v>
      </c>
      <c r="BT663" t="str">
        <f>HYPERLINK("https%3A%2F%2Fwww.webofscience.com%2Fwos%2Fwoscc%2Ffull-record%2FWOS:000280106200019","View Full Record in Web of Science")</f>
        <v>View Full Record in Web of Science</v>
      </c>
    </row>
    <row r="664" spans="1:72" x14ac:dyDescent="0.15">
      <c r="A664" t="s">
        <v>72</v>
      </c>
      <c r="B664" t="s">
        <v>11907</v>
      </c>
      <c r="C664" t="s">
        <v>74</v>
      </c>
      <c r="D664" t="s">
        <v>74</v>
      </c>
      <c r="E664" t="s">
        <v>74</v>
      </c>
      <c r="F664" t="s">
        <v>11908</v>
      </c>
      <c r="G664" t="s">
        <v>74</v>
      </c>
      <c r="H664" t="s">
        <v>74</v>
      </c>
      <c r="I664" t="s">
        <v>11909</v>
      </c>
      <c r="J664" t="s">
        <v>11760</v>
      </c>
      <c r="K664" t="s">
        <v>74</v>
      </c>
      <c r="L664" t="s">
        <v>74</v>
      </c>
      <c r="M664" t="s">
        <v>78</v>
      </c>
      <c r="N664" t="s">
        <v>79</v>
      </c>
      <c r="O664" t="s">
        <v>74</v>
      </c>
      <c r="P664" t="s">
        <v>74</v>
      </c>
      <c r="Q664" t="s">
        <v>74</v>
      </c>
      <c r="R664" t="s">
        <v>74</v>
      </c>
      <c r="S664" t="s">
        <v>74</v>
      </c>
      <c r="T664" t="s">
        <v>74</v>
      </c>
      <c r="U664" t="s">
        <v>11910</v>
      </c>
      <c r="V664" t="s">
        <v>11911</v>
      </c>
      <c r="W664" t="s">
        <v>11912</v>
      </c>
      <c r="X664" t="s">
        <v>11913</v>
      </c>
      <c r="Y664" t="s">
        <v>11914</v>
      </c>
      <c r="Z664" t="s">
        <v>11915</v>
      </c>
      <c r="AA664" t="s">
        <v>11916</v>
      </c>
      <c r="AB664" t="s">
        <v>11917</v>
      </c>
      <c r="AC664" t="s">
        <v>11918</v>
      </c>
      <c r="AD664" t="s">
        <v>11918</v>
      </c>
      <c r="AE664" t="s">
        <v>11919</v>
      </c>
      <c r="AF664" t="s">
        <v>74</v>
      </c>
      <c r="AG664">
        <v>28</v>
      </c>
      <c r="AH664">
        <v>23</v>
      </c>
      <c r="AI664">
        <v>24</v>
      </c>
      <c r="AJ664">
        <v>0</v>
      </c>
      <c r="AK664">
        <v>5</v>
      </c>
      <c r="AL664" t="s">
        <v>3728</v>
      </c>
      <c r="AM664" t="s">
        <v>5833</v>
      </c>
      <c r="AN664" t="s">
        <v>11802</v>
      </c>
      <c r="AO664" t="s">
        <v>11774</v>
      </c>
      <c r="AP664" t="s">
        <v>11803</v>
      </c>
      <c r="AQ664" t="s">
        <v>74</v>
      </c>
      <c r="AR664" t="s">
        <v>11775</v>
      </c>
      <c r="AS664" t="s">
        <v>11776</v>
      </c>
      <c r="AT664" t="s">
        <v>74</v>
      </c>
      <c r="AU664">
        <v>2009</v>
      </c>
      <c r="AV664">
        <v>50</v>
      </c>
      <c r="AW664">
        <v>51</v>
      </c>
      <c r="AX664" t="s">
        <v>74</v>
      </c>
      <c r="AY664" t="s">
        <v>74</v>
      </c>
      <c r="AZ664" t="s">
        <v>74</v>
      </c>
      <c r="BA664" t="s">
        <v>74</v>
      </c>
      <c r="BB664">
        <v>141</v>
      </c>
      <c r="BC664">
        <v>146</v>
      </c>
      <c r="BD664" t="s">
        <v>74</v>
      </c>
      <c r="BE664" t="s">
        <v>11920</v>
      </c>
      <c r="BF664" t="str">
        <f>HYPERLINK("http://dx.doi.org/10.3189/S0260305500250660","http://dx.doi.org/10.3189/S0260305500250660")</f>
        <v>http://dx.doi.org/10.3189/S0260305500250660</v>
      </c>
      <c r="BG664" t="s">
        <v>74</v>
      </c>
      <c r="BH664" t="s">
        <v>74</v>
      </c>
      <c r="BI664">
        <v>6</v>
      </c>
      <c r="BJ664" t="s">
        <v>312</v>
      </c>
      <c r="BK664" t="s">
        <v>100</v>
      </c>
      <c r="BL664" t="s">
        <v>313</v>
      </c>
      <c r="BM664" t="s">
        <v>11778</v>
      </c>
      <c r="BN664" t="s">
        <v>74</v>
      </c>
      <c r="BO664" t="s">
        <v>499</v>
      </c>
      <c r="BP664" t="s">
        <v>74</v>
      </c>
      <c r="BQ664" t="s">
        <v>74</v>
      </c>
      <c r="BR664" t="s">
        <v>103</v>
      </c>
      <c r="BS664" t="s">
        <v>11921</v>
      </c>
      <c r="BT664" t="str">
        <f>HYPERLINK("https%3A%2F%2Fwww.webofscience.com%2Fwos%2Fwoscc%2Ffull-record%2FWOS:000280106200020","View Full Record in Web of Science")</f>
        <v>View Full Record in Web of Science</v>
      </c>
    </row>
    <row r="665" spans="1:72" x14ac:dyDescent="0.15">
      <c r="A665" t="s">
        <v>72</v>
      </c>
      <c r="B665" t="s">
        <v>11922</v>
      </c>
      <c r="C665" t="s">
        <v>74</v>
      </c>
      <c r="D665" t="s">
        <v>74</v>
      </c>
      <c r="E665" t="s">
        <v>74</v>
      </c>
      <c r="F665" t="s">
        <v>11923</v>
      </c>
      <c r="G665" t="s">
        <v>74</v>
      </c>
      <c r="H665" t="s">
        <v>74</v>
      </c>
      <c r="I665" t="s">
        <v>11924</v>
      </c>
      <c r="J665" t="s">
        <v>11925</v>
      </c>
      <c r="K665" t="s">
        <v>74</v>
      </c>
      <c r="L665" t="s">
        <v>74</v>
      </c>
      <c r="M665" t="s">
        <v>78</v>
      </c>
      <c r="N665" t="s">
        <v>79</v>
      </c>
      <c r="O665" t="s">
        <v>74</v>
      </c>
      <c r="P665" t="s">
        <v>74</v>
      </c>
      <c r="Q665" t="s">
        <v>74</v>
      </c>
      <c r="R665" t="s">
        <v>74</v>
      </c>
      <c r="S665" t="s">
        <v>74</v>
      </c>
      <c r="T665" t="s">
        <v>11926</v>
      </c>
      <c r="U665" t="s">
        <v>11927</v>
      </c>
      <c r="V665" t="s">
        <v>11928</v>
      </c>
      <c r="W665" t="s">
        <v>11929</v>
      </c>
      <c r="X665" t="s">
        <v>11930</v>
      </c>
      <c r="Y665" t="s">
        <v>11931</v>
      </c>
      <c r="Z665" t="s">
        <v>11932</v>
      </c>
      <c r="AA665" t="s">
        <v>74</v>
      </c>
      <c r="AB665" t="s">
        <v>74</v>
      </c>
      <c r="AC665" t="s">
        <v>11933</v>
      </c>
      <c r="AD665" t="s">
        <v>11934</v>
      </c>
      <c r="AE665" t="s">
        <v>11935</v>
      </c>
      <c r="AF665" t="s">
        <v>74</v>
      </c>
      <c r="AG665">
        <v>20</v>
      </c>
      <c r="AH665">
        <v>18</v>
      </c>
      <c r="AI665">
        <v>20</v>
      </c>
      <c r="AJ665">
        <v>1</v>
      </c>
      <c r="AK665">
        <v>15</v>
      </c>
      <c r="AL665" t="s">
        <v>91</v>
      </c>
      <c r="AM665" t="s">
        <v>92</v>
      </c>
      <c r="AN665" t="s">
        <v>137</v>
      </c>
      <c r="AO665" t="s">
        <v>11936</v>
      </c>
      <c r="AP665" t="s">
        <v>11937</v>
      </c>
      <c r="AQ665" t="s">
        <v>74</v>
      </c>
      <c r="AR665" t="s">
        <v>11938</v>
      </c>
      <c r="AS665" t="s">
        <v>11939</v>
      </c>
      <c r="AT665" t="s">
        <v>74</v>
      </c>
      <c r="AU665">
        <v>2009</v>
      </c>
      <c r="AV665">
        <v>59</v>
      </c>
      <c r="AW665">
        <v>4</v>
      </c>
      <c r="AX665" t="s">
        <v>74</v>
      </c>
      <c r="AY665" t="s">
        <v>74</v>
      </c>
      <c r="AZ665" t="s">
        <v>74</v>
      </c>
      <c r="BA665" t="s">
        <v>74</v>
      </c>
      <c r="BB665">
        <v>643</v>
      </c>
      <c r="BC665">
        <v>648</v>
      </c>
      <c r="BD665" t="s">
        <v>74</v>
      </c>
      <c r="BE665" t="s">
        <v>11940</v>
      </c>
      <c r="BF665" t="str">
        <f>HYPERLINK("http://dx.doi.org/10.1007/BF03179203","http://dx.doi.org/10.1007/BF03179203")</f>
        <v>http://dx.doi.org/10.1007/BF03179203</v>
      </c>
      <c r="BG665" t="s">
        <v>74</v>
      </c>
      <c r="BH665" t="s">
        <v>74</v>
      </c>
      <c r="BI665">
        <v>6</v>
      </c>
      <c r="BJ665" t="s">
        <v>4433</v>
      </c>
      <c r="BK665" t="s">
        <v>100</v>
      </c>
      <c r="BL665" t="s">
        <v>4433</v>
      </c>
      <c r="BM665" t="s">
        <v>11941</v>
      </c>
      <c r="BN665" t="s">
        <v>74</v>
      </c>
      <c r="BO665" t="s">
        <v>499</v>
      </c>
      <c r="BP665" t="s">
        <v>74</v>
      </c>
      <c r="BQ665" t="s">
        <v>74</v>
      </c>
      <c r="BR665" t="s">
        <v>103</v>
      </c>
      <c r="BS665" t="s">
        <v>11942</v>
      </c>
      <c r="BT665" t="str">
        <f>HYPERLINK("https%3A%2F%2Fwww.webofscience.com%2Fwos%2Fwoscc%2Ffull-record%2FWOS:000274263200001","View Full Record in Web of Science")</f>
        <v>View Full Record in Web of Science</v>
      </c>
    </row>
    <row r="666" spans="1:72" x14ac:dyDescent="0.15">
      <c r="A666" t="s">
        <v>72</v>
      </c>
      <c r="B666" t="s">
        <v>11943</v>
      </c>
      <c r="C666" t="s">
        <v>74</v>
      </c>
      <c r="D666" t="s">
        <v>74</v>
      </c>
      <c r="E666" t="s">
        <v>74</v>
      </c>
      <c r="F666" t="s">
        <v>11944</v>
      </c>
      <c r="G666" t="s">
        <v>74</v>
      </c>
      <c r="H666" t="s">
        <v>74</v>
      </c>
      <c r="I666" t="s">
        <v>11945</v>
      </c>
      <c r="J666" t="s">
        <v>11946</v>
      </c>
      <c r="K666" t="s">
        <v>74</v>
      </c>
      <c r="L666" t="s">
        <v>74</v>
      </c>
      <c r="M666" t="s">
        <v>78</v>
      </c>
      <c r="N666" t="s">
        <v>1437</v>
      </c>
      <c r="O666" t="s">
        <v>11947</v>
      </c>
      <c r="P666" t="s">
        <v>11948</v>
      </c>
      <c r="Q666" t="s">
        <v>11949</v>
      </c>
      <c r="R666" t="s">
        <v>74</v>
      </c>
      <c r="S666" t="s">
        <v>11950</v>
      </c>
      <c r="T666" t="s">
        <v>11951</v>
      </c>
      <c r="U666" t="s">
        <v>11952</v>
      </c>
      <c r="V666" t="s">
        <v>11953</v>
      </c>
      <c r="W666" t="s">
        <v>11954</v>
      </c>
      <c r="X666" t="s">
        <v>11955</v>
      </c>
      <c r="Y666" t="s">
        <v>11956</v>
      </c>
      <c r="Z666" t="s">
        <v>11957</v>
      </c>
      <c r="AA666" t="s">
        <v>11958</v>
      </c>
      <c r="AB666" t="s">
        <v>11959</v>
      </c>
      <c r="AC666" t="s">
        <v>74</v>
      </c>
      <c r="AD666" t="s">
        <v>74</v>
      </c>
      <c r="AE666" t="s">
        <v>74</v>
      </c>
      <c r="AF666" t="s">
        <v>74</v>
      </c>
      <c r="AG666">
        <v>74</v>
      </c>
      <c r="AH666">
        <v>120</v>
      </c>
      <c r="AI666">
        <v>149</v>
      </c>
      <c r="AJ666">
        <v>2</v>
      </c>
      <c r="AK666">
        <v>35</v>
      </c>
      <c r="AL666" t="s">
        <v>11960</v>
      </c>
      <c r="AM666" t="s">
        <v>11961</v>
      </c>
      <c r="AN666" t="s">
        <v>11962</v>
      </c>
      <c r="AO666" t="s">
        <v>11963</v>
      </c>
      <c r="AP666" t="s">
        <v>11964</v>
      </c>
      <c r="AQ666" t="s">
        <v>74</v>
      </c>
      <c r="AR666" t="s">
        <v>11965</v>
      </c>
      <c r="AS666" t="s">
        <v>11966</v>
      </c>
      <c r="AT666" t="s">
        <v>74</v>
      </c>
      <c r="AU666">
        <v>2009</v>
      </c>
      <c r="AV666">
        <v>96</v>
      </c>
      <c r="AW666">
        <v>1</v>
      </c>
      <c r="AX666" t="s">
        <v>74</v>
      </c>
      <c r="AY666" t="s">
        <v>74</v>
      </c>
      <c r="AZ666" t="s">
        <v>74</v>
      </c>
      <c r="BA666" t="s">
        <v>74</v>
      </c>
      <c r="BB666">
        <v>68</v>
      </c>
      <c r="BC666">
        <v>78</v>
      </c>
      <c r="BD666" t="s">
        <v>74</v>
      </c>
      <c r="BE666" t="s">
        <v>11967</v>
      </c>
      <c r="BF666" t="str">
        <f>HYPERLINK("http://dx.doi.org/10.3417/2006205","http://dx.doi.org/10.3417/2006205")</f>
        <v>http://dx.doi.org/10.3417/2006205</v>
      </c>
      <c r="BG666" t="s">
        <v>74</v>
      </c>
      <c r="BH666" t="s">
        <v>74</v>
      </c>
      <c r="BI666">
        <v>11</v>
      </c>
      <c r="BJ666" t="s">
        <v>2573</v>
      </c>
      <c r="BK666" t="s">
        <v>1453</v>
      </c>
      <c r="BL666" t="s">
        <v>2573</v>
      </c>
      <c r="BM666" t="s">
        <v>11968</v>
      </c>
      <c r="BN666" t="s">
        <v>74</v>
      </c>
      <c r="BO666" t="s">
        <v>74</v>
      </c>
      <c r="BP666" t="s">
        <v>74</v>
      </c>
      <c r="BQ666" t="s">
        <v>74</v>
      </c>
      <c r="BR666" t="s">
        <v>103</v>
      </c>
      <c r="BS666" t="s">
        <v>11969</v>
      </c>
      <c r="BT666" t="str">
        <f>HYPERLINK("https%3A%2F%2Fwww.webofscience.com%2Fwos%2Fwoscc%2Ffull-record%2FWOS:000265462000005","View Full Record in Web of Science")</f>
        <v>View Full Record in Web of Science</v>
      </c>
    </row>
    <row r="667" spans="1:72" x14ac:dyDescent="0.15">
      <c r="A667" t="s">
        <v>11414</v>
      </c>
      <c r="B667" t="s">
        <v>11970</v>
      </c>
      <c r="C667" t="s">
        <v>74</v>
      </c>
      <c r="D667" t="s">
        <v>11971</v>
      </c>
      <c r="E667" t="s">
        <v>74</v>
      </c>
      <c r="F667" t="s">
        <v>11972</v>
      </c>
      <c r="G667" t="s">
        <v>74</v>
      </c>
      <c r="H667" t="s">
        <v>74</v>
      </c>
      <c r="I667" t="s">
        <v>11973</v>
      </c>
      <c r="J667" t="s">
        <v>11974</v>
      </c>
      <c r="K667" t="s">
        <v>11975</v>
      </c>
      <c r="L667" t="s">
        <v>74</v>
      </c>
      <c r="M667" t="s">
        <v>78</v>
      </c>
      <c r="N667" t="s">
        <v>11976</v>
      </c>
      <c r="O667" t="s">
        <v>74</v>
      </c>
      <c r="P667" t="s">
        <v>74</v>
      </c>
      <c r="Q667" t="s">
        <v>74</v>
      </c>
      <c r="R667" t="s">
        <v>74</v>
      </c>
      <c r="S667" t="s">
        <v>74</v>
      </c>
      <c r="T667" t="s">
        <v>74</v>
      </c>
      <c r="U667" t="s">
        <v>74</v>
      </c>
      <c r="V667" t="s">
        <v>11977</v>
      </c>
      <c r="W667" t="s">
        <v>11978</v>
      </c>
      <c r="X667" t="s">
        <v>11979</v>
      </c>
      <c r="Y667" t="s">
        <v>11980</v>
      </c>
      <c r="Z667" t="s">
        <v>11981</v>
      </c>
      <c r="AA667" t="s">
        <v>11982</v>
      </c>
      <c r="AB667" t="s">
        <v>11983</v>
      </c>
      <c r="AC667" t="s">
        <v>74</v>
      </c>
      <c r="AD667" t="s">
        <v>74</v>
      </c>
      <c r="AE667" t="s">
        <v>74</v>
      </c>
      <c r="AF667" t="s">
        <v>74</v>
      </c>
      <c r="AG667">
        <v>15</v>
      </c>
      <c r="AH667">
        <v>5</v>
      </c>
      <c r="AI667">
        <v>6</v>
      </c>
      <c r="AJ667">
        <v>0</v>
      </c>
      <c r="AK667">
        <v>7</v>
      </c>
      <c r="AL667" t="s">
        <v>553</v>
      </c>
      <c r="AM667" t="s">
        <v>252</v>
      </c>
      <c r="AN667" t="s">
        <v>11984</v>
      </c>
      <c r="AO667" t="s">
        <v>11985</v>
      </c>
      <c r="AP667" t="s">
        <v>74</v>
      </c>
      <c r="AQ667" t="s">
        <v>11986</v>
      </c>
      <c r="AR667" t="s">
        <v>11987</v>
      </c>
      <c r="AS667" t="s">
        <v>74</v>
      </c>
      <c r="AT667" t="s">
        <v>74</v>
      </c>
      <c r="AU667">
        <v>2009</v>
      </c>
      <c r="AV667">
        <v>8</v>
      </c>
      <c r="AW667" t="s">
        <v>74</v>
      </c>
      <c r="AX667" t="s">
        <v>74</v>
      </c>
      <c r="AY667" t="s">
        <v>74</v>
      </c>
      <c r="AZ667" t="s">
        <v>74</v>
      </c>
      <c r="BA667" t="s">
        <v>74</v>
      </c>
      <c r="BB667">
        <v>1</v>
      </c>
      <c r="BC667">
        <v>11</v>
      </c>
      <c r="BD667" t="s">
        <v>74</v>
      </c>
      <c r="BE667" t="s">
        <v>11988</v>
      </c>
      <c r="BF667" t="str">
        <f>HYPERLINK("http://dx.doi.org/10.1016/S1571-9197(08)00001-3","http://dx.doi.org/10.1016/S1571-9197(08)00001-3")</f>
        <v>http://dx.doi.org/10.1016/S1571-9197(08)00001-3</v>
      </c>
      <c r="BG667" t="s">
        <v>74</v>
      </c>
      <c r="BH667" t="s">
        <v>74</v>
      </c>
      <c r="BI667">
        <v>11</v>
      </c>
      <c r="BJ667" t="s">
        <v>3583</v>
      </c>
      <c r="BK667" t="s">
        <v>11989</v>
      </c>
      <c r="BL667" t="s">
        <v>3584</v>
      </c>
      <c r="BM667" t="s">
        <v>11990</v>
      </c>
      <c r="BN667" t="s">
        <v>74</v>
      </c>
      <c r="BO667" t="s">
        <v>74</v>
      </c>
      <c r="BP667" t="s">
        <v>74</v>
      </c>
      <c r="BQ667" t="s">
        <v>74</v>
      </c>
      <c r="BR667" t="s">
        <v>103</v>
      </c>
      <c r="BS667" t="s">
        <v>11991</v>
      </c>
      <c r="BT667" t="str">
        <f>HYPERLINK("https%3A%2F%2Fwww.webofscience.com%2Fwos%2Fwoscc%2Ffull-record%2FWOS:000310806900002","View Full Record in Web of Science")</f>
        <v>View Full Record in Web of Science</v>
      </c>
    </row>
    <row r="668" spans="1:72" x14ac:dyDescent="0.15">
      <c r="A668" t="s">
        <v>11414</v>
      </c>
      <c r="B668" t="s">
        <v>74</v>
      </c>
      <c r="C668" t="s">
        <v>74</v>
      </c>
      <c r="D668" t="s">
        <v>11971</v>
      </c>
      <c r="E668" t="s">
        <v>74</v>
      </c>
      <c r="F668" t="s">
        <v>74</v>
      </c>
      <c r="G668" t="s">
        <v>74</v>
      </c>
      <c r="H668" t="s">
        <v>74</v>
      </c>
      <c r="I668" t="s">
        <v>11973</v>
      </c>
      <c r="J668" t="s">
        <v>11974</v>
      </c>
      <c r="K668" t="s">
        <v>11975</v>
      </c>
      <c r="L668" t="s">
        <v>74</v>
      </c>
      <c r="M668" t="s">
        <v>78</v>
      </c>
      <c r="N668" t="s">
        <v>11992</v>
      </c>
      <c r="O668" t="s">
        <v>74</v>
      </c>
      <c r="P668" t="s">
        <v>74</v>
      </c>
      <c r="Q668" t="s">
        <v>74</v>
      </c>
      <c r="R668" t="s">
        <v>74</v>
      </c>
      <c r="S668" t="s">
        <v>74</v>
      </c>
      <c r="T668" t="s">
        <v>74</v>
      </c>
      <c r="U668" t="s">
        <v>74</v>
      </c>
      <c r="V668" t="s">
        <v>74</v>
      </c>
      <c r="W668" t="s">
        <v>74</v>
      </c>
      <c r="X668" t="s">
        <v>74</v>
      </c>
      <c r="Y668" t="s">
        <v>74</v>
      </c>
      <c r="Z668" t="s">
        <v>74</v>
      </c>
      <c r="AA668" t="s">
        <v>74</v>
      </c>
      <c r="AB668" t="s">
        <v>74</v>
      </c>
      <c r="AC668" t="s">
        <v>74</v>
      </c>
      <c r="AD668" t="s">
        <v>74</v>
      </c>
      <c r="AE668" t="s">
        <v>74</v>
      </c>
      <c r="AF668" t="s">
        <v>74</v>
      </c>
      <c r="AG668">
        <v>0</v>
      </c>
      <c r="AH668">
        <v>7</v>
      </c>
      <c r="AI668">
        <v>7</v>
      </c>
      <c r="AJ668">
        <v>0</v>
      </c>
      <c r="AK668">
        <v>1</v>
      </c>
      <c r="AL668" t="s">
        <v>553</v>
      </c>
      <c r="AM668" t="s">
        <v>252</v>
      </c>
      <c r="AN668" t="s">
        <v>11984</v>
      </c>
      <c r="AO668" t="s">
        <v>11985</v>
      </c>
      <c r="AP668" t="s">
        <v>74</v>
      </c>
      <c r="AQ668" t="s">
        <v>11993</v>
      </c>
      <c r="AR668" t="s">
        <v>11987</v>
      </c>
      <c r="AS668" t="s">
        <v>74</v>
      </c>
      <c r="AT668" t="s">
        <v>74</v>
      </c>
      <c r="AU668">
        <v>2009</v>
      </c>
      <c r="AV668">
        <v>8</v>
      </c>
      <c r="AW668" t="s">
        <v>74</v>
      </c>
      <c r="AX668" t="s">
        <v>74</v>
      </c>
      <c r="AY668" t="s">
        <v>74</v>
      </c>
      <c r="AZ668" t="s">
        <v>74</v>
      </c>
      <c r="BA668" t="s">
        <v>74</v>
      </c>
      <c r="BB668">
        <v>1</v>
      </c>
      <c r="BC668">
        <v>593</v>
      </c>
      <c r="BD668" t="s">
        <v>74</v>
      </c>
      <c r="BE668" t="s">
        <v>74</v>
      </c>
      <c r="BF668" t="s">
        <v>74</v>
      </c>
      <c r="BG668" t="s">
        <v>74</v>
      </c>
      <c r="BH668" t="s">
        <v>74</v>
      </c>
      <c r="BI668">
        <v>606</v>
      </c>
      <c r="BJ668" t="s">
        <v>3583</v>
      </c>
      <c r="BK668" t="s">
        <v>11989</v>
      </c>
      <c r="BL668" t="s">
        <v>3584</v>
      </c>
      <c r="BM668" t="s">
        <v>11990</v>
      </c>
      <c r="BN668" t="s">
        <v>74</v>
      </c>
      <c r="BO668" t="s">
        <v>74</v>
      </c>
      <c r="BP668" t="s">
        <v>74</v>
      </c>
      <c r="BQ668" t="s">
        <v>74</v>
      </c>
      <c r="BR668" t="s">
        <v>103</v>
      </c>
      <c r="BS668" t="s">
        <v>11994</v>
      </c>
      <c r="BT668" t="str">
        <f>HYPERLINK("https%3A%2F%2Fwww.webofscience.com%2Fwos%2Fwoscc%2Ffull-record%2FWOS:000310806900015","View Full Record in Web of Science")</f>
        <v>View Full Record in Web of Science</v>
      </c>
    </row>
    <row r="669" spans="1:72" x14ac:dyDescent="0.15">
      <c r="A669" t="s">
        <v>11414</v>
      </c>
      <c r="B669" t="s">
        <v>11971</v>
      </c>
      <c r="C669" t="s">
        <v>74</v>
      </c>
      <c r="D669" t="s">
        <v>11971</v>
      </c>
      <c r="E669" t="s">
        <v>74</v>
      </c>
      <c r="F669" t="s">
        <v>11995</v>
      </c>
      <c r="G669" t="s">
        <v>74</v>
      </c>
      <c r="H669" t="s">
        <v>74</v>
      </c>
      <c r="I669" t="s">
        <v>11996</v>
      </c>
      <c r="J669" t="s">
        <v>11974</v>
      </c>
      <c r="K669" t="s">
        <v>11975</v>
      </c>
      <c r="L669" t="s">
        <v>74</v>
      </c>
      <c r="M669" t="s">
        <v>78</v>
      </c>
      <c r="N669" t="s">
        <v>11997</v>
      </c>
      <c r="O669" t="s">
        <v>74</v>
      </c>
      <c r="P669" t="s">
        <v>74</v>
      </c>
      <c r="Q669" t="s">
        <v>74</v>
      </c>
      <c r="R669" t="s">
        <v>74</v>
      </c>
      <c r="S669" t="s">
        <v>74</v>
      </c>
      <c r="T669" t="s">
        <v>74</v>
      </c>
      <c r="U669" t="s">
        <v>74</v>
      </c>
      <c r="V669" t="s">
        <v>74</v>
      </c>
      <c r="W669" t="s">
        <v>11998</v>
      </c>
      <c r="X669" t="s">
        <v>11999</v>
      </c>
      <c r="Y669" t="s">
        <v>12000</v>
      </c>
      <c r="Z669" t="s">
        <v>74</v>
      </c>
      <c r="AA669" t="s">
        <v>12001</v>
      </c>
      <c r="AB669" t="s">
        <v>12002</v>
      </c>
      <c r="AC669" t="s">
        <v>74</v>
      </c>
      <c r="AD669" t="s">
        <v>74</v>
      </c>
      <c r="AE669" t="s">
        <v>74</v>
      </c>
      <c r="AF669" t="s">
        <v>74</v>
      </c>
      <c r="AG669">
        <v>0</v>
      </c>
      <c r="AH669">
        <v>0</v>
      </c>
      <c r="AI669">
        <v>0</v>
      </c>
      <c r="AJ669">
        <v>0</v>
      </c>
      <c r="AK669">
        <v>1</v>
      </c>
      <c r="AL669" t="s">
        <v>553</v>
      </c>
      <c r="AM669" t="s">
        <v>252</v>
      </c>
      <c r="AN669" t="s">
        <v>11984</v>
      </c>
      <c r="AO669" t="s">
        <v>11985</v>
      </c>
      <c r="AP669" t="s">
        <v>74</v>
      </c>
      <c r="AQ669" t="s">
        <v>11993</v>
      </c>
      <c r="AR669" t="s">
        <v>11987</v>
      </c>
      <c r="AS669" t="s">
        <v>74</v>
      </c>
      <c r="AT669" t="s">
        <v>74</v>
      </c>
      <c r="AU669">
        <v>2009</v>
      </c>
      <c r="AV669">
        <v>8</v>
      </c>
      <c r="AW669" t="s">
        <v>74</v>
      </c>
      <c r="AX669" t="s">
        <v>74</v>
      </c>
      <c r="AY669" t="s">
        <v>74</v>
      </c>
      <c r="AZ669" t="s">
        <v>74</v>
      </c>
      <c r="BA669" t="s">
        <v>74</v>
      </c>
      <c r="BB669" t="s">
        <v>12003</v>
      </c>
      <c r="BC669" t="s">
        <v>12004</v>
      </c>
      <c r="BD669" t="s">
        <v>74</v>
      </c>
      <c r="BE669" t="s">
        <v>74</v>
      </c>
      <c r="BF669" t="s">
        <v>74</v>
      </c>
      <c r="BG669" t="s">
        <v>74</v>
      </c>
      <c r="BH669" t="s">
        <v>74</v>
      </c>
      <c r="BI669">
        <v>2</v>
      </c>
      <c r="BJ669" t="s">
        <v>3583</v>
      </c>
      <c r="BK669" t="s">
        <v>11989</v>
      </c>
      <c r="BL669" t="s">
        <v>3584</v>
      </c>
      <c r="BM669" t="s">
        <v>11990</v>
      </c>
      <c r="BN669" t="s">
        <v>74</v>
      </c>
      <c r="BO669" t="s">
        <v>74</v>
      </c>
      <c r="BP669" t="s">
        <v>74</v>
      </c>
      <c r="BQ669" t="s">
        <v>74</v>
      </c>
      <c r="BR669" t="s">
        <v>103</v>
      </c>
      <c r="BS669" t="s">
        <v>12005</v>
      </c>
      <c r="BT669" t="str">
        <f>HYPERLINK("https%3A%2F%2Fwww.webofscience.com%2Fwos%2Fwoscc%2Ffull-record%2FWOS:000310806900001","View Full Record in Web of Science")</f>
        <v>View Full Record in Web of Science</v>
      </c>
    </row>
    <row r="670" spans="1:72" x14ac:dyDescent="0.15">
      <c r="A670" t="s">
        <v>11414</v>
      </c>
      <c r="B670" t="s">
        <v>12006</v>
      </c>
      <c r="C670" t="s">
        <v>74</v>
      </c>
      <c r="D670" t="s">
        <v>11971</v>
      </c>
      <c r="E670" t="s">
        <v>74</v>
      </c>
      <c r="F670" t="s">
        <v>12007</v>
      </c>
      <c r="G670" t="s">
        <v>74</v>
      </c>
      <c r="H670" t="s">
        <v>74</v>
      </c>
      <c r="I670" t="s">
        <v>12008</v>
      </c>
      <c r="J670" t="s">
        <v>11974</v>
      </c>
      <c r="K670" t="s">
        <v>11975</v>
      </c>
      <c r="L670" t="s">
        <v>74</v>
      </c>
      <c r="M670" t="s">
        <v>78</v>
      </c>
      <c r="N670" t="s">
        <v>11976</v>
      </c>
      <c r="O670" t="s">
        <v>74</v>
      </c>
      <c r="P670" t="s">
        <v>74</v>
      </c>
      <c r="Q670" t="s">
        <v>74</v>
      </c>
      <c r="R670" t="s">
        <v>74</v>
      </c>
      <c r="S670" t="s">
        <v>74</v>
      </c>
      <c r="T670" t="s">
        <v>74</v>
      </c>
      <c r="U670" t="s">
        <v>74</v>
      </c>
      <c r="V670" t="s">
        <v>12009</v>
      </c>
      <c r="W670" t="s">
        <v>12010</v>
      </c>
      <c r="X670" t="s">
        <v>11999</v>
      </c>
      <c r="Y670" t="s">
        <v>12011</v>
      </c>
      <c r="Z670" t="s">
        <v>12012</v>
      </c>
      <c r="AA670" t="s">
        <v>12013</v>
      </c>
      <c r="AB670" t="s">
        <v>12002</v>
      </c>
      <c r="AC670" t="s">
        <v>74</v>
      </c>
      <c r="AD670" t="s">
        <v>74</v>
      </c>
      <c r="AE670" t="s">
        <v>74</v>
      </c>
      <c r="AF670" t="s">
        <v>74</v>
      </c>
      <c r="AG670">
        <v>9</v>
      </c>
      <c r="AH670">
        <v>0</v>
      </c>
      <c r="AI670">
        <v>0</v>
      </c>
      <c r="AJ670">
        <v>0</v>
      </c>
      <c r="AK670">
        <v>1</v>
      </c>
      <c r="AL670" t="s">
        <v>553</v>
      </c>
      <c r="AM670" t="s">
        <v>252</v>
      </c>
      <c r="AN670" t="s">
        <v>11984</v>
      </c>
      <c r="AO670" t="s">
        <v>11985</v>
      </c>
      <c r="AP670" t="s">
        <v>74</v>
      </c>
      <c r="AQ670" t="s">
        <v>11986</v>
      </c>
      <c r="AR670" t="s">
        <v>11987</v>
      </c>
      <c r="AS670" t="s">
        <v>74</v>
      </c>
      <c r="AT670" t="s">
        <v>74</v>
      </c>
      <c r="AU670">
        <v>2009</v>
      </c>
      <c r="AV670">
        <v>8</v>
      </c>
      <c r="AW670" t="s">
        <v>74</v>
      </c>
      <c r="AX670" t="s">
        <v>74</v>
      </c>
      <c r="AY670" t="s">
        <v>74</v>
      </c>
      <c r="AZ670" t="s">
        <v>74</v>
      </c>
      <c r="BA670" t="s">
        <v>74</v>
      </c>
      <c r="BB670">
        <v>13</v>
      </c>
      <c r="BC670">
        <v>31</v>
      </c>
      <c r="BD670" t="s">
        <v>74</v>
      </c>
      <c r="BE670" t="s">
        <v>12014</v>
      </c>
      <c r="BF670" t="str">
        <f>HYPERLINK("http://dx.doi.org/10.1016/S1571-9197(08)00002-5","http://dx.doi.org/10.1016/S1571-9197(08)00002-5")</f>
        <v>http://dx.doi.org/10.1016/S1571-9197(08)00002-5</v>
      </c>
      <c r="BG670" t="s">
        <v>74</v>
      </c>
      <c r="BH670" t="s">
        <v>74</v>
      </c>
      <c r="BI670">
        <v>19</v>
      </c>
      <c r="BJ670" t="s">
        <v>3583</v>
      </c>
      <c r="BK670" t="s">
        <v>11989</v>
      </c>
      <c r="BL670" t="s">
        <v>3584</v>
      </c>
      <c r="BM670" t="s">
        <v>11990</v>
      </c>
      <c r="BN670" t="s">
        <v>74</v>
      </c>
      <c r="BO670" t="s">
        <v>74</v>
      </c>
      <c r="BP670" t="s">
        <v>74</v>
      </c>
      <c r="BQ670" t="s">
        <v>74</v>
      </c>
      <c r="BR670" t="s">
        <v>103</v>
      </c>
      <c r="BS670" t="s">
        <v>12015</v>
      </c>
      <c r="BT670" t="str">
        <f>HYPERLINK("https%3A%2F%2Fwww.webofscience.com%2Fwos%2Fwoscc%2Ffull-record%2FWOS:000310806900003","View Full Record in Web of Science")</f>
        <v>View Full Record in Web of Science</v>
      </c>
    </row>
    <row r="671" spans="1:72" x14ac:dyDescent="0.15">
      <c r="A671" t="s">
        <v>11414</v>
      </c>
      <c r="B671" t="s">
        <v>12016</v>
      </c>
      <c r="C671" t="s">
        <v>74</v>
      </c>
      <c r="D671" t="s">
        <v>11971</v>
      </c>
      <c r="E671" t="s">
        <v>74</v>
      </c>
      <c r="F671" t="s">
        <v>12017</v>
      </c>
      <c r="G671" t="s">
        <v>74</v>
      </c>
      <c r="H671" t="s">
        <v>74</v>
      </c>
      <c r="I671" t="s">
        <v>12018</v>
      </c>
      <c r="J671" t="s">
        <v>11974</v>
      </c>
      <c r="K671" t="s">
        <v>11975</v>
      </c>
      <c r="L671" t="s">
        <v>74</v>
      </c>
      <c r="M671" t="s">
        <v>78</v>
      </c>
      <c r="N671" t="s">
        <v>11976</v>
      </c>
      <c r="O671" t="s">
        <v>74</v>
      </c>
      <c r="P671" t="s">
        <v>74</v>
      </c>
      <c r="Q671" t="s">
        <v>74</v>
      </c>
      <c r="R671" t="s">
        <v>74</v>
      </c>
      <c r="S671" t="s">
        <v>74</v>
      </c>
      <c r="T671" t="s">
        <v>74</v>
      </c>
      <c r="U671" t="s">
        <v>12019</v>
      </c>
      <c r="V671" t="s">
        <v>12020</v>
      </c>
      <c r="W671" t="s">
        <v>12021</v>
      </c>
      <c r="X671" t="s">
        <v>12022</v>
      </c>
      <c r="Y671" t="s">
        <v>12023</v>
      </c>
      <c r="Z671" t="s">
        <v>12024</v>
      </c>
      <c r="AA671" t="s">
        <v>74</v>
      </c>
      <c r="AB671" t="s">
        <v>74</v>
      </c>
      <c r="AC671" t="s">
        <v>74</v>
      </c>
      <c r="AD671" t="s">
        <v>74</v>
      </c>
      <c r="AE671" t="s">
        <v>74</v>
      </c>
      <c r="AF671" t="s">
        <v>74</v>
      </c>
      <c r="AG671">
        <v>179</v>
      </c>
      <c r="AH671">
        <v>19</v>
      </c>
      <c r="AI671">
        <v>22</v>
      </c>
      <c r="AJ671">
        <v>0</v>
      </c>
      <c r="AK671">
        <v>9</v>
      </c>
      <c r="AL671" t="s">
        <v>553</v>
      </c>
      <c r="AM671" t="s">
        <v>252</v>
      </c>
      <c r="AN671" t="s">
        <v>11984</v>
      </c>
      <c r="AO671" t="s">
        <v>11985</v>
      </c>
      <c r="AP671" t="s">
        <v>74</v>
      </c>
      <c r="AQ671" t="s">
        <v>11986</v>
      </c>
      <c r="AR671" t="s">
        <v>11987</v>
      </c>
      <c r="AS671" t="s">
        <v>74</v>
      </c>
      <c r="AT671" t="s">
        <v>74</v>
      </c>
      <c r="AU671">
        <v>2009</v>
      </c>
      <c r="AV671">
        <v>8</v>
      </c>
      <c r="AW671" t="s">
        <v>74</v>
      </c>
      <c r="AX671" t="s">
        <v>74</v>
      </c>
      <c r="AY671" t="s">
        <v>74</v>
      </c>
      <c r="AZ671" t="s">
        <v>74</v>
      </c>
      <c r="BA671" t="s">
        <v>74</v>
      </c>
      <c r="BB671">
        <v>33</v>
      </c>
      <c r="BC671">
        <v>83</v>
      </c>
      <c r="BD671" t="s">
        <v>74</v>
      </c>
      <c r="BE671" t="s">
        <v>12025</v>
      </c>
      <c r="BF671" t="str">
        <f>HYPERLINK("http://dx.doi.org/10.1016/S1571-9197(08)00003-7","http://dx.doi.org/10.1016/S1571-9197(08)00003-7")</f>
        <v>http://dx.doi.org/10.1016/S1571-9197(08)00003-7</v>
      </c>
      <c r="BG671" t="s">
        <v>74</v>
      </c>
      <c r="BH671" t="s">
        <v>74</v>
      </c>
      <c r="BI671">
        <v>51</v>
      </c>
      <c r="BJ671" t="s">
        <v>3583</v>
      </c>
      <c r="BK671" t="s">
        <v>11989</v>
      </c>
      <c r="BL671" t="s">
        <v>3584</v>
      </c>
      <c r="BM671" t="s">
        <v>11990</v>
      </c>
      <c r="BN671" t="s">
        <v>74</v>
      </c>
      <c r="BO671" t="s">
        <v>74</v>
      </c>
      <c r="BP671" t="s">
        <v>74</v>
      </c>
      <c r="BQ671" t="s">
        <v>74</v>
      </c>
      <c r="BR671" t="s">
        <v>103</v>
      </c>
      <c r="BS671" t="s">
        <v>12026</v>
      </c>
      <c r="BT671" t="str">
        <f>HYPERLINK("https%3A%2F%2Fwww.webofscience.com%2Fwos%2Fwoscc%2Ffull-record%2FWOS:000310806900004","View Full Record in Web of Science")</f>
        <v>View Full Record in Web of Science</v>
      </c>
    </row>
    <row r="672" spans="1:72" x14ac:dyDescent="0.15">
      <c r="A672" t="s">
        <v>11414</v>
      </c>
      <c r="B672" t="s">
        <v>12027</v>
      </c>
      <c r="C672" t="s">
        <v>74</v>
      </c>
      <c r="D672" t="s">
        <v>11971</v>
      </c>
      <c r="E672" t="s">
        <v>74</v>
      </c>
      <c r="F672" t="s">
        <v>12028</v>
      </c>
      <c r="G672" t="s">
        <v>74</v>
      </c>
      <c r="H672" t="s">
        <v>74</v>
      </c>
      <c r="I672" t="s">
        <v>12029</v>
      </c>
      <c r="J672" t="s">
        <v>11974</v>
      </c>
      <c r="K672" t="s">
        <v>11975</v>
      </c>
      <c r="L672" t="s">
        <v>74</v>
      </c>
      <c r="M672" t="s">
        <v>78</v>
      </c>
      <c r="N672" t="s">
        <v>11976</v>
      </c>
      <c r="O672" t="s">
        <v>74</v>
      </c>
      <c r="P672" t="s">
        <v>74</v>
      </c>
      <c r="Q672" t="s">
        <v>74</v>
      </c>
      <c r="R672" t="s">
        <v>74</v>
      </c>
      <c r="S672" t="s">
        <v>74</v>
      </c>
      <c r="T672" t="s">
        <v>74</v>
      </c>
      <c r="U672" t="s">
        <v>12030</v>
      </c>
      <c r="V672" t="s">
        <v>12031</v>
      </c>
      <c r="W672" t="s">
        <v>12032</v>
      </c>
      <c r="X672" t="s">
        <v>12033</v>
      </c>
      <c r="Y672" t="s">
        <v>12034</v>
      </c>
      <c r="Z672" t="s">
        <v>12035</v>
      </c>
      <c r="AA672" t="s">
        <v>12036</v>
      </c>
      <c r="AB672" t="s">
        <v>12037</v>
      </c>
      <c r="AC672" t="s">
        <v>74</v>
      </c>
      <c r="AD672" t="s">
        <v>74</v>
      </c>
      <c r="AE672" t="s">
        <v>74</v>
      </c>
      <c r="AF672" t="s">
        <v>74</v>
      </c>
      <c r="AG672">
        <v>102</v>
      </c>
      <c r="AH672">
        <v>97</v>
      </c>
      <c r="AI672">
        <v>104</v>
      </c>
      <c r="AJ672">
        <v>0</v>
      </c>
      <c r="AK672">
        <v>17</v>
      </c>
      <c r="AL672" t="s">
        <v>553</v>
      </c>
      <c r="AM672" t="s">
        <v>252</v>
      </c>
      <c r="AN672" t="s">
        <v>11984</v>
      </c>
      <c r="AO672" t="s">
        <v>11985</v>
      </c>
      <c r="AP672" t="s">
        <v>74</v>
      </c>
      <c r="AQ672" t="s">
        <v>11986</v>
      </c>
      <c r="AR672" t="s">
        <v>11987</v>
      </c>
      <c r="AS672" t="s">
        <v>74</v>
      </c>
      <c r="AT672" t="s">
        <v>74</v>
      </c>
      <c r="AU672">
        <v>2009</v>
      </c>
      <c r="AV672">
        <v>8</v>
      </c>
      <c r="AW672" t="s">
        <v>74</v>
      </c>
      <c r="AX672" t="s">
        <v>74</v>
      </c>
      <c r="AY672" t="s">
        <v>74</v>
      </c>
      <c r="AZ672" t="s">
        <v>74</v>
      </c>
      <c r="BA672" t="s">
        <v>74</v>
      </c>
      <c r="BB672">
        <v>85</v>
      </c>
      <c r="BC672">
        <v>114</v>
      </c>
      <c r="BD672" t="s">
        <v>74</v>
      </c>
      <c r="BE672" t="s">
        <v>12038</v>
      </c>
      <c r="BF672" t="str">
        <f>HYPERLINK("http://dx.doi.org/10.1016/S1571-9197(08)00004-9","http://dx.doi.org/10.1016/S1571-9197(08)00004-9")</f>
        <v>http://dx.doi.org/10.1016/S1571-9197(08)00004-9</v>
      </c>
      <c r="BG672" t="s">
        <v>74</v>
      </c>
      <c r="BH672" t="s">
        <v>74</v>
      </c>
      <c r="BI672">
        <v>30</v>
      </c>
      <c r="BJ672" t="s">
        <v>3583</v>
      </c>
      <c r="BK672" t="s">
        <v>11989</v>
      </c>
      <c r="BL672" t="s">
        <v>3584</v>
      </c>
      <c r="BM672" t="s">
        <v>11990</v>
      </c>
      <c r="BN672" t="s">
        <v>74</v>
      </c>
      <c r="BO672" t="s">
        <v>74</v>
      </c>
      <c r="BP672" t="s">
        <v>74</v>
      </c>
      <c r="BQ672" t="s">
        <v>74</v>
      </c>
      <c r="BR672" t="s">
        <v>103</v>
      </c>
      <c r="BS672" t="s">
        <v>12039</v>
      </c>
      <c r="BT672" t="str">
        <f>HYPERLINK("https%3A%2F%2Fwww.webofscience.com%2Fwos%2Fwoscc%2Ffull-record%2FWOS:000310806900005","View Full Record in Web of Science")</f>
        <v>View Full Record in Web of Science</v>
      </c>
    </row>
    <row r="673" spans="1:72" x14ac:dyDescent="0.15">
      <c r="A673" t="s">
        <v>11414</v>
      </c>
      <c r="B673" t="s">
        <v>12040</v>
      </c>
      <c r="C673" t="s">
        <v>74</v>
      </c>
      <c r="D673" t="s">
        <v>11971</v>
      </c>
      <c r="E673" t="s">
        <v>74</v>
      </c>
      <c r="F673" t="s">
        <v>12041</v>
      </c>
      <c r="G673" t="s">
        <v>74</v>
      </c>
      <c r="H673" t="s">
        <v>74</v>
      </c>
      <c r="I673" t="s">
        <v>12042</v>
      </c>
      <c r="J673" t="s">
        <v>11974</v>
      </c>
      <c r="K673" t="s">
        <v>11975</v>
      </c>
      <c r="L673" t="s">
        <v>74</v>
      </c>
      <c r="M673" t="s">
        <v>78</v>
      </c>
      <c r="N673" t="s">
        <v>11976</v>
      </c>
      <c r="O673" t="s">
        <v>74</v>
      </c>
      <c r="P673" t="s">
        <v>74</v>
      </c>
      <c r="Q673" t="s">
        <v>74</v>
      </c>
      <c r="R673" t="s">
        <v>74</v>
      </c>
      <c r="S673" t="s">
        <v>74</v>
      </c>
      <c r="T673" t="s">
        <v>74</v>
      </c>
      <c r="U673" t="s">
        <v>12043</v>
      </c>
      <c r="V673" t="s">
        <v>12044</v>
      </c>
      <c r="W673" t="s">
        <v>12045</v>
      </c>
      <c r="X673" t="s">
        <v>12046</v>
      </c>
      <c r="Y673" t="s">
        <v>12047</v>
      </c>
      <c r="Z673" t="s">
        <v>12048</v>
      </c>
      <c r="AA673" t="s">
        <v>12049</v>
      </c>
      <c r="AB673" t="s">
        <v>74</v>
      </c>
      <c r="AC673" t="s">
        <v>74</v>
      </c>
      <c r="AD673" t="s">
        <v>74</v>
      </c>
      <c r="AE673" t="s">
        <v>74</v>
      </c>
      <c r="AF673" t="s">
        <v>74</v>
      </c>
      <c r="AG673">
        <v>697</v>
      </c>
      <c r="AH673">
        <v>27</v>
      </c>
      <c r="AI673">
        <v>31</v>
      </c>
      <c r="AJ673">
        <v>0</v>
      </c>
      <c r="AK673">
        <v>3</v>
      </c>
      <c r="AL673" t="s">
        <v>553</v>
      </c>
      <c r="AM673" t="s">
        <v>252</v>
      </c>
      <c r="AN673" t="s">
        <v>11984</v>
      </c>
      <c r="AO673" t="s">
        <v>11985</v>
      </c>
      <c r="AP673" t="s">
        <v>74</v>
      </c>
      <c r="AQ673" t="s">
        <v>11986</v>
      </c>
      <c r="AR673" t="s">
        <v>11987</v>
      </c>
      <c r="AS673" t="s">
        <v>74</v>
      </c>
      <c r="AT673" t="s">
        <v>74</v>
      </c>
      <c r="AU673">
        <v>2009</v>
      </c>
      <c r="AV673">
        <v>8</v>
      </c>
      <c r="AW673" t="s">
        <v>74</v>
      </c>
      <c r="AX673" t="s">
        <v>74</v>
      </c>
      <c r="AY673" t="s">
        <v>74</v>
      </c>
      <c r="AZ673" t="s">
        <v>74</v>
      </c>
      <c r="BA673" t="s">
        <v>74</v>
      </c>
      <c r="BB673">
        <v>115</v>
      </c>
      <c r="BC673">
        <v>234</v>
      </c>
      <c r="BD673" t="s">
        <v>74</v>
      </c>
      <c r="BE673" t="s">
        <v>12050</v>
      </c>
      <c r="BF673" t="str">
        <f>HYPERLINK("http://dx.doi.org/10.1016/S1571-9197(08)00005-0","http://dx.doi.org/10.1016/S1571-9197(08)00005-0")</f>
        <v>http://dx.doi.org/10.1016/S1571-9197(08)00005-0</v>
      </c>
      <c r="BG673" t="s">
        <v>74</v>
      </c>
      <c r="BH673" t="s">
        <v>74</v>
      </c>
      <c r="BI673">
        <v>120</v>
      </c>
      <c r="BJ673" t="s">
        <v>3583</v>
      </c>
      <c r="BK673" t="s">
        <v>11989</v>
      </c>
      <c r="BL673" t="s">
        <v>3584</v>
      </c>
      <c r="BM673" t="s">
        <v>11990</v>
      </c>
      <c r="BN673" t="s">
        <v>74</v>
      </c>
      <c r="BO673" t="s">
        <v>217</v>
      </c>
      <c r="BP673" t="s">
        <v>74</v>
      </c>
      <c r="BQ673" t="s">
        <v>74</v>
      </c>
      <c r="BR673" t="s">
        <v>103</v>
      </c>
      <c r="BS673" t="s">
        <v>12051</v>
      </c>
      <c r="BT673" t="str">
        <f>HYPERLINK("https%3A%2F%2Fwww.webofscience.com%2Fwos%2Fwoscc%2Ffull-record%2FWOS:000310806900006","View Full Record in Web of Science")</f>
        <v>View Full Record in Web of Science</v>
      </c>
    </row>
    <row r="674" spans="1:72" x14ac:dyDescent="0.15">
      <c r="A674" t="s">
        <v>11414</v>
      </c>
      <c r="B674" t="s">
        <v>12052</v>
      </c>
      <c r="C674" t="s">
        <v>74</v>
      </c>
      <c r="D674" t="s">
        <v>11971</v>
      </c>
      <c r="E674" t="s">
        <v>74</v>
      </c>
      <c r="F674" t="s">
        <v>12053</v>
      </c>
      <c r="G674" t="s">
        <v>74</v>
      </c>
      <c r="H674" t="s">
        <v>74</v>
      </c>
      <c r="I674" t="s">
        <v>12054</v>
      </c>
      <c r="J674" t="s">
        <v>11974</v>
      </c>
      <c r="K674" t="s">
        <v>11975</v>
      </c>
      <c r="L674" t="s">
        <v>74</v>
      </c>
      <c r="M674" t="s">
        <v>78</v>
      </c>
      <c r="N674" t="s">
        <v>11976</v>
      </c>
      <c r="O674" t="s">
        <v>74</v>
      </c>
      <c r="P674" t="s">
        <v>74</v>
      </c>
      <c r="Q674" t="s">
        <v>74</v>
      </c>
      <c r="R674" t="s">
        <v>74</v>
      </c>
      <c r="S674" t="s">
        <v>74</v>
      </c>
      <c r="T674" t="s">
        <v>74</v>
      </c>
      <c r="U674" t="s">
        <v>12055</v>
      </c>
      <c r="V674" t="s">
        <v>12056</v>
      </c>
      <c r="W674" t="s">
        <v>12057</v>
      </c>
      <c r="X674" t="s">
        <v>12058</v>
      </c>
      <c r="Y674" t="s">
        <v>12059</v>
      </c>
      <c r="Z674" t="s">
        <v>11981</v>
      </c>
      <c r="AA674" t="s">
        <v>12060</v>
      </c>
      <c r="AB674" t="s">
        <v>12061</v>
      </c>
      <c r="AC674" t="s">
        <v>74</v>
      </c>
      <c r="AD674" t="s">
        <v>74</v>
      </c>
      <c r="AE674" t="s">
        <v>74</v>
      </c>
      <c r="AF674" t="s">
        <v>74</v>
      </c>
      <c r="AG674">
        <v>28</v>
      </c>
      <c r="AH674">
        <v>2</v>
      </c>
      <c r="AI674">
        <v>2</v>
      </c>
      <c r="AJ674">
        <v>0</v>
      </c>
      <c r="AK674">
        <v>2</v>
      </c>
      <c r="AL674" t="s">
        <v>553</v>
      </c>
      <c r="AM674" t="s">
        <v>252</v>
      </c>
      <c r="AN674" t="s">
        <v>11984</v>
      </c>
      <c r="AO674" t="s">
        <v>11985</v>
      </c>
      <c r="AP674" t="s">
        <v>74</v>
      </c>
      <c r="AQ674" t="s">
        <v>11986</v>
      </c>
      <c r="AR674" t="s">
        <v>11987</v>
      </c>
      <c r="AS674" t="s">
        <v>74</v>
      </c>
      <c r="AT674" t="s">
        <v>74</v>
      </c>
      <c r="AU674">
        <v>2009</v>
      </c>
      <c r="AV674">
        <v>8</v>
      </c>
      <c r="AW674" t="s">
        <v>74</v>
      </c>
      <c r="AX674" t="s">
        <v>74</v>
      </c>
      <c r="AY674" t="s">
        <v>74</v>
      </c>
      <c r="AZ674" t="s">
        <v>74</v>
      </c>
      <c r="BA674" t="s">
        <v>74</v>
      </c>
      <c r="BB674">
        <v>235</v>
      </c>
      <c r="BC674">
        <v>256</v>
      </c>
      <c r="BD674" t="s">
        <v>74</v>
      </c>
      <c r="BE674" t="s">
        <v>12062</v>
      </c>
      <c r="BF674" t="str">
        <f>HYPERLINK("http://dx.doi.org/10.1016/S1571-9197(08)00006-2","http://dx.doi.org/10.1016/S1571-9197(08)00006-2")</f>
        <v>http://dx.doi.org/10.1016/S1571-9197(08)00006-2</v>
      </c>
      <c r="BG674" t="s">
        <v>74</v>
      </c>
      <c r="BH674" t="s">
        <v>74</v>
      </c>
      <c r="BI674">
        <v>22</v>
      </c>
      <c r="BJ674" t="s">
        <v>3583</v>
      </c>
      <c r="BK674" t="s">
        <v>11989</v>
      </c>
      <c r="BL674" t="s">
        <v>3584</v>
      </c>
      <c r="BM674" t="s">
        <v>11990</v>
      </c>
      <c r="BN674" t="s">
        <v>74</v>
      </c>
      <c r="BO674" t="s">
        <v>74</v>
      </c>
      <c r="BP674" t="s">
        <v>74</v>
      </c>
      <c r="BQ674" t="s">
        <v>74</v>
      </c>
      <c r="BR674" t="s">
        <v>103</v>
      </c>
      <c r="BS674" t="s">
        <v>12063</v>
      </c>
      <c r="BT674" t="str">
        <f>HYPERLINK("https%3A%2F%2Fwww.webofscience.com%2Fwos%2Fwoscc%2Ffull-record%2FWOS:000310806900007","View Full Record in Web of Science")</f>
        <v>View Full Record in Web of Science</v>
      </c>
    </row>
    <row r="675" spans="1:72" x14ac:dyDescent="0.15">
      <c r="A675" t="s">
        <v>11414</v>
      </c>
      <c r="B675" t="s">
        <v>12064</v>
      </c>
      <c r="C675" t="s">
        <v>74</v>
      </c>
      <c r="D675" t="s">
        <v>11971</v>
      </c>
      <c r="E675" t="s">
        <v>74</v>
      </c>
      <c r="F675" t="s">
        <v>12065</v>
      </c>
      <c r="G675" t="s">
        <v>74</v>
      </c>
      <c r="H675" t="s">
        <v>74</v>
      </c>
      <c r="I675" t="s">
        <v>12066</v>
      </c>
      <c r="J675" t="s">
        <v>11974</v>
      </c>
      <c r="K675" t="s">
        <v>11975</v>
      </c>
      <c r="L675" t="s">
        <v>74</v>
      </c>
      <c r="M675" t="s">
        <v>78</v>
      </c>
      <c r="N675" t="s">
        <v>11421</v>
      </c>
      <c r="O675" t="s">
        <v>74</v>
      </c>
      <c r="P675" t="s">
        <v>74</v>
      </c>
      <c r="Q675" t="s">
        <v>74</v>
      </c>
      <c r="R675" t="s">
        <v>74</v>
      </c>
      <c r="S675" t="s">
        <v>74</v>
      </c>
      <c r="T675" t="s">
        <v>74</v>
      </c>
      <c r="U675" t="s">
        <v>12067</v>
      </c>
      <c r="V675" t="s">
        <v>12068</v>
      </c>
      <c r="W675" t="s">
        <v>12069</v>
      </c>
      <c r="X675" t="s">
        <v>12070</v>
      </c>
      <c r="Y675" t="s">
        <v>12071</v>
      </c>
      <c r="Z675" t="s">
        <v>12072</v>
      </c>
      <c r="AA675" t="s">
        <v>74</v>
      </c>
      <c r="AB675" t="s">
        <v>74</v>
      </c>
      <c r="AC675" t="s">
        <v>74</v>
      </c>
      <c r="AD675" t="s">
        <v>74</v>
      </c>
      <c r="AE675" t="s">
        <v>74</v>
      </c>
      <c r="AF675" t="s">
        <v>74</v>
      </c>
      <c r="AG675">
        <v>219</v>
      </c>
      <c r="AH675">
        <v>6</v>
      </c>
      <c r="AI675">
        <v>7</v>
      </c>
      <c r="AJ675">
        <v>0</v>
      </c>
      <c r="AK675">
        <v>2</v>
      </c>
      <c r="AL675" t="s">
        <v>553</v>
      </c>
      <c r="AM675" t="s">
        <v>252</v>
      </c>
      <c r="AN675" t="s">
        <v>11984</v>
      </c>
      <c r="AO675" t="s">
        <v>11985</v>
      </c>
      <c r="AP675" t="s">
        <v>74</v>
      </c>
      <c r="AQ675" t="s">
        <v>11986</v>
      </c>
      <c r="AR675" t="s">
        <v>11987</v>
      </c>
      <c r="AS675" t="s">
        <v>74</v>
      </c>
      <c r="AT675" t="s">
        <v>74</v>
      </c>
      <c r="AU675">
        <v>2009</v>
      </c>
      <c r="AV675">
        <v>8</v>
      </c>
      <c r="AW675" t="s">
        <v>74</v>
      </c>
      <c r="AX675" t="s">
        <v>74</v>
      </c>
      <c r="AY675" t="s">
        <v>74</v>
      </c>
      <c r="AZ675" t="s">
        <v>74</v>
      </c>
      <c r="BA675" t="s">
        <v>74</v>
      </c>
      <c r="BB675">
        <v>257</v>
      </c>
      <c r="BC675">
        <v>308</v>
      </c>
      <c r="BD675" t="s">
        <v>74</v>
      </c>
      <c r="BE675" t="s">
        <v>12073</v>
      </c>
      <c r="BF675" t="str">
        <f>HYPERLINK("http://dx.doi.org/10.1016/S1571-9197(08)00007-4","http://dx.doi.org/10.1016/S1571-9197(08)00007-4")</f>
        <v>http://dx.doi.org/10.1016/S1571-9197(08)00007-4</v>
      </c>
      <c r="BG675" t="s">
        <v>74</v>
      </c>
      <c r="BH675" t="s">
        <v>74</v>
      </c>
      <c r="BI675">
        <v>52</v>
      </c>
      <c r="BJ675" t="s">
        <v>3583</v>
      </c>
      <c r="BK675" t="s">
        <v>11989</v>
      </c>
      <c r="BL675" t="s">
        <v>3584</v>
      </c>
      <c r="BM675" t="s">
        <v>11990</v>
      </c>
      <c r="BN675" t="s">
        <v>74</v>
      </c>
      <c r="BO675" t="s">
        <v>74</v>
      </c>
      <c r="BP675" t="s">
        <v>74</v>
      </c>
      <c r="BQ675" t="s">
        <v>74</v>
      </c>
      <c r="BR675" t="s">
        <v>103</v>
      </c>
      <c r="BS675" t="s">
        <v>12074</v>
      </c>
      <c r="BT675" t="str">
        <f>HYPERLINK("https%3A%2F%2Fwww.webofscience.com%2Fwos%2Fwoscc%2Ffull-record%2FWOS:000310806900008","View Full Record in Web of Science")</f>
        <v>View Full Record in Web of Science</v>
      </c>
    </row>
    <row r="676" spans="1:72" x14ac:dyDescent="0.15">
      <c r="A676" t="s">
        <v>11414</v>
      </c>
      <c r="B676" t="s">
        <v>12075</v>
      </c>
      <c r="C676" t="s">
        <v>74</v>
      </c>
      <c r="D676" t="s">
        <v>11971</v>
      </c>
      <c r="E676" t="s">
        <v>74</v>
      </c>
      <c r="F676" t="s">
        <v>12076</v>
      </c>
      <c r="G676" t="s">
        <v>74</v>
      </c>
      <c r="H676" t="s">
        <v>74</v>
      </c>
      <c r="I676" t="s">
        <v>12077</v>
      </c>
      <c r="J676" t="s">
        <v>11974</v>
      </c>
      <c r="K676" t="s">
        <v>11975</v>
      </c>
      <c r="L676" t="s">
        <v>74</v>
      </c>
      <c r="M676" t="s">
        <v>78</v>
      </c>
      <c r="N676" t="s">
        <v>11976</v>
      </c>
      <c r="O676" t="s">
        <v>74</v>
      </c>
      <c r="P676" t="s">
        <v>74</v>
      </c>
      <c r="Q676" t="s">
        <v>74</v>
      </c>
      <c r="R676" t="s">
        <v>74</v>
      </c>
      <c r="S676" t="s">
        <v>74</v>
      </c>
      <c r="T676" t="s">
        <v>74</v>
      </c>
      <c r="U676" t="s">
        <v>12078</v>
      </c>
      <c r="V676" t="s">
        <v>12079</v>
      </c>
      <c r="W676" t="s">
        <v>12080</v>
      </c>
      <c r="X676" t="s">
        <v>12081</v>
      </c>
      <c r="Y676" t="s">
        <v>12082</v>
      </c>
      <c r="Z676" t="s">
        <v>12083</v>
      </c>
      <c r="AA676" t="s">
        <v>12084</v>
      </c>
      <c r="AB676" t="s">
        <v>12085</v>
      </c>
      <c r="AC676" t="s">
        <v>74</v>
      </c>
      <c r="AD676" t="s">
        <v>74</v>
      </c>
      <c r="AE676" t="s">
        <v>74</v>
      </c>
      <c r="AF676" t="s">
        <v>74</v>
      </c>
      <c r="AG676">
        <v>205</v>
      </c>
      <c r="AH676">
        <v>65</v>
      </c>
      <c r="AI676">
        <v>71</v>
      </c>
      <c r="AJ676">
        <v>0</v>
      </c>
      <c r="AK676">
        <v>26</v>
      </c>
      <c r="AL676" t="s">
        <v>553</v>
      </c>
      <c r="AM676" t="s">
        <v>252</v>
      </c>
      <c r="AN676" t="s">
        <v>11984</v>
      </c>
      <c r="AO676" t="s">
        <v>11985</v>
      </c>
      <c r="AP676" t="s">
        <v>74</v>
      </c>
      <c r="AQ676" t="s">
        <v>11986</v>
      </c>
      <c r="AR676" t="s">
        <v>11987</v>
      </c>
      <c r="AS676" t="s">
        <v>74</v>
      </c>
      <c r="AT676" t="s">
        <v>74</v>
      </c>
      <c r="AU676">
        <v>2009</v>
      </c>
      <c r="AV676">
        <v>8</v>
      </c>
      <c r="AW676" t="s">
        <v>74</v>
      </c>
      <c r="AX676" t="s">
        <v>74</v>
      </c>
      <c r="AY676" t="s">
        <v>74</v>
      </c>
      <c r="AZ676" t="s">
        <v>74</v>
      </c>
      <c r="BA676" t="s">
        <v>74</v>
      </c>
      <c r="BB676">
        <v>309</v>
      </c>
      <c r="BC676">
        <v>368</v>
      </c>
      <c r="BD676" t="s">
        <v>74</v>
      </c>
      <c r="BE676" t="s">
        <v>12086</v>
      </c>
      <c r="BF676" t="str">
        <f>HYPERLINK("http://dx.doi.org/10.1016/S1571-9197(08)00008-6","http://dx.doi.org/10.1016/S1571-9197(08)00008-6")</f>
        <v>http://dx.doi.org/10.1016/S1571-9197(08)00008-6</v>
      </c>
      <c r="BG676" t="s">
        <v>74</v>
      </c>
      <c r="BH676" t="s">
        <v>74</v>
      </c>
      <c r="BI676">
        <v>60</v>
      </c>
      <c r="BJ676" t="s">
        <v>3583</v>
      </c>
      <c r="BK676" t="s">
        <v>11989</v>
      </c>
      <c r="BL676" t="s">
        <v>3584</v>
      </c>
      <c r="BM676" t="s">
        <v>11990</v>
      </c>
      <c r="BN676" t="s">
        <v>74</v>
      </c>
      <c r="BO676" t="s">
        <v>74</v>
      </c>
      <c r="BP676" t="s">
        <v>74</v>
      </c>
      <c r="BQ676" t="s">
        <v>74</v>
      </c>
      <c r="BR676" t="s">
        <v>103</v>
      </c>
      <c r="BS676" t="s">
        <v>12087</v>
      </c>
      <c r="BT676" t="str">
        <f>HYPERLINK("https%3A%2F%2Fwww.webofscience.com%2Fwos%2Fwoscc%2Ffull-record%2FWOS:000310806900009","View Full Record in Web of Science")</f>
        <v>View Full Record in Web of Science</v>
      </c>
    </row>
    <row r="677" spans="1:72" x14ac:dyDescent="0.15">
      <c r="A677" t="s">
        <v>11414</v>
      </c>
      <c r="B677" t="s">
        <v>12088</v>
      </c>
      <c r="C677" t="s">
        <v>74</v>
      </c>
      <c r="D677" t="s">
        <v>11971</v>
      </c>
      <c r="E677" t="s">
        <v>74</v>
      </c>
      <c r="F677" t="s">
        <v>12089</v>
      </c>
      <c r="G677" t="s">
        <v>74</v>
      </c>
      <c r="H677" t="s">
        <v>74</v>
      </c>
      <c r="I677" t="s">
        <v>12090</v>
      </c>
      <c r="J677" t="s">
        <v>11974</v>
      </c>
      <c r="K677" t="s">
        <v>11975</v>
      </c>
      <c r="L677" t="s">
        <v>74</v>
      </c>
      <c r="M677" t="s">
        <v>78</v>
      </c>
      <c r="N677" t="s">
        <v>11976</v>
      </c>
      <c r="O677" t="s">
        <v>74</v>
      </c>
      <c r="P677" t="s">
        <v>74</v>
      </c>
      <c r="Q677" t="s">
        <v>74</v>
      </c>
      <c r="R677" t="s">
        <v>74</v>
      </c>
      <c r="S677" t="s">
        <v>74</v>
      </c>
      <c r="T677" t="s">
        <v>74</v>
      </c>
      <c r="U677" t="s">
        <v>12091</v>
      </c>
      <c r="V677" t="s">
        <v>12092</v>
      </c>
      <c r="W677" t="s">
        <v>12093</v>
      </c>
      <c r="X677" t="s">
        <v>12094</v>
      </c>
      <c r="Y677" t="s">
        <v>12095</v>
      </c>
      <c r="Z677" t="s">
        <v>12096</v>
      </c>
      <c r="AA677" t="s">
        <v>12097</v>
      </c>
      <c r="AB677" t="s">
        <v>12098</v>
      </c>
      <c r="AC677" t="s">
        <v>74</v>
      </c>
      <c r="AD677" t="s">
        <v>74</v>
      </c>
      <c r="AE677" t="s">
        <v>74</v>
      </c>
      <c r="AF677" t="s">
        <v>74</v>
      </c>
      <c r="AG677">
        <v>110</v>
      </c>
      <c r="AH677">
        <v>18</v>
      </c>
      <c r="AI677">
        <v>21</v>
      </c>
      <c r="AJ677">
        <v>1</v>
      </c>
      <c r="AK677">
        <v>13</v>
      </c>
      <c r="AL677" t="s">
        <v>553</v>
      </c>
      <c r="AM677" t="s">
        <v>252</v>
      </c>
      <c r="AN677" t="s">
        <v>11984</v>
      </c>
      <c r="AO677" t="s">
        <v>11985</v>
      </c>
      <c r="AP677" t="s">
        <v>74</v>
      </c>
      <c r="AQ677" t="s">
        <v>11986</v>
      </c>
      <c r="AR677" t="s">
        <v>11987</v>
      </c>
      <c r="AS677" t="s">
        <v>74</v>
      </c>
      <c r="AT677" t="s">
        <v>74</v>
      </c>
      <c r="AU677">
        <v>2009</v>
      </c>
      <c r="AV677">
        <v>8</v>
      </c>
      <c r="AW677" t="s">
        <v>74</v>
      </c>
      <c r="AX677" t="s">
        <v>74</v>
      </c>
      <c r="AY677" t="s">
        <v>74</v>
      </c>
      <c r="AZ677" t="s">
        <v>74</v>
      </c>
      <c r="BA677" t="s">
        <v>74</v>
      </c>
      <c r="BB677">
        <v>369</v>
      </c>
      <c r="BC677">
        <v>400</v>
      </c>
      <c r="BD677" t="s">
        <v>74</v>
      </c>
      <c r="BE677" t="s">
        <v>12099</v>
      </c>
      <c r="BF677" t="str">
        <f>HYPERLINK("http://dx.doi.org/10.1016/S1571-9197(08)00009-8","http://dx.doi.org/10.1016/S1571-9197(08)00009-8")</f>
        <v>http://dx.doi.org/10.1016/S1571-9197(08)00009-8</v>
      </c>
      <c r="BG677" t="s">
        <v>74</v>
      </c>
      <c r="BH677" t="s">
        <v>74</v>
      </c>
      <c r="BI677">
        <v>32</v>
      </c>
      <c r="BJ677" t="s">
        <v>3583</v>
      </c>
      <c r="BK677" t="s">
        <v>11989</v>
      </c>
      <c r="BL677" t="s">
        <v>3584</v>
      </c>
      <c r="BM677" t="s">
        <v>11990</v>
      </c>
      <c r="BN677" t="s">
        <v>74</v>
      </c>
      <c r="BO677" t="s">
        <v>74</v>
      </c>
      <c r="BP677" t="s">
        <v>74</v>
      </c>
      <c r="BQ677" t="s">
        <v>74</v>
      </c>
      <c r="BR677" t="s">
        <v>103</v>
      </c>
      <c r="BS677" t="s">
        <v>12100</v>
      </c>
      <c r="BT677" t="str">
        <f>HYPERLINK("https%3A%2F%2Fwww.webofscience.com%2Fwos%2Fwoscc%2Ffull-record%2FWOS:000310806900010","View Full Record in Web of Science")</f>
        <v>View Full Record in Web of Science</v>
      </c>
    </row>
    <row r="678" spans="1:72" x14ac:dyDescent="0.15">
      <c r="A678" t="s">
        <v>11414</v>
      </c>
      <c r="B678" t="s">
        <v>12101</v>
      </c>
      <c r="C678" t="s">
        <v>74</v>
      </c>
      <c r="D678" t="s">
        <v>11971</v>
      </c>
      <c r="E678" t="s">
        <v>74</v>
      </c>
      <c r="F678" t="s">
        <v>12102</v>
      </c>
      <c r="G678" t="s">
        <v>74</v>
      </c>
      <c r="H678" t="s">
        <v>74</v>
      </c>
      <c r="I678" t="s">
        <v>12103</v>
      </c>
      <c r="J678" t="s">
        <v>11974</v>
      </c>
      <c r="K678" t="s">
        <v>11975</v>
      </c>
      <c r="L678" t="s">
        <v>74</v>
      </c>
      <c r="M678" t="s">
        <v>78</v>
      </c>
      <c r="N678" t="s">
        <v>11976</v>
      </c>
      <c r="O678" t="s">
        <v>74</v>
      </c>
      <c r="P678" t="s">
        <v>74</v>
      </c>
      <c r="Q678" t="s">
        <v>74</v>
      </c>
      <c r="R678" t="s">
        <v>74</v>
      </c>
      <c r="S678" t="s">
        <v>74</v>
      </c>
      <c r="T678" t="s">
        <v>74</v>
      </c>
      <c r="U678" t="s">
        <v>12104</v>
      </c>
      <c r="V678" t="s">
        <v>12105</v>
      </c>
      <c r="W678" t="s">
        <v>12106</v>
      </c>
      <c r="X678" t="s">
        <v>12107</v>
      </c>
      <c r="Y678" t="s">
        <v>4270</v>
      </c>
      <c r="Z678" t="s">
        <v>12108</v>
      </c>
      <c r="AA678" t="s">
        <v>12109</v>
      </c>
      <c r="AB678" t="s">
        <v>12110</v>
      </c>
      <c r="AC678" t="s">
        <v>74</v>
      </c>
      <c r="AD678" t="s">
        <v>74</v>
      </c>
      <c r="AE678" t="s">
        <v>74</v>
      </c>
      <c r="AF678" t="s">
        <v>74</v>
      </c>
      <c r="AG678">
        <v>240</v>
      </c>
      <c r="AH678">
        <v>36</v>
      </c>
      <c r="AI678">
        <v>38</v>
      </c>
      <c r="AJ678">
        <v>0</v>
      </c>
      <c r="AK678">
        <v>12</v>
      </c>
      <c r="AL678" t="s">
        <v>553</v>
      </c>
      <c r="AM678" t="s">
        <v>252</v>
      </c>
      <c r="AN678" t="s">
        <v>11984</v>
      </c>
      <c r="AO678" t="s">
        <v>11985</v>
      </c>
      <c r="AP678" t="s">
        <v>74</v>
      </c>
      <c r="AQ678" t="s">
        <v>11986</v>
      </c>
      <c r="AR678" t="s">
        <v>11987</v>
      </c>
      <c r="AS678" t="s">
        <v>74</v>
      </c>
      <c r="AT678" t="s">
        <v>74</v>
      </c>
      <c r="AU678">
        <v>2009</v>
      </c>
      <c r="AV678">
        <v>8</v>
      </c>
      <c r="AW678" t="s">
        <v>74</v>
      </c>
      <c r="AX678" t="s">
        <v>74</v>
      </c>
      <c r="AY678" t="s">
        <v>74</v>
      </c>
      <c r="AZ678" t="s">
        <v>74</v>
      </c>
      <c r="BA678" t="s">
        <v>74</v>
      </c>
      <c r="BB678">
        <v>401</v>
      </c>
      <c r="BC678">
        <v>463</v>
      </c>
      <c r="BD678" t="s">
        <v>74</v>
      </c>
      <c r="BE678" t="s">
        <v>12111</v>
      </c>
      <c r="BF678" t="str">
        <f>HYPERLINK("http://dx.doi.org/10.1016/S1571-9197(08)00010-4","http://dx.doi.org/10.1016/S1571-9197(08)00010-4")</f>
        <v>http://dx.doi.org/10.1016/S1571-9197(08)00010-4</v>
      </c>
      <c r="BG678" t="s">
        <v>74</v>
      </c>
      <c r="BH678" t="s">
        <v>74</v>
      </c>
      <c r="BI678">
        <v>63</v>
      </c>
      <c r="BJ678" t="s">
        <v>3583</v>
      </c>
      <c r="BK678" t="s">
        <v>11989</v>
      </c>
      <c r="BL678" t="s">
        <v>3584</v>
      </c>
      <c r="BM678" t="s">
        <v>11990</v>
      </c>
      <c r="BN678" t="s">
        <v>74</v>
      </c>
      <c r="BO678" t="s">
        <v>74</v>
      </c>
      <c r="BP678" t="s">
        <v>74</v>
      </c>
      <c r="BQ678" t="s">
        <v>74</v>
      </c>
      <c r="BR678" t="s">
        <v>103</v>
      </c>
      <c r="BS678" t="s">
        <v>12112</v>
      </c>
      <c r="BT678" t="str">
        <f>HYPERLINK("https%3A%2F%2Fwww.webofscience.com%2Fwos%2Fwoscc%2Ffull-record%2FWOS:000310806900011","View Full Record in Web of Science")</f>
        <v>View Full Record in Web of Science</v>
      </c>
    </row>
    <row r="679" spans="1:72" x14ac:dyDescent="0.15">
      <c r="A679" t="s">
        <v>11414</v>
      </c>
      <c r="B679" t="s">
        <v>12113</v>
      </c>
      <c r="C679" t="s">
        <v>74</v>
      </c>
      <c r="D679" t="s">
        <v>11971</v>
      </c>
      <c r="E679" t="s">
        <v>74</v>
      </c>
      <c r="F679" t="s">
        <v>12114</v>
      </c>
      <c r="G679" t="s">
        <v>74</v>
      </c>
      <c r="H679" t="s">
        <v>74</v>
      </c>
      <c r="I679" t="s">
        <v>12115</v>
      </c>
      <c r="J679" t="s">
        <v>11974</v>
      </c>
      <c r="K679" t="s">
        <v>11975</v>
      </c>
      <c r="L679" t="s">
        <v>74</v>
      </c>
      <c r="M679" t="s">
        <v>78</v>
      </c>
      <c r="N679" t="s">
        <v>11976</v>
      </c>
      <c r="O679" t="s">
        <v>74</v>
      </c>
      <c r="P679" t="s">
        <v>74</v>
      </c>
      <c r="Q679" t="s">
        <v>74</v>
      </c>
      <c r="R679" t="s">
        <v>74</v>
      </c>
      <c r="S679" t="s">
        <v>74</v>
      </c>
      <c r="T679" t="s">
        <v>74</v>
      </c>
      <c r="U679" t="s">
        <v>12116</v>
      </c>
      <c r="V679" t="s">
        <v>12117</v>
      </c>
      <c r="W679" t="s">
        <v>12118</v>
      </c>
      <c r="X679" t="s">
        <v>12119</v>
      </c>
      <c r="Y679" t="s">
        <v>12120</v>
      </c>
      <c r="Z679" t="s">
        <v>12121</v>
      </c>
      <c r="AA679" t="s">
        <v>12122</v>
      </c>
      <c r="AB679" t="s">
        <v>12123</v>
      </c>
      <c r="AC679" t="s">
        <v>74</v>
      </c>
      <c r="AD679" t="s">
        <v>74</v>
      </c>
      <c r="AE679" t="s">
        <v>74</v>
      </c>
      <c r="AF679" t="s">
        <v>74</v>
      </c>
      <c r="AG679">
        <v>228</v>
      </c>
      <c r="AH679">
        <v>12</v>
      </c>
      <c r="AI679">
        <v>12</v>
      </c>
      <c r="AJ679">
        <v>1</v>
      </c>
      <c r="AK679">
        <v>18</v>
      </c>
      <c r="AL679" t="s">
        <v>553</v>
      </c>
      <c r="AM679" t="s">
        <v>252</v>
      </c>
      <c r="AN679" t="s">
        <v>11984</v>
      </c>
      <c r="AO679" t="s">
        <v>11985</v>
      </c>
      <c r="AP679" t="s">
        <v>74</v>
      </c>
      <c r="AQ679" t="s">
        <v>11986</v>
      </c>
      <c r="AR679" t="s">
        <v>11987</v>
      </c>
      <c r="AS679" t="s">
        <v>74</v>
      </c>
      <c r="AT679" t="s">
        <v>74</v>
      </c>
      <c r="AU679">
        <v>2009</v>
      </c>
      <c r="AV679">
        <v>8</v>
      </c>
      <c r="AW679" t="s">
        <v>74</v>
      </c>
      <c r="AX679" t="s">
        <v>74</v>
      </c>
      <c r="AY679" t="s">
        <v>74</v>
      </c>
      <c r="AZ679" t="s">
        <v>74</v>
      </c>
      <c r="BA679" t="s">
        <v>74</v>
      </c>
      <c r="BB679">
        <v>465</v>
      </c>
      <c r="BC679">
        <v>529</v>
      </c>
      <c r="BD679" t="s">
        <v>74</v>
      </c>
      <c r="BE679" t="s">
        <v>12124</v>
      </c>
      <c r="BF679" t="str">
        <f>HYPERLINK("http://dx.doi.org/10.1016/S1571-9197(08)00011-6","http://dx.doi.org/10.1016/S1571-9197(08)00011-6")</f>
        <v>http://dx.doi.org/10.1016/S1571-9197(08)00011-6</v>
      </c>
      <c r="BG679" t="s">
        <v>74</v>
      </c>
      <c r="BH679" t="s">
        <v>74</v>
      </c>
      <c r="BI679">
        <v>65</v>
      </c>
      <c r="BJ679" t="s">
        <v>3583</v>
      </c>
      <c r="BK679" t="s">
        <v>11989</v>
      </c>
      <c r="BL679" t="s">
        <v>3584</v>
      </c>
      <c r="BM679" t="s">
        <v>11990</v>
      </c>
      <c r="BN679" t="s">
        <v>74</v>
      </c>
      <c r="BO679" t="s">
        <v>74</v>
      </c>
      <c r="BP679" t="s">
        <v>74</v>
      </c>
      <c r="BQ679" t="s">
        <v>74</v>
      </c>
      <c r="BR679" t="s">
        <v>103</v>
      </c>
      <c r="BS679" t="s">
        <v>12125</v>
      </c>
      <c r="BT679" t="str">
        <f>HYPERLINK("https%3A%2F%2Fwww.webofscience.com%2Fwos%2Fwoscc%2Ffull-record%2FWOS:000310806900012","View Full Record in Web of Science")</f>
        <v>View Full Record in Web of Science</v>
      </c>
    </row>
    <row r="680" spans="1:72" x14ac:dyDescent="0.15">
      <c r="A680" t="s">
        <v>11414</v>
      </c>
      <c r="B680" t="s">
        <v>12126</v>
      </c>
      <c r="C680" t="s">
        <v>74</v>
      </c>
      <c r="D680" t="s">
        <v>11971</v>
      </c>
      <c r="E680" t="s">
        <v>74</v>
      </c>
      <c r="F680" t="s">
        <v>12127</v>
      </c>
      <c r="G680" t="s">
        <v>74</v>
      </c>
      <c r="H680" t="s">
        <v>74</v>
      </c>
      <c r="I680" t="s">
        <v>12128</v>
      </c>
      <c r="J680" t="s">
        <v>11974</v>
      </c>
      <c r="K680" t="s">
        <v>11975</v>
      </c>
      <c r="L680" t="s">
        <v>74</v>
      </c>
      <c r="M680" t="s">
        <v>78</v>
      </c>
      <c r="N680" t="s">
        <v>11976</v>
      </c>
      <c r="O680" t="s">
        <v>74</v>
      </c>
      <c r="P680" t="s">
        <v>74</v>
      </c>
      <c r="Q680" t="s">
        <v>74</v>
      </c>
      <c r="R680" t="s">
        <v>74</v>
      </c>
      <c r="S680" t="s">
        <v>74</v>
      </c>
      <c r="T680" t="s">
        <v>74</v>
      </c>
      <c r="U680" t="s">
        <v>12129</v>
      </c>
      <c r="V680" t="s">
        <v>12130</v>
      </c>
      <c r="W680" t="s">
        <v>12131</v>
      </c>
      <c r="X680" t="s">
        <v>12132</v>
      </c>
      <c r="Y680" t="s">
        <v>12133</v>
      </c>
      <c r="Z680" t="s">
        <v>12134</v>
      </c>
      <c r="AA680" t="s">
        <v>12135</v>
      </c>
      <c r="AB680" t="s">
        <v>12136</v>
      </c>
      <c r="AC680" t="s">
        <v>74</v>
      </c>
      <c r="AD680" t="s">
        <v>74</v>
      </c>
      <c r="AE680" t="s">
        <v>74</v>
      </c>
      <c r="AF680" t="s">
        <v>74</v>
      </c>
      <c r="AG680">
        <v>132</v>
      </c>
      <c r="AH680">
        <v>13</v>
      </c>
      <c r="AI680">
        <v>13</v>
      </c>
      <c r="AJ680">
        <v>0</v>
      </c>
      <c r="AK680">
        <v>0</v>
      </c>
      <c r="AL680" t="s">
        <v>553</v>
      </c>
      <c r="AM680" t="s">
        <v>252</v>
      </c>
      <c r="AN680" t="s">
        <v>11984</v>
      </c>
      <c r="AO680" t="s">
        <v>11985</v>
      </c>
      <c r="AP680" t="s">
        <v>74</v>
      </c>
      <c r="AQ680" t="s">
        <v>11986</v>
      </c>
      <c r="AR680" t="s">
        <v>11987</v>
      </c>
      <c r="AS680" t="s">
        <v>74</v>
      </c>
      <c r="AT680" t="s">
        <v>74</v>
      </c>
      <c r="AU680">
        <v>2009</v>
      </c>
      <c r="AV680">
        <v>8</v>
      </c>
      <c r="AW680" t="s">
        <v>74</v>
      </c>
      <c r="AX680" t="s">
        <v>74</v>
      </c>
      <c r="AY680" t="s">
        <v>74</v>
      </c>
      <c r="AZ680" t="s">
        <v>74</v>
      </c>
      <c r="BA680" t="s">
        <v>74</v>
      </c>
      <c r="BB680">
        <v>531</v>
      </c>
      <c r="BC680">
        <v>570</v>
      </c>
      <c r="BD680" t="s">
        <v>74</v>
      </c>
      <c r="BE680" t="s">
        <v>12137</v>
      </c>
      <c r="BF680" t="str">
        <f>HYPERLINK("http://dx.doi.org/10.1016/S1571-9197(08)00012-8","http://dx.doi.org/10.1016/S1571-9197(08)00012-8")</f>
        <v>http://dx.doi.org/10.1016/S1571-9197(08)00012-8</v>
      </c>
      <c r="BG680" t="s">
        <v>74</v>
      </c>
      <c r="BH680" t="s">
        <v>74</v>
      </c>
      <c r="BI680">
        <v>40</v>
      </c>
      <c r="BJ680" t="s">
        <v>3583</v>
      </c>
      <c r="BK680" t="s">
        <v>11989</v>
      </c>
      <c r="BL680" t="s">
        <v>3584</v>
      </c>
      <c r="BM680" t="s">
        <v>11990</v>
      </c>
      <c r="BN680" t="s">
        <v>74</v>
      </c>
      <c r="BO680" t="s">
        <v>74</v>
      </c>
      <c r="BP680" t="s">
        <v>74</v>
      </c>
      <c r="BQ680" t="s">
        <v>74</v>
      </c>
      <c r="BR680" t="s">
        <v>103</v>
      </c>
      <c r="BS680" t="s">
        <v>12138</v>
      </c>
      <c r="BT680" t="str">
        <f>HYPERLINK("https%3A%2F%2Fwww.webofscience.com%2Fwos%2Fwoscc%2Ffull-record%2FWOS:000310806900013","View Full Record in Web of Science")</f>
        <v>View Full Record in Web of Science</v>
      </c>
    </row>
    <row r="681" spans="1:72" x14ac:dyDescent="0.15">
      <c r="A681" t="s">
        <v>11414</v>
      </c>
      <c r="B681" t="s">
        <v>11971</v>
      </c>
      <c r="C681" t="s">
        <v>74</v>
      </c>
      <c r="D681" t="s">
        <v>11971</v>
      </c>
      <c r="E681" t="s">
        <v>74</v>
      </c>
      <c r="F681" t="s">
        <v>11995</v>
      </c>
      <c r="G681" t="s">
        <v>74</v>
      </c>
      <c r="H681" t="s">
        <v>74</v>
      </c>
      <c r="I681" t="s">
        <v>12139</v>
      </c>
      <c r="J681" t="s">
        <v>11974</v>
      </c>
      <c r="K681" t="s">
        <v>11975</v>
      </c>
      <c r="L681" t="s">
        <v>74</v>
      </c>
      <c r="M681" t="s">
        <v>78</v>
      </c>
      <c r="N681" t="s">
        <v>11997</v>
      </c>
      <c r="O681" t="s">
        <v>74</v>
      </c>
      <c r="P681" t="s">
        <v>74</v>
      </c>
      <c r="Q681" t="s">
        <v>74</v>
      </c>
      <c r="R681" t="s">
        <v>74</v>
      </c>
      <c r="S681" t="s">
        <v>74</v>
      </c>
      <c r="T681" t="s">
        <v>74</v>
      </c>
      <c r="U681" t="s">
        <v>12140</v>
      </c>
      <c r="V681" t="s">
        <v>12141</v>
      </c>
      <c r="W681" t="s">
        <v>11998</v>
      </c>
      <c r="X681" t="s">
        <v>11999</v>
      </c>
      <c r="Y681" t="s">
        <v>12011</v>
      </c>
      <c r="Z681" t="s">
        <v>12012</v>
      </c>
      <c r="AA681" t="s">
        <v>12142</v>
      </c>
      <c r="AB681" t="s">
        <v>12002</v>
      </c>
      <c r="AC681" t="s">
        <v>74</v>
      </c>
      <c r="AD681" t="s">
        <v>74</v>
      </c>
      <c r="AE681" t="s">
        <v>74</v>
      </c>
      <c r="AF681" t="s">
        <v>74</v>
      </c>
      <c r="AG681">
        <v>16</v>
      </c>
      <c r="AH681">
        <v>0</v>
      </c>
      <c r="AI681">
        <v>0</v>
      </c>
      <c r="AJ681">
        <v>1</v>
      </c>
      <c r="AK681">
        <v>5</v>
      </c>
      <c r="AL681" t="s">
        <v>553</v>
      </c>
      <c r="AM681" t="s">
        <v>252</v>
      </c>
      <c r="AN681" t="s">
        <v>11984</v>
      </c>
      <c r="AO681" t="s">
        <v>11985</v>
      </c>
      <c r="AP681" t="s">
        <v>74</v>
      </c>
      <c r="AQ681" t="s">
        <v>11986</v>
      </c>
      <c r="AR681" t="s">
        <v>11987</v>
      </c>
      <c r="AS681" t="s">
        <v>74</v>
      </c>
      <c r="AT681" t="s">
        <v>74</v>
      </c>
      <c r="AU681">
        <v>2009</v>
      </c>
      <c r="AV681">
        <v>8</v>
      </c>
      <c r="AW681" t="s">
        <v>74</v>
      </c>
      <c r="AX681" t="s">
        <v>74</v>
      </c>
      <c r="AY681" t="s">
        <v>74</v>
      </c>
      <c r="AZ681" t="s">
        <v>74</v>
      </c>
      <c r="BA681" t="s">
        <v>74</v>
      </c>
      <c r="BB681">
        <v>571</v>
      </c>
      <c r="BC681">
        <v>576</v>
      </c>
      <c r="BD681" t="s">
        <v>74</v>
      </c>
      <c r="BE681" t="s">
        <v>12143</v>
      </c>
      <c r="BF681" t="str">
        <f>HYPERLINK("http://dx.doi.org/10.1016/S1571-9197(08)00013-X","http://dx.doi.org/10.1016/S1571-9197(08)00013-X")</f>
        <v>http://dx.doi.org/10.1016/S1571-9197(08)00013-X</v>
      </c>
      <c r="BG681" t="s">
        <v>74</v>
      </c>
      <c r="BH681" t="s">
        <v>74</v>
      </c>
      <c r="BI681">
        <v>6</v>
      </c>
      <c r="BJ681" t="s">
        <v>3583</v>
      </c>
      <c r="BK681" t="s">
        <v>11989</v>
      </c>
      <c r="BL681" t="s">
        <v>3584</v>
      </c>
      <c r="BM681" t="s">
        <v>11990</v>
      </c>
      <c r="BN681" t="s">
        <v>74</v>
      </c>
      <c r="BO681" t="s">
        <v>74</v>
      </c>
      <c r="BP681" t="s">
        <v>74</v>
      </c>
      <c r="BQ681" t="s">
        <v>74</v>
      </c>
      <c r="BR681" t="s">
        <v>103</v>
      </c>
      <c r="BS681" t="s">
        <v>12144</v>
      </c>
      <c r="BT681" t="str">
        <f>HYPERLINK("https%3A%2F%2Fwww.webofscience.com%2Fwos%2Fwoscc%2Ffull-record%2FWOS:000310806900014","View Full Record in Web of Science")</f>
        <v>View Full Record in Web of Science</v>
      </c>
    </row>
    <row r="682" spans="1:72" x14ac:dyDescent="0.15">
      <c r="A682" t="s">
        <v>72</v>
      </c>
      <c r="B682" t="s">
        <v>12145</v>
      </c>
      <c r="C682" t="s">
        <v>74</v>
      </c>
      <c r="D682" t="s">
        <v>74</v>
      </c>
      <c r="E682" t="s">
        <v>74</v>
      </c>
      <c r="F682" t="s">
        <v>12146</v>
      </c>
      <c r="G682" t="s">
        <v>74</v>
      </c>
      <c r="H682" t="s">
        <v>74</v>
      </c>
      <c r="I682" t="s">
        <v>12147</v>
      </c>
      <c r="J682" t="s">
        <v>12148</v>
      </c>
      <c r="K682" t="s">
        <v>74</v>
      </c>
      <c r="L682" t="s">
        <v>74</v>
      </c>
      <c r="M682" t="s">
        <v>78</v>
      </c>
      <c r="N682" t="s">
        <v>79</v>
      </c>
      <c r="O682" t="s">
        <v>74</v>
      </c>
      <c r="P682" t="s">
        <v>74</v>
      </c>
      <c r="Q682" t="s">
        <v>74</v>
      </c>
      <c r="R682" t="s">
        <v>74</v>
      </c>
      <c r="S682" t="s">
        <v>74</v>
      </c>
      <c r="T682" t="s">
        <v>12149</v>
      </c>
      <c r="U682" t="s">
        <v>12150</v>
      </c>
      <c r="V682" t="s">
        <v>12151</v>
      </c>
      <c r="W682" t="s">
        <v>12152</v>
      </c>
      <c r="X682" t="s">
        <v>12153</v>
      </c>
      <c r="Y682" t="s">
        <v>12154</v>
      </c>
      <c r="Z682" t="s">
        <v>12155</v>
      </c>
      <c r="AA682" t="s">
        <v>74</v>
      </c>
      <c r="AB682" t="s">
        <v>12156</v>
      </c>
      <c r="AC682" t="s">
        <v>12157</v>
      </c>
      <c r="AD682" t="s">
        <v>12158</v>
      </c>
      <c r="AE682" t="s">
        <v>12159</v>
      </c>
      <c r="AF682" t="s">
        <v>74</v>
      </c>
      <c r="AG682">
        <v>36</v>
      </c>
      <c r="AH682">
        <v>5</v>
      </c>
      <c r="AI682">
        <v>5</v>
      </c>
      <c r="AJ682">
        <v>1</v>
      </c>
      <c r="AK682">
        <v>6</v>
      </c>
      <c r="AL682" t="s">
        <v>3728</v>
      </c>
      <c r="AM682" t="s">
        <v>5833</v>
      </c>
      <c r="AN682" t="s">
        <v>11802</v>
      </c>
      <c r="AO682" t="s">
        <v>12160</v>
      </c>
      <c r="AP682" t="s">
        <v>12161</v>
      </c>
      <c r="AQ682" t="s">
        <v>74</v>
      </c>
      <c r="AR682" t="s">
        <v>12162</v>
      </c>
      <c r="AS682" t="s">
        <v>12163</v>
      </c>
      <c r="AT682" t="s">
        <v>11480</v>
      </c>
      <c r="AU682">
        <v>2009</v>
      </c>
      <c r="AV682">
        <v>50</v>
      </c>
      <c r="AW682">
        <v>3</v>
      </c>
      <c r="AX682" t="s">
        <v>74</v>
      </c>
      <c r="AY682" t="s">
        <v>74</v>
      </c>
      <c r="AZ682" t="s">
        <v>2297</v>
      </c>
      <c r="BA682" t="s">
        <v>74</v>
      </c>
      <c r="BB682">
        <v>306</v>
      </c>
      <c r="BC682">
        <v>319</v>
      </c>
      <c r="BD682" t="s">
        <v>74</v>
      </c>
      <c r="BE682" t="s">
        <v>12164</v>
      </c>
      <c r="BF682" t="str">
        <f>HYPERLINK("http://dx.doi.org/10.1017/S1446181109000029","http://dx.doi.org/10.1017/S1446181109000029")</f>
        <v>http://dx.doi.org/10.1017/S1446181109000029</v>
      </c>
      <c r="BG682" t="s">
        <v>74</v>
      </c>
      <c r="BH682" t="s">
        <v>74</v>
      </c>
      <c r="BI682">
        <v>14</v>
      </c>
      <c r="BJ682" t="s">
        <v>12165</v>
      </c>
      <c r="BK682" t="s">
        <v>100</v>
      </c>
      <c r="BL682" t="s">
        <v>12166</v>
      </c>
      <c r="BM682" t="s">
        <v>12167</v>
      </c>
      <c r="BN682" t="s">
        <v>74</v>
      </c>
      <c r="BO682" t="s">
        <v>499</v>
      </c>
      <c r="BP682" t="s">
        <v>74</v>
      </c>
      <c r="BQ682" t="s">
        <v>74</v>
      </c>
      <c r="BR682" t="s">
        <v>103</v>
      </c>
      <c r="BS682" t="s">
        <v>12168</v>
      </c>
      <c r="BT682" t="str">
        <f>HYPERLINK("https%3A%2F%2Fwww.webofscience.com%2Fwos%2Fwoscc%2Ffull-record%2FWOS:000272149200003","View Full Record in Web of Science")</f>
        <v>View Full Record in Web of Science</v>
      </c>
    </row>
    <row r="683" spans="1:72" x14ac:dyDescent="0.15">
      <c r="A683" t="s">
        <v>5277</v>
      </c>
      <c r="B683" t="s">
        <v>12169</v>
      </c>
      <c r="C683" t="s">
        <v>74</v>
      </c>
      <c r="D683" t="s">
        <v>12170</v>
      </c>
      <c r="E683" t="s">
        <v>74</v>
      </c>
      <c r="F683" t="s">
        <v>12171</v>
      </c>
      <c r="G683" t="s">
        <v>74</v>
      </c>
      <c r="H683" t="s">
        <v>74</v>
      </c>
      <c r="I683" t="s">
        <v>12172</v>
      </c>
      <c r="J683" t="s">
        <v>12173</v>
      </c>
      <c r="K683" t="s">
        <v>74</v>
      </c>
      <c r="L683" t="s">
        <v>74</v>
      </c>
      <c r="M683" t="s">
        <v>78</v>
      </c>
      <c r="N683" t="s">
        <v>11997</v>
      </c>
      <c r="O683" t="s">
        <v>74</v>
      </c>
      <c r="P683" t="s">
        <v>74</v>
      </c>
      <c r="Q683" t="s">
        <v>74</v>
      </c>
      <c r="R683" t="s">
        <v>74</v>
      </c>
      <c r="S683" t="s">
        <v>74</v>
      </c>
      <c r="T683" t="s">
        <v>74</v>
      </c>
      <c r="U683" t="s">
        <v>74</v>
      </c>
      <c r="V683" t="s">
        <v>74</v>
      </c>
      <c r="W683" t="s">
        <v>12174</v>
      </c>
      <c r="X683" t="s">
        <v>12175</v>
      </c>
      <c r="Y683" t="s">
        <v>12176</v>
      </c>
      <c r="Z683" t="s">
        <v>12177</v>
      </c>
      <c r="AA683" t="s">
        <v>12178</v>
      </c>
      <c r="AB683" t="s">
        <v>12179</v>
      </c>
      <c r="AC683" t="s">
        <v>74</v>
      </c>
      <c r="AD683" t="s">
        <v>74</v>
      </c>
      <c r="AE683" t="s">
        <v>74</v>
      </c>
      <c r="AF683" t="s">
        <v>74</v>
      </c>
      <c r="AG683">
        <v>0</v>
      </c>
      <c r="AH683">
        <v>0</v>
      </c>
      <c r="AI683">
        <v>0</v>
      </c>
      <c r="AJ683">
        <v>0</v>
      </c>
      <c r="AK683">
        <v>0</v>
      </c>
      <c r="AL683" t="s">
        <v>12180</v>
      </c>
      <c r="AM683" t="s">
        <v>12181</v>
      </c>
      <c r="AN683" t="s">
        <v>12182</v>
      </c>
      <c r="AO683" t="s">
        <v>74</v>
      </c>
      <c r="AP683" t="s">
        <v>74</v>
      </c>
      <c r="AQ683" t="s">
        <v>12183</v>
      </c>
      <c r="AR683" t="s">
        <v>74</v>
      </c>
      <c r="AS683" t="s">
        <v>74</v>
      </c>
      <c r="AT683" t="s">
        <v>74</v>
      </c>
      <c r="AU683">
        <v>2009</v>
      </c>
      <c r="AV683" t="s">
        <v>74</v>
      </c>
      <c r="AW683" t="s">
        <v>74</v>
      </c>
      <c r="AX683" t="s">
        <v>74</v>
      </c>
      <c r="AY683" t="s">
        <v>74</v>
      </c>
      <c r="AZ683" t="s">
        <v>74</v>
      </c>
      <c r="BA683" t="s">
        <v>74</v>
      </c>
      <c r="BB683" t="s">
        <v>12184</v>
      </c>
      <c r="BC683" t="s">
        <v>12185</v>
      </c>
      <c r="BD683" t="s">
        <v>74</v>
      </c>
      <c r="BE683" t="s">
        <v>74</v>
      </c>
      <c r="BF683" t="s">
        <v>74</v>
      </c>
      <c r="BG683" t="s">
        <v>12186</v>
      </c>
      <c r="BH683" t="s">
        <v>74</v>
      </c>
      <c r="BI683">
        <v>4</v>
      </c>
      <c r="BJ683" t="s">
        <v>12187</v>
      </c>
      <c r="BK683" t="s">
        <v>11989</v>
      </c>
      <c r="BL683" t="s">
        <v>12187</v>
      </c>
      <c r="BM683" t="s">
        <v>12188</v>
      </c>
      <c r="BN683" t="s">
        <v>74</v>
      </c>
      <c r="BO683" t="s">
        <v>74</v>
      </c>
      <c r="BP683" t="s">
        <v>74</v>
      </c>
      <c r="BQ683" t="s">
        <v>74</v>
      </c>
      <c r="BR683" t="s">
        <v>103</v>
      </c>
      <c r="BS683" t="s">
        <v>12189</v>
      </c>
      <c r="BT683" t="str">
        <f>HYPERLINK("https%3A%2F%2Fwww.webofscience.com%2Fwos%2Fwoscc%2Ffull-record%2FWOS:000293004200001","View Full Record in Web of Science")</f>
        <v>View Full Record in Web of Science</v>
      </c>
    </row>
    <row r="684" spans="1:72" x14ac:dyDescent="0.15">
      <c r="A684" t="s">
        <v>5277</v>
      </c>
      <c r="B684" t="s">
        <v>12190</v>
      </c>
      <c r="C684" t="s">
        <v>74</v>
      </c>
      <c r="D684" t="s">
        <v>12170</v>
      </c>
      <c r="E684" t="s">
        <v>74</v>
      </c>
      <c r="F684" t="s">
        <v>12191</v>
      </c>
      <c r="G684" t="s">
        <v>74</v>
      </c>
      <c r="H684" t="s">
        <v>74</v>
      </c>
      <c r="I684" t="s">
        <v>12192</v>
      </c>
      <c r="J684" t="s">
        <v>12173</v>
      </c>
      <c r="K684" t="s">
        <v>74</v>
      </c>
      <c r="L684" t="s">
        <v>74</v>
      </c>
      <c r="M684" t="s">
        <v>78</v>
      </c>
      <c r="N684" t="s">
        <v>11976</v>
      </c>
      <c r="O684" t="s">
        <v>74</v>
      </c>
      <c r="P684" t="s">
        <v>74</v>
      </c>
      <c r="Q684" t="s">
        <v>74</v>
      </c>
      <c r="R684" t="s">
        <v>74</v>
      </c>
      <c r="S684" t="s">
        <v>74</v>
      </c>
      <c r="T684" t="s">
        <v>74</v>
      </c>
      <c r="U684" t="s">
        <v>12193</v>
      </c>
      <c r="V684" t="s">
        <v>74</v>
      </c>
      <c r="W684" t="s">
        <v>12194</v>
      </c>
      <c r="X684" t="s">
        <v>12175</v>
      </c>
      <c r="Y684" t="s">
        <v>12195</v>
      </c>
      <c r="Z684" t="s">
        <v>12177</v>
      </c>
      <c r="AA684" t="s">
        <v>12196</v>
      </c>
      <c r="AB684" t="s">
        <v>12197</v>
      </c>
      <c r="AC684" t="s">
        <v>74</v>
      </c>
      <c r="AD684" t="s">
        <v>74</v>
      </c>
      <c r="AE684" t="s">
        <v>74</v>
      </c>
      <c r="AF684" t="s">
        <v>74</v>
      </c>
      <c r="AG684">
        <v>48</v>
      </c>
      <c r="AH684">
        <v>71</v>
      </c>
      <c r="AI684">
        <v>74</v>
      </c>
      <c r="AJ684">
        <v>2</v>
      </c>
      <c r="AK684">
        <v>4</v>
      </c>
      <c r="AL684" t="s">
        <v>12180</v>
      </c>
      <c r="AM684" t="s">
        <v>12181</v>
      </c>
      <c r="AN684" t="s">
        <v>12182</v>
      </c>
      <c r="AO684" t="s">
        <v>74</v>
      </c>
      <c r="AP684" t="s">
        <v>74</v>
      </c>
      <c r="AQ684" t="s">
        <v>12183</v>
      </c>
      <c r="AR684" t="s">
        <v>74</v>
      </c>
      <c r="AS684" t="s">
        <v>74</v>
      </c>
      <c r="AT684" t="s">
        <v>74</v>
      </c>
      <c r="AU684">
        <v>2009</v>
      </c>
      <c r="AV684" t="s">
        <v>74</v>
      </c>
      <c r="AW684" t="s">
        <v>74</v>
      </c>
      <c r="AX684" t="s">
        <v>74</v>
      </c>
      <c r="AY684" t="s">
        <v>74</v>
      </c>
      <c r="AZ684" t="s">
        <v>74</v>
      </c>
      <c r="BA684" t="s">
        <v>74</v>
      </c>
      <c r="BB684">
        <v>258</v>
      </c>
      <c r="BC684">
        <v>267</v>
      </c>
      <c r="BD684" t="s">
        <v>74</v>
      </c>
      <c r="BE684" t="s">
        <v>74</v>
      </c>
      <c r="BF684" t="s">
        <v>74</v>
      </c>
      <c r="BG684" t="s">
        <v>12186</v>
      </c>
      <c r="BH684" t="s">
        <v>74</v>
      </c>
      <c r="BI684">
        <v>10</v>
      </c>
      <c r="BJ684" t="s">
        <v>12187</v>
      </c>
      <c r="BK684" t="s">
        <v>11989</v>
      </c>
      <c r="BL684" t="s">
        <v>12187</v>
      </c>
      <c r="BM684" t="s">
        <v>12188</v>
      </c>
      <c r="BN684" t="s">
        <v>74</v>
      </c>
      <c r="BO684" t="s">
        <v>74</v>
      </c>
      <c r="BP684" t="s">
        <v>74</v>
      </c>
      <c r="BQ684" t="s">
        <v>74</v>
      </c>
      <c r="BR684" t="s">
        <v>103</v>
      </c>
      <c r="BS684" t="s">
        <v>12198</v>
      </c>
      <c r="BT684" t="str">
        <f>HYPERLINK("https%3A%2F%2Fwww.webofscience.com%2Fwos%2Fwoscc%2Ffull-record%2FWOS:000293004200015","View Full Record in Web of Science")</f>
        <v>View Full Record in Web of Science</v>
      </c>
    </row>
    <row r="685" spans="1:72" x14ac:dyDescent="0.15">
      <c r="A685" t="s">
        <v>72</v>
      </c>
      <c r="B685" t="s">
        <v>9393</v>
      </c>
      <c r="C685" t="s">
        <v>74</v>
      </c>
      <c r="D685" t="s">
        <v>74</v>
      </c>
      <c r="E685" t="s">
        <v>74</v>
      </c>
      <c r="F685" t="s">
        <v>12199</v>
      </c>
      <c r="G685" t="s">
        <v>74</v>
      </c>
      <c r="H685" t="s">
        <v>74</v>
      </c>
      <c r="I685" t="s">
        <v>12200</v>
      </c>
      <c r="J685" t="s">
        <v>12201</v>
      </c>
      <c r="K685" t="s">
        <v>74</v>
      </c>
      <c r="L685" t="s">
        <v>74</v>
      </c>
      <c r="M685" t="s">
        <v>78</v>
      </c>
      <c r="N685" t="s">
        <v>79</v>
      </c>
      <c r="O685" t="s">
        <v>74</v>
      </c>
      <c r="P685" t="s">
        <v>74</v>
      </c>
      <c r="Q685" t="s">
        <v>74</v>
      </c>
      <c r="R685" t="s">
        <v>74</v>
      </c>
      <c r="S685" t="s">
        <v>74</v>
      </c>
      <c r="T685" t="s">
        <v>12202</v>
      </c>
      <c r="U685" t="s">
        <v>12203</v>
      </c>
      <c r="V685" t="s">
        <v>12204</v>
      </c>
      <c r="W685" t="s">
        <v>12205</v>
      </c>
      <c r="X685" t="s">
        <v>9397</v>
      </c>
      <c r="Y685" t="s">
        <v>12206</v>
      </c>
      <c r="Z685" t="s">
        <v>9398</v>
      </c>
      <c r="AA685" t="s">
        <v>9399</v>
      </c>
      <c r="AB685" t="s">
        <v>12207</v>
      </c>
      <c r="AC685" t="s">
        <v>12208</v>
      </c>
      <c r="AD685" t="s">
        <v>12209</v>
      </c>
      <c r="AE685" t="s">
        <v>12210</v>
      </c>
      <c r="AF685" t="s">
        <v>74</v>
      </c>
      <c r="AG685">
        <v>72</v>
      </c>
      <c r="AH685">
        <v>28</v>
      </c>
      <c r="AI685">
        <v>31</v>
      </c>
      <c r="AJ685">
        <v>0</v>
      </c>
      <c r="AK685">
        <v>17</v>
      </c>
      <c r="AL685" t="s">
        <v>577</v>
      </c>
      <c r="AM685" t="s">
        <v>578</v>
      </c>
      <c r="AN685" t="s">
        <v>579</v>
      </c>
      <c r="AO685" t="s">
        <v>12211</v>
      </c>
      <c r="AP685" t="s">
        <v>12212</v>
      </c>
      <c r="AQ685" t="s">
        <v>74</v>
      </c>
      <c r="AR685" t="s">
        <v>12213</v>
      </c>
      <c r="AS685" t="s">
        <v>12214</v>
      </c>
      <c r="AT685" t="s">
        <v>74</v>
      </c>
      <c r="AU685">
        <v>2009</v>
      </c>
      <c r="AV685">
        <v>7</v>
      </c>
      <c r="AW685" t="s">
        <v>972</v>
      </c>
      <c r="AX685" t="s">
        <v>74</v>
      </c>
      <c r="AY685" t="s">
        <v>74</v>
      </c>
      <c r="AZ685" t="s">
        <v>74</v>
      </c>
      <c r="BA685" t="s">
        <v>74</v>
      </c>
      <c r="BB685">
        <v>81</v>
      </c>
      <c r="BC685">
        <v>92</v>
      </c>
      <c r="BD685" t="s">
        <v>74</v>
      </c>
      <c r="BE685" t="s">
        <v>12215</v>
      </c>
      <c r="BF685" t="str">
        <f>HYPERLINK("http://dx.doi.org/10.3354/ab00188","http://dx.doi.org/10.3354/ab00188")</f>
        <v>http://dx.doi.org/10.3354/ab00188</v>
      </c>
      <c r="BG685" t="s">
        <v>74</v>
      </c>
      <c r="BH685" t="s">
        <v>74</v>
      </c>
      <c r="BI685">
        <v>12</v>
      </c>
      <c r="BJ685" t="s">
        <v>448</v>
      </c>
      <c r="BK685" t="s">
        <v>100</v>
      </c>
      <c r="BL685" t="s">
        <v>448</v>
      </c>
      <c r="BM685" t="s">
        <v>12216</v>
      </c>
      <c r="BN685" t="s">
        <v>74</v>
      </c>
      <c r="BO685" t="s">
        <v>499</v>
      </c>
      <c r="BP685" t="s">
        <v>74</v>
      </c>
      <c r="BQ685" t="s">
        <v>74</v>
      </c>
      <c r="BR685" t="s">
        <v>103</v>
      </c>
      <c r="BS685" t="s">
        <v>12217</v>
      </c>
      <c r="BT685" t="str">
        <f>HYPERLINK("https%3A%2F%2Fwww.webofscience.com%2Fwos%2Fwoscc%2Ffull-record%2FWOS:000272490500007","View Full Record in Web of Science")</f>
        <v>View Full Record in Web of Science</v>
      </c>
    </row>
    <row r="686" spans="1:72" x14ac:dyDescent="0.15">
      <c r="A686" t="s">
        <v>72</v>
      </c>
      <c r="B686" t="s">
        <v>12218</v>
      </c>
      <c r="C686" t="s">
        <v>74</v>
      </c>
      <c r="D686" t="s">
        <v>74</v>
      </c>
      <c r="E686" t="s">
        <v>74</v>
      </c>
      <c r="F686" t="s">
        <v>12219</v>
      </c>
      <c r="G686" t="s">
        <v>74</v>
      </c>
      <c r="H686" t="s">
        <v>74</v>
      </c>
      <c r="I686" t="s">
        <v>12220</v>
      </c>
      <c r="J686" t="s">
        <v>12201</v>
      </c>
      <c r="K686" t="s">
        <v>74</v>
      </c>
      <c r="L686" t="s">
        <v>74</v>
      </c>
      <c r="M686" t="s">
        <v>78</v>
      </c>
      <c r="N686" t="s">
        <v>79</v>
      </c>
      <c r="O686" t="s">
        <v>74</v>
      </c>
      <c r="P686" t="s">
        <v>74</v>
      </c>
      <c r="Q686" t="s">
        <v>74</v>
      </c>
      <c r="R686" t="s">
        <v>74</v>
      </c>
      <c r="S686" t="s">
        <v>74</v>
      </c>
      <c r="T686" t="s">
        <v>12221</v>
      </c>
      <c r="U686" t="s">
        <v>12222</v>
      </c>
      <c r="V686" t="s">
        <v>12223</v>
      </c>
      <c r="W686" t="s">
        <v>12224</v>
      </c>
      <c r="X686" t="s">
        <v>12225</v>
      </c>
      <c r="Y686" t="s">
        <v>12226</v>
      </c>
      <c r="Z686" t="s">
        <v>12227</v>
      </c>
      <c r="AA686" t="s">
        <v>12228</v>
      </c>
      <c r="AB686" t="s">
        <v>12229</v>
      </c>
      <c r="AC686" t="s">
        <v>12230</v>
      </c>
      <c r="AD686" t="s">
        <v>1490</v>
      </c>
      <c r="AE686" t="s">
        <v>74</v>
      </c>
      <c r="AF686" t="s">
        <v>74</v>
      </c>
      <c r="AG686">
        <v>45</v>
      </c>
      <c r="AH686">
        <v>12</v>
      </c>
      <c r="AI686">
        <v>14</v>
      </c>
      <c r="AJ686">
        <v>0</v>
      </c>
      <c r="AK686">
        <v>14</v>
      </c>
      <c r="AL686" t="s">
        <v>577</v>
      </c>
      <c r="AM686" t="s">
        <v>578</v>
      </c>
      <c r="AN686" t="s">
        <v>579</v>
      </c>
      <c r="AO686" t="s">
        <v>12211</v>
      </c>
      <c r="AP686" t="s">
        <v>12212</v>
      </c>
      <c r="AQ686" t="s">
        <v>74</v>
      </c>
      <c r="AR686" t="s">
        <v>12213</v>
      </c>
      <c r="AS686" t="s">
        <v>12214</v>
      </c>
      <c r="AT686" t="s">
        <v>74</v>
      </c>
      <c r="AU686">
        <v>2009</v>
      </c>
      <c r="AV686">
        <v>5</v>
      </c>
      <c r="AW686">
        <v>2</v>
      </c>
      <c r="AX686" t="s">
        <v>74</v>
      </c>
      <c r="AY686" t="s">
        <v>74</v>
      </c>
      <c r="AZ686" t="s">
        <v>74</v>
      </c>
      <c r="BA686" t="s">
        <v>74</v>
      </c>
      <c r="BB686">
        <v>149</v>
      </c>
      <c r="BC686">
        <v>155</v>
      </c>
      <c r="BD686" t="s">
        <v>74</v>
      </c>
      <c r="BE686" t="s">
        <v>12231</v>
      </c>
      <c r="BF686" t="str">
        <f>HYPERLINK("http://dx.doi.org/10.3354/ab00145","http://dx.doi.org/10.3354/ab00145")</f>
        <v>http://dx.doi.org/10.3354/ab00145</v>
      </c>
      <c r="BG686" t="s">
        <v>74</v>
      </c>
      <c r="BH686" t="s">
        <v>74</v>
      </c>
      <c r="BI686">
        <v>7</v>
      </c>
      <c r="BJ686" t="s">
        <v>448</v>
      </c>
      <c r="BK686" t="s">
        <v>100</v>
      </c>
      <c r="BL686" t="s">
        <v>448</v>
      </c>
      <c r="BM686" t="s">
        <v>12232</v>
      </c>
      <c r="BN686" t="s">
        <v>74</v>
      </c>
      <c r="BO686" t="s">
        <v>839</v>
      </c>
      <c r="BP686" t="s">
        <v>74</v>
      </c>
      <c r="BQ686" t="s">
        <v>74</v>
      </c>
      <c r="BR686" t="s">
        <v>103</v>
      </c>
      <c r="BS686" t="s">
        <v>12233</v>
      </c>
      <c r="BT686" t="str">
        <f>HYPERLINK("https%3A%2F%2Fwww.webofscience.com%2Fwos%2Fwoscc%2Ffull-record%2FWOS:000266737900005","View Full Record in Web of Science")</f>
        <v>View Full Record in Web of Science</v>
      </c>
    </row>
    <row r="687" spans="1:72" x14ac:dyDescent="0.15">
      <c r="A687" t="s">
        <v>72</v>
      </c>
      <c r="B687" t="s">
        <v>12234</v>
      </c>
      <c r="C687" t="s">
        <v>74</v>
      </c>
      <c r="D687" t="s">
        <v>74</v>
      </c>
      <c r="E687" t="s">
        <v>74</v>
      </c>
      <c r="F687" t="s">
        <v>12235</v>
      </c>
      <c r="G687" t="s">
        <v>74</v>
      </c>
      <c r="H687" t="s">
        <v>74</v>
      </c>
      <c r="I687" t="s">
        <v>12236</v>
      </c>
      <c r="J687" t="s">
        <v>12201</v>
      </c>
      <c r="K687" t="s">
        <v>74</v>
      </c>
      <c r="L687" t="s">
        <v>74</v>
      </c>
      <c r="M687" t="s">
        <v>78</v>
      </c>
      <c r="N687" t="s">
        <v>79</v>
      </c>
      <c r="O687" t="s">
        <v>74</v>
      </c>
      <c r="P687" t="s">
        <v>74</v>
      </c>
      <c r="Q687" t="s">
        <v>74</v>
      </c>
      <c r="R687" t="s">
        <v>74</v>
      </c>
      <c r="S687" t="s">
        <v>74</v>
      </c>
      <c r="T687" t="s">
        <v>12237</v>
      </c>
      <c r="U687" t="s">
        <v>12238</v>
      </c>
      <c r="V687" t="s">
        <v>12239</v>
      </c>
      <c r="W687" t="s">
        <v>12240</v>
      </c>
      <c r="X687" t="s">
        <v>5241</v>
      </c>
      <c r="Y687" t="s">
        <v>12241</v>
      </c>
      <c r="Z687" t="s">
        <v>12242</v>
      </c>
      <c r="AA687" t="s">
        <v>12243</v>
      </c>
      <c r="AB687" t="s">
        <v>74</v>
      </c>
      <c r="AC687" t="s">
        <v>12244</v>
      </c>
      <c r="AD687" t="s">
        <v>12245</v>
      </c>
      <c r="AE687" t="s">
        <v>12246</v>
      </c>
      <c r="AF687" t="s">
        <v>74</v>
      </c>
      <c r="AG687">
        <v>56</v>
      </c>
      <c r="AH687">
        <v>29</v>
      </c>
      <c r="AI687">
        <v>33</v>
      </c>
      <c r="AJ687">
        <v>1</v>
      </c>
      <c r="AK687">
        <v>15</v>
      </c>
      <c r="AL687" t="s">
        <v>577</v>
      </c>
      <c r="AM687" t="s">
        <v>578</v>
      </c>
      <c r="AN687" t="s">
        <v>579</v>
      </c>
      <c r="AO687" t="s">
        <v>12211</v>
      </c>
      <c r="AP687" t="s">
        <v>12212</v>
      </c>
      <c r="AQ687" t="s">
        <v>74</v>
      </c>
      <c r="AR687" t="s">
        <v>12213</v>
      </c>
      <c r="AS687" t="s">
        <v>12214</v>
      </c>
      <c r="AT687" t="s">
        <v>74</v>
      </c>
      <c r="AU687">
        <v>2009</v>
      </c>
      <c r="AV687">
        <v>4</v>
      </c>
      <c r="AW687">
        <v>3</v>
      </c>
      <c r="AX687" t="s">
        <v>74</v>
      </c>
      <c r="AY687" t="s">
        <v>74</v>
      </c>
      <c r="AZ687" t="s">
        <v>74</v>
      </c>
      <c r="BA687" t="s">
        <v>74</v>
      </c>
      <c r="BB687">
        <v>273</v>
      </c>
      <c r="BC687">
        <v>288</v>
      </c>
      <c r="BD687" t="s">
        <v>74</v>
      </c>
      <c r="BE687" t="s">
        <v>12247</v>
      </c>
      <c r="BF687" t="str">
        <f>HYPERLINK("http://dx.doi.org/10.3354/ab00116","http://dx.doi.org/10.3354/ab00116")</f>
        <v>http://dx.doi.org/10.3354/ab00116</v>
      </c>
      <c r="BG687" t="s">
        <v>74</v>
      </c>
      <c r="BH687" t="s">
        <v>74</v>
      </c>
      <c r="BI687">
        <v>16</v>
      </c>
      <c r="BJ687" t="s">
        <v>448</v>
      </c>
      <c r="BK687" t="s">
        <v>100</v>
      </c>
      <c r="BL687" t="s">
        <v>448</v>
      </c>
      <c r="BM687" t="s">
        <v>12248</v>
      </c>
      <c r="BN687" t="s">
        <v>74</v>
      </c>
      <c r="BO687" t="s">
        <v>12249</v>
      </c>
      <c r="BP687" t="s">
        <v>74</v>
      </c>
      <c r="BQ687" t="s">
        <v>74</v>
      </c>
      <c r="BR687" t="s">
        <v>103</v>
      </c>
      <c r="BS687" t="s">
        <v>12250</v>
      </c>
      <c r="BT687" t="str">
        <f>HYPERLINK("https%3A%2F%2Fwww.webofscience.com%2Fwos%2Fwoscc%2Ffull-record%2FWOS:000263642500007","View Full Record in Web of Science")</f>
        <v>View Full Record in Web of Science</v>
      </c>
    </row>
    <row r="688" spans="1:72" x14ac:dyDescent="0.15">
      <c r="A688" t="s">
        <v>72</v>
      </c>
      <c r="B688" t="s">
        <v>12251</v>
      </c>
      <c r="C688" t="s">
        <v>74</v>
      </c>
      <c r="D688" t="s">
        <v>74</v>
      </c>
      <c r="E688" t="s">
        <v>74</v>
      </c>
      <c r="F688" t="s">
        <v>12252</v>
      </c>
      <c r="G688" t="s">
        <v>74</v>
      </c>
      <c r="H688" t="s">
        <v>74</v>
      </c>
      <c r="I688" t="s">
        <v>12253</v>
      </c>
      <c r="J688" t="s">
        <v>12254</v>
      </c>
      <c r="K688" t="s">
        <v>74</v>
      </c>
      <c r="L688" t="s">
        <v>74</v>
      </c>
      <c r="M688" t="s">
        <v>78</v>
      </c>
      <c r="N688" t="s">
        <v>79</v>
      </c>
      <c r="O688" t="s">
        <v>74</v>
      </c>
      <c r="P688" t="s">
        <v>74</v>
      </c>
      <c r="Q688" t="s">
        <v>74</v>
      </c>
      <c r="R688" t="s">
        <v>74</v>
      </c>
      <c r="S688" t="s">
        <v>74</v>
      </c>
      <c r="T688" t="s">
        <v>12255</v>
      </c>
      <c r="U688" t="s">
        <v>12256</v>
      </c>
      <c r="V688" t="s">
        <v>12257</v>
      </c>
      <c r="W688" t="s">
        <v>12258</v>
      </c>
      <c r="X688" t="s">
        <v>12259</v>
      </c>
      <c r="Y688" t="s">
        <v>12260</v>
      </c>
      <c r="Z688" t="s">
        <v>12261</v>
      </c>
      <c r="AA688" t="s">
        <v>12262</v>
      </c>
      <c r="AB688" t="s">
        <v>12263</v>
      </c>
      <c r="AC688" t="s">
        <v>12264</v>
      </c>
      <c r="AD688" t="s">
        <v>12265</v>
      </c>
      <c r="AE688" t="s">
        <v>12266</v>
      </c>
      <c r="AF688" t="s">
        <v>74</v>
      </c>
      <c r="AG688">
        <v>22</v>
      </c>
      <c r="AH688">
        <v>9</v>
      </c>
      <c r="AI688">
        <v>12</v>
      </c>
      <c r="AJ688">
        <v>0</v>
      </c>
      <c r="AK688">
        <v>17</v>
      </c>
      <c r="AL688" t="s">
        <v>12267</v>
      </c>
      <c r="AM688" t="s">
        <v>12268</v>
      </c>
      <c r="AN688" t="s">
        <v>12269</v>
      </c>
      <c r="AO688" t="s">
        <v>12270</v>
      </c>
      <c r="AP688" t="s">
        <v>12271</v>
      </c>
      <c r="AQ688" t="s">
        <v>74</v>
      </c>
      <c r="AR688" t="s">
        <v>12272</v>
      </c>
      <c r="AS688" t="s">
        <v>12273</v>
      </c>
      <c r="AT688" t="s">
        <v>12274</v>
      </c>
      <c r="AU688">
        <v>2009</v>
      </c>
      <c r="AV688">
        <v>22</v>
      </c>
      <c r="AW688">
        <v>1</v>
      </c>
      <c r="AX688" t="s">
        <v>74</v>
      </c>
      <c r="AY688" t="s">
        <v>74</v>
      </c>
      <c r="AZ688" t="s">
        <v>74</v>
      </c>
      <c r="BA688" t="s">
        <v>74</v>
      </c>
      <c r="BB688">
        <v>35</v>
      </c>
      <c r="BC688">
        <v>44</v>
      </c>
      <c r="BD688" t="s">
        <v>74</v>
      </c>
      <c r="BE688" t="s">
        <v>12275</v>
      </c>
      <c r="BF688" t="str">
        <f>HYPERLINK("http://dx.doi.org/10.1051/alr/2009002","http://dx.doi.org/10.1051/alr/2009002")</f>
        <v>http://dx.doi.org/10.1051/alr/2009002</v>
      </c>
      <c r="BG688" t="s">
        <v>74</v>
      </c>
      <c r="BH688" t="s">
        <v>74</v>
      </c>
      <c r="BI688">
        <v>10</v>
      </c>
      <c r="BJ688" t="s">
        <v>380</v>
      </c>
      <c r="BK688" t="s">
        <v>100</v>
      </c>
      <c r="BL688" t="s">
        <v>380</v>
      </c>
      <c r="BM688" t="s">
        <v>12276</v>
      </c>
      <c r="BN688" t="s">
        <v>74</v>
      </c>
      <c r="BO688" t="s">
        <v>499</v>
      </c>
      <c r="BP688" t="s">
        <v>74</v>
      </c>
      <c r="BQ688" t="s">
        <v>74</v>
      </c>
      <c r="BR688" t="s">
        <v>103</v>
      </c>
      <c r="BS688" t="s">
        <v>12277</v>
      </c>
      <c r="BT688" t="str">
        <f>HYPERLINK("https%3A%2F%2Fwww.webofscience.com%2Fwos%2Fwoscc%2Ffull-record%2FWOS:000265079800005","View Full Record in Web of Science")</f>
        <v>View Full Record in Web of Science</v>
      </c>
    </row>
    <row r="689" spans="1:72" x14ac:dyDescent="0.15">
      <c r="A689" t="s">
        <v>72</v>
      </c>
      <c r="B689" t="s">
        <v>12278</v>
      </c>
      <c r="C689" t="s">
        <v>74</v>
      </c>
      <c r="D689" t="s">
        <v>74</v>
      </c>
      <c r="E689" t="s">
        <v>74</v>
      </c>
      <c r="F689" t="s">
        <v>12279</v>
      </c>
      <c r="G689" t="s">
        <v>74</v>
      </c>
      <c r="H689" t="s">
        <v>74</v>
      </c>
      <c r="I689" t="s">
        <v>12280</v>
      </c>
      <c r="J689" t="s">
        <v>12281</v>
      </c>
      <c r="K689" t="s">
        <v>74</v>
      </c>
      <c r="L689" t="s">
        <v>74</v>
      </c>
      <c r="M689" t="s">
        <v>78</v>
      </c>
      <c r="N689" t="s">
        <v>79</v>
      </c>
      <c r="O689" t="s">
        <v>74</v>
      </c>
      <c r="P689" t="s">
        <v>74</v>
      </c>
      <c r="Q689" t="s">
        <v>74</v>
      </c>
      <c r="R689" t="s">
        <v>74</v>
      </c>
      <c r="S689" t="s">
        <v>74</v>
      </c>
      <c r="T689" t="s">
        <v>12282</v>
      </c>
      <c r="U689" t="s">
        <v>12283</v>
      </c>
      <c r="V689" t="s">
        <v>12284</v>
      </c>
      <c r="W689" t="s">
        <v>12285</v>
      </c>
      <c r="X689" t="s">
        <v>12286</v>
      </c>
      <c r="Y689" t="s">
        <v>12287</v>
      </c>
      <c r="Z689" t="s">
        <v>12288</v>
      </c>
      <c r="AA689" t="s">
        <v>74</v>
      </c>
      <c r="AB689" t="s">
        <v>74</v>
      </c>
      <c r="AC689" t="s">
        <v>12289</v>
      </c>
      <c r="AD689" t="s">
        <v>12290</v>
      </c>
      <c r="AE689" t="s">
        <v>12291</v>
      </c>
      <c r="AF689" t="s">
        <v>74</v>
      </c>
      <c r="AG689">
        <v>50</v>
      </c>
      <c r="AH689">
        <v>36</v>
      </c>
      <c r="AI689">
        <v>49</v>
      </c>
      <c r="AJ689">
        <v>2</v>
      </c>
      <c r="AK689">
        <v>27</v>
      </c>
      <c r="AL689" t="s">
        <v>577</v>
      </c>
      <c r="AM689" t="s">
        <v>578</v>
      </c>
      <c r="AN689" t="s">
        <v>579</v>
      </c>
      <c r="AO689" t="s">
        <v>12292</v>
      </c>
      <c r="AP689" t="s">
        <v>12293</v>
      </c>
      <c r="AQ689" t="s">
        <v>74</v>
      </c>
      <c r="AR689" t="s">
        <v>12294</v>
      </c>
      <c r="AS689" t="s">
        <v>12295</v>
      </c>
      <c r="AT689" t="s">
        <v>74</v>
      </c>
      <c r="AU689">
        <v>2009</v>
      </c>
      <c r="AV689">
        <v>55</v>
      </c>
      <c r="AW689">
        <v>3</v>
      </c>
      <c r="AX689" t="s">
        <v>74</v>
      </c>
      <c r="AY689" t="s">
        <v>74</v>
      </c>
      <c r="AZ689" t="s">
        <v>74</v>
      </c>
      <c r="BA689" t="s">
        <v>74</v>
      </c>
      <c r="BB689">
        <v>219</v>
      </c>
      <c r="BC689">
        <v>228</v>
      </c>
      <c r="BD689" t="s">
        <v>74</v>
      </c>
      <c r="BE689" t="s">
        <v>12296</v>
      </c>
      <c r="BF689" t="str">
        <f>HYPERLINK("http://dx.doi.org/10.3354/ame01295","http://dx.doi.org/10.3354/ame01295")</f>
        <v>http://dx.doi.org/10.3354/ame01295</v>
      </c>
      <c r="BG689" t="s">
        <v>74</v>
      </c>
      <c r="BH689" t="s">
        <v>74</v>
      </c>
      <c r="BI689">
        <v>10</v>
      </c>
      <c r="BJ689" t="s">
        <v>2258</v>
      </c>
      <c r="BK689" t="s">
        <v>100</v>
      </c>
      <c r="BL689" t="s">
        <v>2259</v>
      </c>
      <c r="BM689" t="s">
        <v>12297</v>
      </c>
      <c r="BN689" t="s">
        <v>74</v>
      </c>
      <c r="BO689" t="s">
        <v>499</v>
      </c>
      <c r="BP689" t="s">
        <v>74</v>
      </c>
      <c r="BQ689" t="s">
        <v>74</v>
      </c>
      <c r="BR689" t="s">
        <v>103</v>
      </c>
      <c r="BS689" t="s">
        <v>12298</v>
      </c>
      <c r="BT689" t="str">
        <f>HYPERLINK("https%3A%2F%2Fwww.webofscience.com%2Fwos%2Fwoscc%2Ffull-record%2FWOS:000267966100002","View Full Record in Web of Science")</f>
        <v>View Full Record in Web of Science</v>
      </c>
    </row>
    <row r="690" spans="1:72" x14ac:dyDescent="0.15">
      <c r="A690" t="s">
        <v>72</v>
      </c>
      <c r="B690" t="s">
        <v>12299</v>
      </c>
      <c r="C690" t="s">
        <v>74</v>
      </c>
      <c r="D690" t="s">
        <v>74</v>
      </c>
      <c r="E690" t="s">
        <v>74</v>
      </c>
      <c r="F690" t="s">
        <v>12300</v>
      </c>
      <c r="G690" t="s">
        <v>74</v>
      </c>
      <c r="H690" t="s">
        <v>74</v>
      </c>
      <c r="I690" t="s">
        <v>12301</v>
      </c>
      <c r="J690" t="s">
        <v>12281</v>
      </c>
      <c r="K690" t="s">
        <v>74</v>
      </c>
      <c r="L690" t="s">
        <v>74</v>
      </c>
      <c r="M690" t="s">
        <v>78</v>
      </c>
      <c r="N690" t="s">
        <v>79</v>
      </c>
      <c r="O690" t="s">
        <v>74</v>
      </c>
      <c r="P690" t="s">
        <v>74</v>
      </c>
      <c r="Q690" t="s">
        <v>74</v>
      </c>
      <c r="R690" t="s">
        <v>74</v>
      </c>
      <c r="S690" t="s">
        <v>74</v>
      </c>
      <c r="T690" t="s">
        <v>12302</v>
      </c>
      <c r="U690" t="s">
        <v>12303</v>
      </c>
      <c r="V690" t="s">
        <v>12304</v>
      </c>
      <c r="W690" t="s">
        <v>12305</v>
      </c>
      <c r="X690" t="s">
        <v>12306</v>
      </c>
      <c r="Y690" t="s">
        <v>12307</v>
      </c>
      <c r="Z690" t="s">
        <v>12308</v>
      </c>
      <c r="AA690" t="s">
        <v>12309</v>
      </c>
      <c r="AB690" t="s">
        <v>12310</v>
      </c>
      <c r="AC690" t="s">
        <v>12311</v>
      </c>
      <c r="AD690" t="s">
        <v>12312</v>
      </c>
      <c r="AE690" t="s">
        <v>12313</v>
      </c>
      <c r="AF690" t="s">
        <v>74</v>
      </c>
      <c r="AG690">
        <v>56</v>
      </c>
      <c r="AH690">
        <v>28</v>
      </c>
      <c r="AI690">
        <v>29</v>
      </c>
      <c r="AJ690">
        <v>1</v>
      </c>
      <c r="AK690">
        <v>17</v>
      </c>
      <c r="AL690" t="s">
        <v>577</v>
      </c>
      <c r="AM690" t="s">
        <v>578</v>
      </c>
      <c r="AN690" t="s">
        <v>579</v>
      </c>
      <c r="AO690" t="s">
        <v>12292</v>
      </c>
      <c r="AP690" t="s">
        <v>12293</v>
      </c>
      <c r="AQ690" t="s">
        <v>74</v>
      </c>
      <c r="AR690" t="s">
        <v>12294</v>
      </c>
      <c r="AS690" t="s">
        <v>12295</v>
      </c>
      <c r="AT690" t="s">
        <v>74</v>
      </c>
      <c r="AU690">
        <v>2009</v>
      </c>
      <c r="AV690">
        <v>54</v>
      </c>
      <c r="AW690">
        <v>1</v>
      </c>
      <c r="AX690" t="s">
        <v>74</v>
      </c>
      <c r="AY690" t="s">
        <v>74</v>
      </c>
      <c r="AZ690" t="s">
        <v>74</v>
      </c>
      <c r="BA690" t="s">
        <v>74</v>
      </c>
      <c r="BB690">
        <v>101</v>
      </c>
      <c r="BC690">
        <v>112</v>
      </c>
      <c r="BD690" t="s">
        <v>74</v>
      </c>
      <c r="BE690" t="s">
        <v>12314</v>
      </c>
      <c r="BF690" t="str">
        <f>HYPERLINK("http://dx.doi.org/10.3354/ame01259","http://dx.doi.org/10.3354/ame01259")</f>
        <v>http://dx.doi.org/10.3354/ame01259</v>
      </c>
      <c r="BG690" t="s">
        <v>74</v>
      </c>
      <c r="BH690" t="s">
        <v>74</v>
      </c>
      <c r="BI690">
        <v>12</v>
      </c>
      <c r="BJ690" t="s">
        <v>2258</v>
      </c>
      <c r="BK690" t="s">
        <v>100</v>
      </c>
      <c r="BL690" t="s">
        <v>2259</v>
      </c>
      <c r="BM690" t="s">
        <v>12315</v>
      </c>
      <c r="BN690" t="s">
        <v>74</v>
      </c>
      <c r="BO690" t="s">
        <v>1137</v>
      </c>
      <c r="BP690" t="s">
        <v>74</v>
      </c>
      <c r="BQ690" t="s">
        <v>74</v>
      </c>
      <c r="BR690" t="s">
        <v>103</v>
      </c>
      <c r="BS690" t="s">
        <v>12316</v>
      </c>
      <c r="BT690" t="str">
        <f>HYPERLINK("https%3A%2F%2Fwww.webofscience.com%2Fwos%2Fwoscc%2Ffull-record%2FWOS:000265123700008","View Full Record in Web of Science")</f>
        <v>View Full Record in Web of Science</v>
      </c>
    </row>
    <row r="691" spans="1:72" x14ac:dyDescent="0.15">
      <c r="A691" t="s">
        <v>72</v>
      </c>
      <c r="B691" t="s">
        <v>12317</v>
      </c>
      <c r="C691" t="s">
        <v>74</v>
      </c>
      <c r="D691" t="s">
        <v>74</v>
      </c>
      <c r="E691" t="s">
        <v>74</v>
      </c>
      <c r="F691" t="s">
        <v>12318</v>
      </c>
      <c r="G691" t="s">
        <v>74</v>
      </c>
      <c r="H691" t="s">
        <v>74</v>
      </c>
      <c r="I691" t="s">
        <v>12319</v>
      </c>
      <c r="J691" t="s">
        <v>12320</v>
      </c>
      <c r="K691" t="s">
        <v>74</v>
      </c>
      <c r="L691" t="s">
        <v>74</v>
      </c>
      <c r="M691" t="s">
        <v>78</v>
      </c>
      <c r="N691" t="s">
        <v>172</v>
      </c>
      <c r="O691" t="s">
        <v>74</v>
      </c>
      <c r="P691" t="s">
        <v>74</v>
      </c>
      <c r="Q691" t="s">
        <v>74</v>
      </c>
      <c r="R691" t="s">
        <v>74</v>
      </c>
      <c r="S691" t="s">
        <v>74</v>
      </c>
      <c r="T691" t="s">
        <v>74</v>
      </c>
      <c r="U691" t="s">
        <v>12321</v>
      </c>
      <c r="V691" t="s">
        <v>12322</v>
      </c>
      <c r="W691" t="s">
        <v>12323</v>
      </c>
      <c r="X691" t="s">
        <v>12324</v>
      </c>
      <c r="Y691" t="s">
        <v>12325</v>
      </c>
      <c r="Z691" t="s">
        <v>74</v>
      </c>
      <c r="AA691" t="s">
        <v>12326</v>
      </c>
      <c r="AB691" t="s">
        <v>12327</v>
      </c>
      <c r="AC691" t="s">
        <v>74</v>
      </c>
      <c r="AD691" t="s">
        <v>74</v>
      </c>
      <c r="AE691" t="s">
        <v>74</v>
      </c>
      <c r="AF691" t="s">
        <v>74</v>
      </c>
      <c r="AG691">
        <v>151</v>
      </c>
      <c r="AH691">
        <v>7</v>
      </c>
      <c r="AI691">
        <v>8</v>
      </c>
      <c r="AJ691">
        <v>0</v>
      </c>
      <c r="AK691">
        <v>0</v>
      </c>
      <c r="AL691" t="s">
        <v>12328</v>
      </c>
      <c r="AM691" t="s">
        <v>12329</v>
      </c>
      <c r="AN691" t="s">
        <v>12330</v>
      </c>
      <c r="AO691" t="s">
        <v>12331</v>
      </c>
      <c r="AP691" t="s">
        <v>12332</v>
      </c>
      <c r="AQ691" t="s">
        <v>74</v>
      </c>
      <c r="AR691" t="s">
        <v>12333</v>
      </c>
      <c r="AS691" t="s">
        <v>12334</v>
      </c>
      <c r="AT691" t="s">
        <v>74</v>
      </c>
      <c r="AU691">
        <v>2009</v>
      </c>
      <c r="AV691">
        <v>46</v>
      </c>
      <c r="AW691" t="s">
        <v>972</v>
      </c>
      <c r="AX691" t="s">
        <v>74</v>
      </c>
      <c r="AY691" t="s">
        <v>74</v>
      </c>
      <c r="AZ691" t="s">
        <v>74</v>
      </c>
      <c r="BA691" t="s">
        <v>74</v>
      </c>
      <c r="BB691">
        <v>50</v>
      </c>
      <c r="BC691">
        <v>71</v>
      </c>
      <c r="BD691" t="s">
        <v>74</v>
      </c>
      <c r="BE691" t="s">
        <v>12335</v>
      </c>
      <c r="BF691" t="str">
        <f>HYPERLINK("http://dx.doi.org/10.1353/arc.0.0016","http://dx.doi.org/10.1353/arc.0.0016")</f>
        <v>http://dx.doi.org/10.1353/arc.0.0016</v>
      </c>
      <c r="BG691" t="s">
        <v>74</v>
      </c>
      <c r="BH691" t="s">
        <v>74</v>
      </c>
      <c r="BI691">
        <v>22</v>
      </c>
      <c r="BJ691" t="s">
        <v>12336</v>
      </c>
      <c r="BK691" t="s">
        <v>6246</v>
      </c>
      <c r="BL691" t="s">
        <v>12336</v>
      </c>
      <c r="BM691" t="s">
        <v>12337</v>
      </c>
      <c r="BN691" t="s">
        <v>74</v>
      </c>
      <c r="BO691" t="s">
        <v>74</v>
      </c>
      <c r="BP691" t="s">
        <v>74</v>
      </c>
      <c r="BQ691" t="s">
        <v>74</v>
      </c>
      <c r="BR691" t="s">
        <v>103</v>
      </c>
      <c r="BS691" t="s">
        <v>12338</v>
      </c>
      <c r="BT691" t="str">
        <f>HYPERLINK("https%3A%2F%2Fwww.webofscience.com%2Fwos%2Fwoscc%2Ffull-record%2FWOS:000274116400006","View Full Record in Web of Science")</f>
        <v>View Full Record in Web of Science</v>
      </c>
    </row>
    <row r="692" spans="1:72" x14ac:dyDescent="0.15">
      <c r="A692" t="s">
        <v>72</v>
      </c>
      <c r="B692" t="s">
        <v>12339</v>
      </c>
      <c r="C692" t="s">
        <v>74</v>
      </c>
      <c r="D692" t="s">
        <v>74</v>
      </c>
      <c r="E692" t="s">
        <v>74</v>
      </c>
      <c r="F692" t="s">
        <v>12340</v>
      </c>
      <c r="G692" t="s">
        <v>74</v>
      </c>
      <c r="H692" t="s">
        <v>74</v>
      </c>
      <c r="I692" t="s">
        <v>12341</v>
      </c>
      <c r="J692" t="s">
        <v>12342</v>
      </c>
      <c r="K692" t="s">
        <v>74</v>
      </c>
      <c r="L692" t="s">
        <v>74</v>
      </c>
      <c r="M692" t="s">
        <v>78</v>
      </c>
      <c r="N692" t="s">
        <v>79</v>
      </c>
      <c r="O692" t="s">
        <v>74</v>
      </c>
      <c r="P692" t="s">
        <v>74</v>
      </c>
      <c r="Q692" t="s">
        <v>74</v>
      </c>
      <c r="R692" t="s">
        <v>74</v>
      </c>
      <c r="S692" t="s">
        <v>74</v>
      </c>
      <c r="T692" t="s">
        <v>12343</v>
      </c>
      <c r="U692" t="s">
        <v>74</v>
      </c>
      <c r="V692" t="s">
        <v>12344</v>
      </c>
      <c r="W692" t="s">
        <v>12345</v>
      </c>
      <c r="X692" t="s">
        <v>12346</v>
      </c>
      <c r="Y692" t="s">
        <v>12347</v>
      </c>
      <c r="Z692" t="s">
        <v>12348</v>
      </c>
      <c r="AA692" t="s">
        <v>12349</v>
      </c>
      <c r="AB692" t="s">
        <v>74</v>
      </c>
      <c r="AC692" t="s">
        <v>12350</v>
      </c>
      <c r="AD692" t="s">
        <v>12351</v>
      </c>
      <c r="AE692" t="s">
        <v>12352</v>
      </c>
      <c r="AF692" t="s">
        <v>74</v>
      </c>
      <c r="AG692">
        <v>39</v>
      </c>
      <c r="AH692">
        <v>10</v>
      </c>
      <c r="AI692">
        <v>13</v>
      </c>
      <c r="AJ692">
        <v>0</v>
      </c>
      <c r="AK692">
        <v>0</v>
      </c>
      <c r="AL692" t="s">
        <v>1167</v>
      </c>
      <c r="AM692" t="s">
        <v>1168</v>
      </c>
      <c r="AN692" t="s">
        <v>1169</v>
      </c>
      <c r="AO692" t="s">
        <v>12353</v>
      </c>
      <c r="AP692" t="s">
        <v>12354</v>
      </c>
      <c r="AQ692" t="s">
        <v>74</v>
      </c>
      <c r="AR692" t="s">
        <v>12355</v>
      </c>
      <c r="AS692" t="s">
        <v>12356</v>
      </c>
      <c r="AT692" t="s">
        <v>74</v>
      </c>
      <c r="AU692">
        <v>2009</v>
      </c>
      <c r="AV692">
        <v>2</v>
      </c>
      <c r="AW692">
        <v>3</v>
      </c>
      <c r="AX692" t="s">
        <v>74</v>
      </c>
      <c r="AY692" t="s">
        <v>74</v>
      </c>
      <c r="AZ692" t="s">
        <v>74</v>
      </c>
      <c r="BA692" t="s">
        <v>74</v>
      </c>
      <c r="BB692">
        <v>159</v>
      </c>
      <c r="BC692">
        <v>164</v>
      </c>
      <c r="BD692" t="s">
        <v>74</v>
      </c>
      <c r="BE692" t="s">
        <v>12357</v>
      </c>
      <c r="BF692" t="str">
        <f>HYPERLINK("http://dx.doi.org/10.1080/16742834.2009.11446796","http://dx.doi.org/10.1080/16742834.2009.11446796")</f>
        <v>http://dx.doi.org/10.1080/16742834.2009.11446796</v>
      </c>
      <c r="BG692" t="s">
        <v>74</v>
      </c>
      <c r="BH692" t="s">
        <v>74</v>
      </c>
      <c r="BI692">
        <v>6</v>
      </c>
      <c r="BJ692" t="s">
        <v>398</v>
      </c>
      <c r="BK692" t="s">
        <v>2781</v>
      </c>
      <c r="BL692" t="s">
        <v>398</v>
      </c>
      <c r="BM692" t="s">
        <v>12358</v>
      </c>
      <c r="BN692" t="s">
        <v>74</v>
      </c>
      <c r="BO692" t="s">
        <v>499</v>
      </c>
      <c r="BP692" t="s">
        <v>74</v>
      </c>
      <c r="BQ692" t="s">
        <v>74</v>
      </c>
      <c r="BR692" t="s">
        <v>103</v>
      </c>
      <c r="BS692" t="s">
        <v>12359</v>
      </c>
      <c r="BT692" t="str">
        <f>HYPERLINK("https%3A%2F%2Fwww.webofscience.com%2Fwos%2Fwoscc%2Ffull-record%2FWOS:000433680100007","View Full Record in Web of Science")</f>
        <v>View Full Record in Web of Science</v>
      </c>
    </row>
    <row r="693" spans="1:72" x14ac:dyDescent="0.15">
      <c r="A693" t="s">
        <v>72</v>
      </c>
      <c r="B693" t="s">
        <v>12360</v>
      </c>
      <c r="C693" t="s">
        <v>74</v>
      </c>
      <c r="D693" t="s">
        <v>74</v>
      </c>
      <c r="E693" t="s">
        <v>74</v>
      </c>
      <c r="F693" t="s">
        <v>12361</v>
      </c>
      <c r="G693" t="s">
        <v>74</v>
      </c>
      <c r="H693" t="s">
        <v>74</v>
      </c>
      <c r="I693" t="s">
        <v>12362</v>
      </c>
      <c r="J693" t="s">
        <v>12363</v>
      </c>
      <c r="K693" t="s">
        <v>74</v>
      </c>
      <c r="L693" t="s">
        <v>74</v>
      </c>
      <c r="M693" t="s">
        <v>78</v>
      </c>
      <c r="N693" t="s">
        <v>172</v>
      </c>
      <c r="O693" t="s">
        <v>74</v>
      </c>
      <c r="P693" t="s">
        <v>74</v>
      </c>
      <c r="Q693" t="s">
        <v>74</v>
      </c>
      <c r="R693" t="s">
        <v>74</v>
      </c>
      <c r="S693" t="s">
        <v>74</v>
      </c>
      <c r="T693" t="s">
        <v>74</v>
      </c>
      <c r="U693" t="s">
        <v>12364</v>
      </c>
      <c r="V693" t="s">
        <v>12365</v>
      </c>
      <c r="W693" t="s">
        <v>12366</v>
      </c>
      <c r="X693" t="s">
        <v>12367</v>
      </c>
      <c r="Y693" t="s">
        <v>12368</v>
      </c>
      <c r="Z693" t="s">
        <v>74</v>
      </c>
      <c r="AA693" t="s">
        <v>12369</v>
      </c>
      <c r="AB693" t="s">
        <v>12370</v>
      </c>
      <c r="AC693" t="s">
        <v>12371</v>
      </c>
      <c r="AD693" t="s">
        <v>12372</v>
      </c>
      <c r="AE693" t="s">
        <v>12373</v>
      </c>
      <c r="AF693" t="s">
        <v>74</v>
      </c>
      <c r="AG693">
        <v>152</v>
      </c>
      <c r="AH693">
        <v>86</v>
      </c>
      <c r="AI693">
        <v>92</v>
      </c>
      <c r="AJ693">
        <v>0</v>
      </c>
      <c r="AK693">
        <v>50</v>
      </c>
      <c r="AL693" t="s">
        <v>7730</v>
      </c>
      <c r="AM693" t="s">
        <v>7731</v>
      </c>
      <c r="AN693" t="s">
        <v>7732</v>
      </c>
      <c r="AO693" t="s">
        <v>12374</v>
      </c>
      <c r="AP693" t="s">
        <v>12375</v>
      </c>
      <c r="AQ693" t="s">
        <v>74</v>
      </c>
      <c r="AR693" t="s">
        <v>12376</v>
      </c>
      <c r="AS693" t="s">
        <v>12377</v>
      </c>
      <c r="AT693" t="s">
        <v>74</v>
      </c>
      <c r="AU693">
        <v>2009</v>
      </c>
      <c r="AV693">
        <v>9</v>
      </c>
      <c r="AW693">
        <v>2</v>
      </c>
      <c r="AX693" t="s">
        <v>74</v>
      </c>
      <c r="AY693" t="s">
        <v>74</v>
      </c>
      <c r="AZ693" t="s">
        <v>74</v>
      </c>
      <c r="BA693" t="s">
        <v>74</v>
      </c>
      <c r="BB693">
        <v>287</v>
      </c>
      <c r="BC693">
        <v>343</v>
      </c>
      <c r="BD693" t="s">
        <v>74</v>
      </c>
      <c r="BE693" t="s">
        <v>12378</v>
      </c>
      <c r="BF693" t="str">
        <f>HYPERLINK("http://dx.doi.org/10.5194/acp-9-287-2009","http://dx.doi.org/10.5194/acp-9-287-2009")</f>
        <v>http://dx.doi.org/10.5194/acp-9-287-2009</v>
      </c>
      <c r="BG693" t="s">
        <v>74</v>
      </c>
      <c r="BH693" t="s">
        <v>74</v>
      </c>
      <c r="BI693">
        <v>57</v>
      </c>
      <c r="BJ693" t="s">
        <v>1321</v>
      </c>
      <c r="BK693" t="s">
        <v>100</v>
      </c>
      <c r="BL693" t="s">
        <v>1322</v>
      </c>
      <c r="BM693" t="s">
        <v>12379</v>
      </c>
      <c r="BN693" t="s">
        <v>74</v>
      </c>
      <c r="BO693" t="s">
        <v>8500</v>
      </c>
      <c r="BP693" t="s">
        <v>74</v>
      </c>
      <c r="BQ693" t="s">
        <v>74</v>
      </c>
      <c r="BR693" t="s">
        <v>103</v>
      </c>
      <c r="BS693" t="s">
        <v>12380</v>
      </c>
      <c r="BT693" t="str">
        <f>HYPERLINK("https%3A%2F%2Fwww.webofscience.com%2Fwos%2Fwoscc%2Ffull-record%2FWOS:000263325700001","View Full Record in Web of Science")</f>
        <v>View Full Record in Web of Science</v>
      </c>
    </row>
    <row r="694" spans="1:72" x14ac:dyDescent="0.15">
      <c r="A694" t="s">
        <v>72</v>
      </c>
      <c r="B694" t="s">
        <v>12381</v>
      </c>
      <c r="C694" t="s">
        <v>74</v>
      </c>
      <c r="D694" t="s">
        <v>74</v>
      </c>
      <c r="E694" t="s">
        <v>74</v>
      </c>
      <c r="F694" t="s">
        <v>12382</v>
      </c>
      <c r="G694" t="s">
        <v>74</v>
      </c>
      <c r="H694" t="s">
        <v>74</v>
      </c>
      <c r="I694" t="s">
        <v>12383</v>
      </c>
      <c r="J694" t="s">
        <v>12363</v>
      </c>
      <c r="K694" t="s">
        <v>74</v>
      </c>
      <c r="L694" t="s">
        <v>74</v>
      </c>
      <c r="M694" t="s">
        <v>78</v>
      </c>
      <c r="N694" t="s">
        <v>79</v>
      </c>
      <c r="O694" t="s">
        <v>74</v>
      </c>
      <c r="P694" t="s">
        <v>74</v>
      </c>
      <c r="Q694" t="s">
        <v>74</v>
      </c>
      <c r="R694" t="s">
        <v>74</v>
      </c>
      <c r="S694" t="s">
        <v>74</v>
      </c>
      <c r="T694" t="s">
        <v>74</v>
      </c>
      <c r="U694" t="s">
        <v>12384</v>
      </c>
      <c r="V694" t="s">
        <v>12385</v>
      </c>
      <c r="W694" t="s">
        <v>12386</v>
      </c>
      <c r="X694" t="s">
        <v>6791</v>
      </c>
      <c r="Y694" t="s">
        <v>12387</v>
      </c>
      <c r="Z694" t="s">
        <v>12388</v>
      </c>
      <c r="AA694" t="s">
        <v>12389</v>
      </c>
      <c r="AB694" t="s">
        <v>12390</v>
      </c>
      <c r="AC694" t="s">
        <v>12391</v>
      </c>
      <c r="AD694" t="s">
        <v>12392</v>
      </c>
      <c r="AE694" t="s">
        <v>12393</v>
      </c>
      <c r="AF694" t="s">
        <v>74</v>
      </c>
      <c r="AG694">
        <v>25</v>
      </c>
      <c r="AH694">
        <v>25</v>
      </c>
      <c r="AI694">
        <v>30</v>
      </c>
      <c r="AJ694">
        <v>0</v>
      </c>
      <c r="AK694">
        <v>8</v>
      </c>
      <c r="AL694" t="s">
        <v>7730</v>
      </c>
      <c r="AM694" t="s">
        <v>7731</v>
      </c>
      <c r="AN694" t="s">
        <v>7732</v>
      </c>
      <c r="AO694" t="s">
        <v>12374</v>
      </c>
      <c r="AP694" t="s">
        <v>12375</v>
      </c>
      <c r="AQ694" t="s">
        <v>74</v>
      </c>
      <c r="AR694" t="s">
        <v>12376</v>
      </c>
      <c r="AS694" t="s">
        <v>12377</v>
      </c>
      <c r="AT694" t="s">
        <v>74</v>
      </c>
      <c r="AU694">
        <v>2009</v>
      </c>
      <c r="AV694">
        <v>9</v>
      </c>
      <c r="AW694">
        <v>2</v>
      </c>
      <c r="AX694" t="s">
        <v>74</v>
      </c>
      <c r="AY694" t="s">
        <v>74</v>
      </c>
      <c r="AZ694" t="s">
        <v>74</v>
      </c>
      <c r="BA694" t="s">
        <v>74</v>
      </c>
      <c r="BB694">
        <v>483</v>
      </c>
      <c r="BC694">
        <v>495</v>
      </c>
      <c r="BD694" t="s">
        <v>74</v>
      </c>
      <c r="BE694" t="s">
        <v>12394</v>
      </c>
      <c r="BF694" t="str">
        <f>HYPERLINK("http://dx.doi.org/10.5194/acp-9-483-2009","http://dx.doi.org/10.5194/acp-9-483-2009")</f>
        <v>http://dx.doi.org/10.5194/acp-9-483-2009</v>
      </c>
      <c r="BG694" t="s">
        <v>74</v>
      </c>
      <c r="BH694" t="s">
        <v>74</v>
      </c>
      <c r="BI694">
        <v>13</v>
      </c>
      <c r="BJ694" t="s">
        <v>1321</v>
      </c>
      <c r="BK694" t="s">
        <v>100</v>
      </c>
      <c r="BL694" t="s">
        <v>1322</v>
      </c>
      <c r="BM694" t="s">
        <v>12379</v>
      </c>
      <c r="BN694" t="s">
        <v>74</v>
      </c>
      <c r="BO694" t="s">
        <v>12395</v>
      </c>
      <c r="BP694" t="s">
        <v>74</v>
      </c>
      <c r="BQ694" t="s">
        <v>74</v>
      </c>
      <c r="BR694" t="s">
        <v>103</v>
      </c>
      <c r="BS694" t="s">
        <v>12396</v>
      </c>
      <c r="BT694" t="str">
        <f>HYPERLINK("https%3A%2F%2Fwww.webofscience.com%2Fwos%2Fwoscc%2Ffull-record%2FWOS:000263325700009","View Full Record in Web of Science")</f>
        <v>View Full Record in Web of Science</v>
      </c>
    </row>
    <row r="695" spans="1:72" x14ac:dyDescent="0.15">
      <c r="A695" t="s">
        <v>72</v>
      </c>
      <c r="B695" t="s">
        <v>12397</v>
      </c>
      <c r="C695" t="s">
        <v>74</v>
      </c>
      <c r="D695" t="s">
        <v>74</v>
      </c>
      <c r="E695" t="s">
        <v>74</v>
      </c>
      <c r="F695" t="s">
        <v>12398</v>
      </c>
      <c r="G695" t="s">
        <v>74</v>
      </c>
      <c r="H695" t="s">
        <v>74</v>
      </c>
      <c r="I695" t="s">
        <v>12399</v>
      </c>
      <c r="J695" t="s">
        <v>12363</v>
      </c>
      <c r="K695" t="s">
        <v>74</v>
      </c>
      <c r="L695" t="s">
        <v>74</v>
      </c>
      <c r="M695" t="s">
        <v>78</v>
      </c>
      <c r="N695" t="s">
        <v>79</v>
      </c>
      <c r="O695" t="s">
        <v>74</v>
      </c>
      <c r="P695" t="s">
        <v>74</v>
      </c>
      <c r="Q695" t="s">
        <v>74</v>
      </c>
      <c r="R695" t="s">
        <v>74</v>
      </c>
      <c r="S695" t="s">
        <v>74</v>
      </c>
      <c r="T695" t="s">
        <v>74</v>
      </c>
      <c r="U695" t="s">
        <v>12400</v>
      </c>
      <c r="V695" t="s">
        <v>12401</v>
      </c>
      <c r="W695" t="s">
        <v>12402</v>
      </c>
      <c r="X695" t="s">
        <v>12403</v>
      </c>
      <c r="Y695" t="s">
        <v>12404</v>
      </c>
      <c r="Z695" t="s">
        <v>12405</v>
      </c>
      <c r="AA695" t="s">
        <v>74</v>
      </c>
      <c r="AB695" t="s">
        <v>74</v>
      </c>
      <c r="AC695" t="s">
        <v>12406</v>
      </c>
      <c r="AD695" t="s">
        <v>12407</v>
      </c>
      <c r="AE695" t="s">
        <v>12408</v>
      </c>
      <c r="AF695" t="s">
        <v>74</v>
      </c>
      <c r="AG695">
        <v>28</v>
      </c>
      <c r="AH695">
        <v>99</v>
      </c>
      <c r="AI695">
        <v>101</v>
      </c>
      <c r="AJ695">
        <v>2</v>
      </c>
      <c r="AK695">
        <v>27</v>
      </c>
      <c r="AL695" t="s">
        <v>7730</v>
      </c>
      <c r="AM695" t="s">
        <v>7731</v>
      </c>
      <c r="AN695" t="s">
        <v>7732</v>
      </c>
      <c r="AO695" t="s">
        <v>12374</v>
      </c>
      <c r="AP695" t="s">
        <v>12375</v>
      </c>
      <c r="AQ695" t="s">
        <v>74</v>
      </c>
      <c r="AR695" t="s">
        <v>12376</v>
      </c>
      <c r="AS695" t="s">
        <v>12377</v>
      </c>
      <c r="AT695" t="s">
        <v>74</v>
      </c>
      <c r="AU695">
        <v>2009</v>
      </c>
      <c r="AV695">
        <v>9</v>
      </c>
      <c r="AW695">
        <v>2</v>
      </c>
      <c r="AX695" t="s">
        <v>74</v>
      </c>
      <c r="AY695" t="s">
        <v>74</v>
      </c>
      <c r="AZ695" t="s">
        <v>74</v>
      </c>
      <c r="BA695" t="s">
        <v>74</v>
      </c>
      <c r="BB695">
        <v>515</v>
      </c>
      <c r="BC695">
        <v>527</v>
      </c>
      <c r="BD695" t="s">
        <v>74</v>
      </c>
      <c r="BE695" t="s">
        <v>12409</v>
      </c>
      <c r="BF695" t="str">
        <f>HYPERLINK("http://dx.doi.org/10.5194/acp-9-515-2009","http://dx.doi.org/10.5194/acp-9-515-2009")</f>
        <v>http://dx.doi.org/10.5194/acp-9-515-2009</v>
      </c>
      <c r="BG695" t="s">
        <v>74</v>
      </c>
      <c r="BH695" t="s">
        <v>74</v>
      </c>
      <c r="BI695">
        <v>13</v>
      </c>
      <c r="BJ695" t="s">
        <v>1321</v>
      </c>
      <c r="BK695" t="s">
        <v>100</v>
      </c>
      <c r="BL695" t="s">
        <v>1322</v>
      </c>
      <c r="BM695" t="s">
        <v>12379</v>
      </c>
      <c r="BN695" t="s">
        <v>74</v>
      </c>
      <c r="BO695" t="s">
        <v>12410</v>
      </c>
      <c r="BP695" t="s">
        <v>74</v>
      </c>
      <c r="BQ695" t="s">
        <v>74</v>
      </c>
      <c r="BR695" t="s">
        <v>103</v>
      </c>
      <c r="BS695" t="s">
        <v>12411</v>
      </c>
      <c r="BT695" t="str">
        <f>HYPERLINK("https%3A%2F%2Fwww.webofscience.com%2Fwos%2Fwoscc%2Ffull-record%2FWOS:000263325700011","View Full Record in Web of Science")</f>
        <v>View Full Record in Web of Science</v>
      </c>
    </row>
    <row r="696" spans="1:72" x14ac:dyDescent="0.15">
      <c r="A696" t="s">
        <v>72</v>
      </c>
      <c r="B696" t="s">
        <v>12412</v>
      </c>
      <c r="C696" t="s">
        <v>74</v>
      </c>
      <c r="D696" t="s">
        <v>74</v>
      </c>
      <c r="E696" t="s">
        <v>74</v>
      </c>
      <c r="F696" t="s">
        <v>12413</v>
      </c>
      <c r="G696" t="s">
        <v>74</v>
      </c>
      <c r="H696" t="s">
        <v>74</v>
      </c>
      <c r="I696" t="s">
        <v>12414</v>
      </c>
      <c r="J696" t="s">
        <v>12363</v>
      </c>
      <c r="K696" t="s">
        <v>74</v>
      </c>
      <c r="L696" t="s">
        <v>74</v>
      </c>
      <c r="M696" t="s">
        <v>78</v>
      </c>
      <c r="N696" t="s">
        <v>79</v>
      </c>
      <c r="O696" t="s">
        <v>74</v>
      </c>
      <c r="P696" t="s">
        <v>74</v>
      </c>
      <c r="Q696" t="s">
        <v>74</v>
      </c>
      <c r="R696" t="s">
        <v>74</v>
      </c>
      <c r="S696" t="s">
        <v>74</v>
      </c>
      <c r="T696" t="s">
        <v>74</v>
      </c>
      <c r="U696" t="s">
        <v>12415</v>
      </c>
      <c r="V696" t="s">
        <v>12416</v>
      </c>
      <c r="W696" t="s">
        <v>12417</v>
      </c>
      <c r="X696" t="s">
        <v>12418</v>
      </c>
      <c r="Y696" t="s">
        <v>12419</v>
      </c>
      <c r="Z696" t="s">
        <v>12420</v>
      </c>
      <c r="AA696" t="s">
        <v>12421</v>
      </c>
      <c r="AB696" t="s">
        <v>12422</v>
      </c>
      <c r="AC696" t="s">
        <v>12423</v>
      </c>
      <c r="AD696" t="s">
        <v>12424</v>
      </c>
      <c r="AE696" t="s">
        <v>12425</v>
      </c>
      <c r="AF696" t="s">
        <v>74</v>
      </c>
      <c r="AG696">
        <v>73</v>
      </c>
      <c r="AH696">
        <v>44</v>
      </c>
      <c r="AI696">
        <v>49</v>
      </c>
      <c r="AJ696">
        <v>0</v>
      </c>
      <c r="AK696">
        <v>5</v>
      </c>
      <c r="AL696" t="s">
        <v>7730</v>
      </c>
      <c r="AM696" t="s">
        <v>7731</v>
      </c>
      <c r="AN696" t="s">
        <v>7732</v>
      </c>
      <c r="AO696" t="s">
        <v>12374</v>
      </c>
      <c r="AP696" t="s">
        <v>12375</v>
      </c>
      <c r="AQ696" t="s">
        <v>74</v>
      </c>
      <c r="AR696" t="s">
        <v>12376</v>
      </c>
      <c r="AS696" t="s">
        <v>12377</v>
      </c>
      <c r="AT696" t="s">
        <v>74</v>
      </c>
      <c r="AU696">
        <v>2009</v>
      </c>
      <c r="AV696">
        <v>9</v>
      </c>
      <c r="AW696">
        <v>3</v>
      </c>
      <c r="AX696" t="s">
        <v>74</v>
      </c>
      <c r="AY696" t="s">
        <v>74</v>
      </c>
      <c r="AZ696" t="s">
        <v>74</v>
      </c>
      <c r="BA696" t="s">
        <v>74</v>
      </c>
      <c r="BB696">
        <v>831</v>
      </c>
      <c r="BC696">
        <v>848</v>
      </c>
      <c r="BD696" t="s">
        <v>74</v>
      </c>
      <c r="BE696" t="s">
        <v>12426</v>
      </c>
      <c r="BF696" t="str">
        <f>HYPERLINK("http://dx.doi.org/10.5194/acp-9-831-2009","http://dx.doi.org/10.5194/acp-9-831-2009")</f>
        <v>http://dx.doi.org/10.5194/acp-9-831-2009</v>
      </c>
      <c r="BG696" t="s">
        <v>74</v>
      </c>
      <c r="BH696" t="s">
        <v>74</v>
      </c>
      <c r="BI696">
        <v>18</v>
      </c>
      <c r="BJ696" t="s">
        <v>1321</v>
      </c>
      <c r="BK696" t="s">
        <v>100</v>
      </c>
      <c r="BL696" t="s">
        <v>1322</v>
      </c>
      <c r="BM696" t="s">
        <v>12427</v>
      </c>
      <c r="BN696" t="s">
        <v>74</v>
      </c>
      <c r="BO696" t="s">
        <v>450</v>
      </c>
      <c r="BP696" t="s">
        <v>74</v>
      </c>
      <c r="BQ696" t="s">
        <v>74</v>
      </c>
      <c r="BR696" t="s">
        <v>103</v>
      </c>
      <c r="BS696" t="s">
        <v>12428</v>
      </c>
      <c r="BT696" t="str">
        <f>HYPERLINK("https%3A%2F%2Fwww.webofscience.com%2Fwos%2Fwoscc%2Ffull-record%2FWOS:000263325900006","View Full Record in Web of Science")</f>
        <v>View Full Record in Web of Science</v>
      </c>
    </row>
    <row r="697" spans="1:72" x14ac:dyDescent="0.15">
      <c r="A697" t="s">
        <v>72</v>
      </c>
      <c r="B697" t="s">
        <v>12429</v>
      </c>
      <c r="C697" t="s">
        <v>74</v>
      </c>
      <c r="D697" t="s">
        <v>74</v>
      </c>
      <c r="E697" t="s">
        <v>74</v>
      </c>
      <c r="F697" t="s">
        <v>12430</v>
      </c>
      <c r="G697" t="s">
        <v>74</v>
      </c>
      <c r="H697" t="s">
        <v>74</v>
      </c>
      <c r="I697" t="s">
        <v>12431</v>
      </c>
      <c r="J697" t="s">
        <v>12363</v>
      </c>
      <c r="K697" t="s">
        <v>74</v>
      </c>
      <c r="L697" t="s">
        <v>74</v>
      </c>
      <c r="M697" t="s">
        <v>78</v>
      </c>
      <c r="N697" t="s">
        <v>79</v>
      </c>
      <c r="O697" t="s">
        <v>74</v>
      </c>
      <c r="P697" t="s">
        <v>74</v>
      </c>
      <c r="Q697" t="s">
        <v>74</v>
      </c>
      <c r="R697" t="s">
        <v>74</v>
      </c>
      <c r="S697" t="s">
        <v>74</v>
      </c>
      <c r="T697" t="s">
        <v>74</v>
      </c>
      <c r="U697" t="s">
        <v>12432</v>
      </c>
      <c r="V697" t="s">
        <v>12433</v>
      </c>
      <c r="W697" t="s">
        <v>12434</v>
      </c>
      <c r="X697" t="s">
        <v>12435</v>
      </c>
      <c r="Y697" t="s">
        <v>12436</v>
      </c>
      <c r="Z697" t="s">
        <v>12437</v>
      </c>
      <c r="AA697" t="s">
        <v>12438</v>
      </c>
      <c r="AB697" t="s">
        <v>12439</v>
      </c>
      <c r="AC697" t="s">
        <v>74</v>
      </c>
      <c r="AD697" t="s">
        <v>74</v>
      </c>
      <c r="AE697" t="s">
        <v>74</v>
      </c>
      <c r="AF697" t="s">
        <v>74</v>
      </c>
      <c r="AG697">
        <v>52</v>
      </c>
      <c r="AH697">
        <v>10</v>
      </c>
      <c r="AI697">
        <v>10</v>
      </c>
      <c r="AJ697">
        <v>2</v>
      </c>
      <c r="AK697">
        <v>9</v>
      </c>
      <c r="AL697" t="s">
        <v>7730</v>
      </c>
      <c r="AM697" t="s">
        <v>7731</v>
      </c>
      <c r="AN697" t="s">
        <v>7732</v>
      </c>
      <c r="AO697" t="s">
        <v>12374</v>
      </c>
      <c r="AP697" t="s">
        <v>12375</v>
      </c>
      <c r="AQ697" t="s">
        <v>74</v>
      </c>
      <c r="AR697" t="s">
        <v>12376</v>
      </c>
      <c r="AS697" t="s">
        <v>12377</v>
      </c>
      <c r="AT697" t="s">
        <v>74</v>
      </c>
      <c r="AU697">
        <v>2009</v>
      </c>
      <c r="AV697">
        <v>9</v>
      </c>
      <c r="AW697">
        <v>5</v>
      </c>
      <c r="AX697" t="s">
        <v>74</v>
      </c>
      <c r="AY697" t="s">
        <v>74</v>
      </c>
      <c r="AZ697" t="s">
        <v>74</v>
      </c>
      <c r="BA697" t="s">
        <v>74</v>
      </c>
      <c r="BB697">
        <v>1817</v>
      </c>
      <c r="BC697">
        <v>1829</v>
      </c>
      <c r="BD697" t="s">
        <v>74</v>
      </c>
      <c r="BE697" t="s">
        <v>12440</v>
      </c>
      <c r="BF697" t="str">
        <f>HYPERLINK("http://dx.doi.org/10.5194/acp-9-1817-2009","http://dx.doi.org/10.5194/acp-9-1817-2009")</f>
        <v>http://dx.doi.org/10.5194/acp-9-1817-2009</v>
      </c>
      <c r="BG697" t="s">
        <v>74</v>
      </c>
      <c r="BH697" t="s">
        <v>74</v>
      </c>
      <c r="BI697">
        <v>13</v>
      </c>
      <c r="BJ697" t="s">
        <v>1321</v>
      </c>
      <c r="BK697" t="s">
        <v>100</v>
      </c>
      <c r="BL697" t="s">
        <v>1322</v>
      </c>
      <c r="BM697" t="s">
        <v>12441</v>
      </c>
      <c r="BN697" t="s">
        <v>74</v>
      </c>
      <c r="BO697" t="s">
        <v>12442</v>
      </c>
      <c r="BP697" t="s">
        <v>74</v>
      </c>
      <c r="BQ697" t="s">
        <v>74</v>
      </c>
      <c r="BR697" t="s">
        <v>103</v>
      </c>
      <c r="BS697" t="s">
        <v>12443</v>
      </c>
      <c r="BT697" t="str">
        <f>HYPERLINK("https%3A%2F%2Fwww.webofscience.com%2Fwos%2Fwoscc%2Ffull-record%2FWOS:000264132800019","View Full Record in Web of Science")</f>
        <v>View Full Record in Web of Science</v>
      </c>
    </row>
    <row r="698" spans="1:72" x14ac:dyDescent="0.15">
      <c r="A698" t="s">
        <v>72</v>
      </c>
      <c r="B698" t="s">
        <v>12444</v>
      </c>
      <c r="C698" t="s">
        <v>74</v>
      </c>
      <c r="D698" t="s">
        <v>74</v>
      </c>
      <c r="E698" t="s">
        <v>74</v>
      </c>
      <c r="F698" t="s">
        <v>12445</v>
      </c>
      <c r="G698" t="s">
        <v>74</v>
      </c>
      <c r="H698" t="s">
        <v>74</v>
      </c>
      <c r="I698" t="s">
        <v>12446</v>
      </c>
      <c r="J698" t="s">
        <v>12363</v>
      </c>
      <c r="K698" t="s">
        <v>74</v>
      </c>
      <c r="L698" t="s">
        <v>74</v>
      </c>
      <c r="M698" t="s">
        <v>78</v>
      </c>
      <c r="N698" t="s">
        <v>79</v>
      </c>
      <c r="O698" t="s">
        <v>74</v>
      </c>
      <c r="P698" t="s">
        <v>74</v>
      </c>
      <c r="Q698" t="s">
        <v>74</v>
      </c>
      <c r="R698" t="s">
        <v>74</v>
      </c>
      <c r="S698" t="s">
        <v>74</v>
      </c>
      <c r="T698" t="s">
        <v>74</v>
      </c>
      <c r="U698" t="s">
        <v>12447</v>
      </c>
      <c r="V698" t="s">
        <v>12448</v>
      </c>
      <c r="W698" t="s">
        <v>12449</v>
      </c>
      <c r="X698" t="s">
        <v>12450</v>
      </c>
      <c r="Y698" t="s">
        <v>12451</v>
      </c>
      <c r="Z698" t="s">
        <v>12452</v>
      </c>
      <c r="AA698" t="s">
        <v>12453</v>
      </c>
      <c r="AB698" t="s">
        <v>12454</v>
      </c>
      <c r="AC698" t="s">
        <v>12455</v>
      </c>
      <c r="AD698" t="s">
        <v>12456</v>
      </c>
      <c r="AE698" t="s">
        <v>12457</v>
      </c>
      <c r="AF698" t="s">
        <v>74</v>
      </c>
      <c r="AG698">
        <v>57</v>
      </c>
      <c r="AH698">
        <v>131</v>
      </c>
      <c r="AI698">
        <v>147</v>
      </c>
      <c r="AJ698">
        <v>4</v>
      </c>
      <c r="AK698">
        <v>100</v>
      </c>
      <c r="AL698" t="s">
        <v>7730</v>
      </c>
      <c r="AM698" t="s">
        <v>7731</v>
      </c>
      <c r="AN698" t="s">
        <v>7732</v>
      </c>
      <c r="AO698" t="s">
        <v>12374</v>
      </c>
      <c r="AP698" t="s">
        <v>12375</v>
      </c>
      <c r="AQ698" t="s">
        <v>74</v>
      </c>
      <c r="AR698" t="s">
        <v>12376</v>
      </c>
      <c r="AS698" t="s">
        <v>12377</v>
      </c>
      <c r="AT698" t="s">
        <v>74</v>
      </c>
      <c r="AU698">
        <v>2009</v>
      </c>
      <c r="AV698">
        <v>9</v>
      </c>
      <c r="AW698">
        <v>6</v>
      </c>
      <c r="AX698" t="s">
        <v>74</v>
      </c>
      <c r="AY698" t="s">
        <v>74</v>
      </c>
      <c r="AZ698" t="s">
        <v>74</v>
      </c>
      <c r="BA698" t="s">
        <v>74</v>
      </c>
      <c r="BB698">
        <v>2113</v>
      </c>
      <c r="BC698">
        <v>2128</v>
      </c>
      <c r="BD698" t="s">
        <v>74</v>
      </c>
      <c r="BE698" t="s">
        <v>12458</v>
      </c>
      <c r="BF698" t="str">
        <f>HYPERLINK("http://dx.doi.org/10.5194/acp-9-2113-2009","http://dx.doi.org/10.5194/acp-9-2113-2009")</f>
        <v>http://dx.doi.org/10.5194/acp-9-2113-2009</v>
      </c>
      <c r="BG698" t="s">
        <v>74</v>
      </c>
      <c r="BH698" t="s">
        <v>74</v>
      </c>
      <c r="BI698">
        <v>16</v>
      </c>
      <c r="BJ698" t="s">
        <v>1321</v>
      </c>
      <c r="BK698" t="s">
        <v>100</v>
      </c>
      <c r="BL698" t="s">
        <v>1322</v>
      </c>
      <c r="BM698" t="s">
        <v>12459</v>
      </c>
      <c r="BN698" t="s">
        <v>74</v>
      </c>
      <c r="BO698" t="s">
        <v>450</v>
      </c>
      <c r="BP698" t="s">
        <v>74</v>
      </c>
      <c r="BQ698" t="s">
        <v>74</v>
      </c>
      <c r="BR698" t="s">
        <v>103</v>
      </c>
      <c r="BS698" t="s">
        <v>12460</v>
      </c>
      <c r="BT698" t="str">
        <f>HYPERLINK("https%3A%2F%2Fwww.webofscience.com%2Fwos%2Fwoscc%2Ffull-record%2FWOS:000264625400020","View Full Record in Web of Science")</f>
        <v>View Full Record in Web of Science</v>
      </c>
    </row>
    <row r="699" spans="1:72" x14ac:dyDescent="0.15">
      <c r="A699" t="s">
        <v>72</v>
      </c>
      <c r="B699" t="s">
        <v>12461</v>
      </c>
      <c r="C699" t="s">
        <v>74</v>
      </c>
      <c r="D699" t="s">
        <v>74</v>
      </c>
      <c r="E699" t="s">
        <v>74</v>
      </c>
      <c r="F699" t="s">
        <v>12462</v>
      </c>
      <c r="G699" t="s">
        <v>74</v>
      </c>
      <c r="H699" t="s">
        <v>74</v>
      </c>
      <c r="I699" t="s">
        <v>12463</v>
      </c>
      <c r="J699" t="s">
        <v>12363</v>
      </c>
      <c r="K699" t="s">
        <v>74</v>
      </c>
      <c r="L699" t="s">
        <v>74</v>
      </c>
      <c r="M699" t="s">
        <v>78</v>
      </c>
      <c r="N699" t="s">
        <v>79</v>
      </c>
      <c r="O699" t="s">
        <v>74</v>
      </c>
      <c r="P699" t="s">
        <v>74</v>
      </c>
      <c r="Q699" t="s">
        <v>74</v>
      </c>
      <c r="R699" t="s">
        <v>74</v>
      </c>
      <c r="S699" t="s">
        <v>74</v>
      </c>
      <c r="T699" t="s">
        <v>74</v>
      </c>
      <c r="U699" t="s">
        <v>12464</v>
      </c>
      <c r="V699" t="s">
        <v>12465</v>
      </c>
      <c r="W699" t="s">
        <v>12466</v>
      </c>
      <c r="X699" t="s">
        <v>12467</v>
      </c>
      <c r="Y699" t="s">
        <v>12468</v>
      </c>
      <c r="Z699" t="s">
        <v>12469</v>
      </c>
      <c r="AA699" t="s">
        <v>12470</v>
      </c>
      <c r="AB699" t="s">
        <v>74</v>
      </c>
      <c r="AC699" t="s">
        <v>12471</v>
      </c>
      <c r="AD699" t="s">
        <v>12472</v>
      </c>
      <c r="AE699" t="s">
        <v>12473</v>
      </c>
      <c r="AF699" t="s">
        <v>74</v>
      </c>
      <c r="AG699">
        <v>29</v>
      </c>
      <c r="AH699">
        <v>10</v>
      </c>
      <c r="AI699">
        <v>10</v>
      </c>
      <c r="AJ699">
        <v>0</v>
      </c>
      <c r="AK699">
        <v>3</v>
      </c>
      <c r="AL699" t="s">
        <v>7730</v>
      </c>
      <c r="AM699" t="s">
        <v>7731</v>
      </c>
      <c r="AN699" t="s">
        <v>7732</v>
      </c>
      <c r="AO699" t="s">
        <v>12374</v>
      </c>
      <c r="AP699" t="s">
        <v>12375</v>
      </c>
      <c r="AQ699" t="s">
        <v>74</v>
      </c>
      <c r="AR699" t="s">
        <v>12376</v>
      </c>
      <c r="AS699" t="s">
        <v>12377</v>
      </c>
      <c r="AT699" t="s">
        <v>74</v>
      </c>
      <c r="AU699">
        <v>2009</v>
      </c>
      <c r="AV699">
        <v>9</v>
      </c>
      <c r="AW699">
        <v>7</v>
      </c>
      <c r="AX699" t="s">
        <v>74</v>
      </c>
      <c r="AY699" t="s">
        <v>74</v>
      </c>
      <c r="AZ699" t="s">
        <v>74</v>
      </c>
      <c r="BA699" t="s">
        <v>74</v>
      </c>
      <c r="BB699">
        <v>2471</v>
      </c>
      <c r="BC699">
        <v>2480</v>
      </c>
      <c r="BD699" t="s">
        <v>74</v>
      </c>
      <c r="BE699" t="s">
        <v>12474</v>
      </c>
      <c r="BF699" t="str">
        <f>HYPERLINK("http://dx.doi.org/10.5194/acp-9-2471-2009","http://dx.doi.org/10.5194/acp-9-2471-2009")</f>
        <v>http://dx.doi.org/10.5194/acp-9-2471-2009</v>
      </c>
      <c r="BG699" t="s">
        <v>74</v>
      </c>
      <c r="BH699" t="s">
        <v>74</v>
      </c>
      <c r="BI699">
        <v>10</v>
      </c>
      <c r="BJ699" t="s">
        <v>1321</v>
      </c>
      <c r="BK699" t="s">
        <v>100</v>
      </c>
      <c r="BL699" t="s">
        <v>1322</v>
      </c>
      <c r="BM699" t="s">
        <v>12475</v>
      </c>
      <c r="BN699" t="s">
        <v>74</v>
      </c>
      <c r="BO699" t="s">
        <v>11694</v>
      </c>
      <c r="BP699" t="s">
        <v>74</v>
      </c>
      <c r="BQ699" t="s">
        <v>74</v>
      </c>
      <c r="BR699" t="s">
        <v>103</v>
      </c>
      <c r="BS699" t="s">
        <v>12476</v>
      </c>
      <c r="BT699" t="str">
        <f>HYPERLINK("https%3A%2F%2Fwww.webofscience.com%2Fwos%2Fwoscc%2Ffull-record%2FWOS:000265100600013","View Full Record in Web of Science")</f>
        <v>View Full Record in Web of Science</v>
      </c>
    </row>
    <row r="700" spans="1:72" x14ac:dyDescent="0.15">
      <c r="A700" t="s">
        <v>72</v>
      </c>
      <c r="B700" t="s">
        <v>12477</v>
      </c>
      <c r="C700" t="s">
        <v>74</v>
      </c>
      <c r="D700" t="s">
        <v>74</v>
      </c>
      <c r="E700" t="s">
        <v>74</v>
      </c>
      <c r="F700" t="s">
        <v>12478</v>
      </c>
      <c r="G700" t="s">
        <v>74</v>
      </c>
      <c r="H700" t="s">
        <v>74</v>
      </c>
      <c r="I700" t="s">
        <v>12479</v>
      </c>
      <c r="J700" t="s">
        <v>12363</v>
      </c>
      <c r="K700" t="s">
        <v>74</v>
      </c>
      <c r="L700" t="s">
        <v>74</v>
      </c>
      <c r="M700" t="s">
        <v>78</v>
      </c>
      <c r="N700" t="s">
        <v>79</v>
      </c>
      <c r="O700" t="s">
        <v>74</v>
      </c>
      <c r="P700" t="s">
        <v>74</v>
      </c>
      <c r="Q700" t="s">
        <v>74</v>
      </c>
      <c r="R700" t="s">
        <v>74</v>
      </c>
      <c r="S700" t="s">
        <v>74</v>
      </c>
      <c r="T700" t="s">
        <v>74</v>
      </c>
      <c r="U700" t="s">
        <v>12480</v>
      </c>
      <c r="V700" t="s">
        <v>12481</v>
      </c>
      <c r="W700" t="s">
        <v>12482</v>
      </c>
      <c r="X700" t="s">
        <v>12483</v>
      </c>
      <c r="Y700" t="s">
        <v>12484</v>
      </c>
      <c r="Z700" t="s">
        <v>12485</v>
      </c>
      <c r="AA700" t="s">
        <v>12486</v>
      </c>
      <c r="AB700" t="s">
        <v>12487</v>
      </c>
      <c r="AC700" t="s">
        <v>12488</v>
      </c>
      <c r="AD700" t="s">
        <v>12489</v>
      </c>
      <c r="AE700" t="s">
        <v>12490</v>
      </c>
      <c r="AF700" t="s">
        <v>74</v>
      </c>
      <c r="AG700">
        <v>50</v>
      </c>
      <c r="AH700">
        <v>195</v>
      </c>
      <c r="AI700">
        <v>204</v>
      </c>
      <c r="AJ700">
        <v>5</v>
      </c>
      <c r="AK700">
        <v>36</v>
      </c>
      <c r="AL700" t="s">
        <v>7730</v>
      </c>
      <c r="AM700" t="s">
        <v>7731</v>
      </c>
      <c r="AN700" t="s">
        <v>7732</v>
      </c>
      <c r="AO700" t="s">
        <v>12374</v>
      </c>
      <c r="AP700" t="s">
        <v>12375</v>
      </c>
      <c r="AQ700" t="s">
        <v>74</v>
      </c>
      <c r="AR700" t="s">
        <v>12376</v>
      </c>
      <c r="AS700" t="s">
        <v>12377</v>
      </c>
      <c r="AT700" t="s">
        <v>74</v>
      </c>
      <c r="AU700">
        <v>2009</v>
      </c>
      <c r="AV700">
        <v>9</v>
      </c>
      <c r="AW700">
        <v>9</v>
      </c>
      <c r="AX700" t="s">
        <v>74</v>
      </c>
      <c r="AY700" t="s">
        <v>74</v>
      </c>
      <c r="AZ700" t="s">
        <v>74</v>
      </c>
      <c r="BA700" t="s">
        <v>74</v>
      </c>
      <c r="BB700">
        <v>3061</v>
      </c>
      <c r="BC700">
        <v>3073</v>
      </c>
      <c r="BD700" t="s">
        <v>74</v>
      </c>
      <c r="BE700" t="s">
        <v>12491</v>
      </c>
      <c r="BF700" t="str">
        <f>HYPERLINK("http://dx.doi.org/10.5194/acp-9-3061-2009","http://dx.doi.org/10.5194/acp-9-3061-2009")</f>
        <v>http://dx.doi.org/10.5194/acp-9-3061-2009</v>
      </c>
      <c r="BG700" t="s">
        <v>74</v>
      </c>
      <c r="BH700" t="s">
        <v>74</v>
      </c>
      <c r="BI700">
        <v>13</v>
      </c>
      <c r="BJ700" t="s">
        <v>1321</v>
      </c>
      <c r="BK700" t="s">
        <v>100</v>
      </c>
      <c r="BL700" t="s">
        <v>1322</v>
      </c>
      <c r="BM700" t="s">
        <v>12492</v>
      </c>
      <c r="BN700" t="s">
        <v>74</v>
      </c>
      <c r="BO700" t="s">
        <v>450</v>
      </c>
      <c r="BP700" t="s">
        <v>74</v>
      </c>
      <c r="BQ700" t="s">
        <v>74</v>
      </c>
      <c r="BR700" t="s">
        <v>103</v>
      </c>
      <c r="BS700" t="s">
        <v>12493</v>
      </c>
      <c r="BT700" t="str">
        <f>HYPERLINK("https%3A%2F%2Fwww.webofscience.com%2Fwos%2Fwoscc%2Ffull-record%2FWOS:000266189700013","View Full Record in Web of Science")</f>
        <v>View Full Record in Web of Science</v>
      </c>
    </row>
    <row r="701" spans="1:72" x14ac:dyDescent="0.15">
      <c r="A701" t="s">
        <v>72</v>
      </c>
      <c r="B701" t="s">
        <v>12494</v>
      </c>
      <c r="C701" t="s">
        <v>74</v>
      </c>
      <c r="D701" t="s">
        <v>74</v>
      </c>
      <c r="E701" t="s">
        <v>74</v>
      </c>
      <c r="F701" t="s">
        <v>12495</v>
      </c>
      <c r="G701" t="s">
        <v>74</v>
      </c>
      <c r="H701" t="s">
        <v>74</v>
      </c>
      <c r="I701" t="s">
        <v>12496</v>
      </c>
      <c r="J701" t="s">
        <v>12363</v>
      </c>
      <c r="K701" t="s">
        <v>74</v>
      </c>
      <c r="L701" t="s">
        <v>74</v>
      </c>
      <c r="M701" t="s">
        <v>78</v>
      </c>
      <c r="N701" t="s">
        <v>79</v>
      </c>
      <c r="O701" t="s">
        <v>74</v>
      </c>
      <c r="P701" t="s">
        <v>74</v>
      </c>
      <c r="Q701" t="s">
        <v>74</v>
      </c>
      <c r="R701" t="s">
        <v>74</v>
      </c>
      <c r="S701" t="s">
        <v>74</v>
      </c>
      <c r="T701" t="s">
        <v>74</v>
      </c>
      <c r="U701" t="s">
        <v>12497</v>
      </c>
      <c r="V701" t="s">
        <v>12498</v>
      </c>
      <c r="W701" t="s">
        <v>12499</v>
      </c>
      <c r="X701" t="s">
        <v>12500</v>
      </c>
      <c r="Y701" t="s">
        <v>12501</v>
      </c>
      <c r="Z701" t="s">
        <v>12502</v>
      </c>
      <c r="AA701" t="s">
        <v>12503</v>
      </c>
      <c r="AB701" t="s">
        <v>12504</v>
      </c>
      <c r="AC701" t="s">
        <v>12505</v>
      </c>
      <c r="AD701" t="s">
        <v>12506</v>
      </c>
      <c r="AE701" t="s">
        <v>12507</v>
      </c>
      <c r="AF701" t="s">
        <v>74</v>
      </c>
      <c r="AG701">
        <v>69</v>
      </c>
      <c r="AH701">
        <v>30</v>
      </c>
      <c r="AI701">
        <v>33</v>
      </c>
      <c r="AJ701">
        <v>2</v>
      </c>
      <c r="AK701">
        <v>21</v>
      </c>
      <c r="AL701" t="s">
        <v>7730</v>
      </c>
      <c r="AM701" t="s">
        <v>7731</v>
      </c>
      <c r="AN701" t="s">
        <v>7732</v>
      </c>
      <c r="AO701" t="s">
        <v>12374</v>
      </c>
      <c r="AP701" t="s">
        <v>12375</v>
      </c>
      <c r="AQ701" t="s">
        <v>74</v>
      </c>
      <c r="AR701" t="s">
        <v>12376</v>
      </c>
      <c r="AS701" t="s">
        <v>12377</v>
      </c>
      <c r="AT701" t="s">
        <v>74</v>
      </c>
      <c r="AU701">
        <v>2009</v>
      </c>
      <c r="AV701">
        <v>9</v>
      </c>
      <c r="AW701">
        <v>10</v>
      </c>
      <c r="AX701" t="s">
        <v>74</v>
      </c>
      <c r="AY701" t="s">
        <v>74</v>
      </c>
      <c r="AZ701" t="s">
        <v>74</v>
      </c>
      <c r="BA701" t="s">
        <v>74</v>
      </c>
      <c r="BB701">
        <v>3233</v>
      </c>
      <c r="BC701">
        <v>3252</v>
      </c>
      <c r="BD701" t="s">
        <v>74</v>
      </c>
      <c r="BE701" t="s">
        <v>12508</v>
      </c>
      <c r="BF701" t="str">
        <f>HYPERLINK("http://dx.doi.org/10.5194/acp-9-3233-2009","http://dx.doi.org/10.5194/acp-9-3233-2009")</f>
        <v>http://dx.doi.org/10.5194/acp-9-3233-2009</v>
      </c>
      <c r="BG701" t="s">
        <v>74</v>
      </c>
      <c r="BH701" t="s">
        <v>74</v>
      </c>
      <c r="BI701">
        <v>20</v>
      </c>
      <c r="BJ701" t="s">
        <v>1321</v>
      </c>
      <c r="BK701" t="s">
        <v>100</v>
      </c>
      <c r="BL701" t="s">
        <v>1322</v>
      </c>
      <c r="BM701" t="s">
        <v>12509</v>
      </c>
      <c r="BN701" t="s">
        <v>74</v>
      </c>
      <c r="BO701" t="s">
        <v>11694</v>
      </c>
      <c r="BP701" t="s">
        <v>74</v>
      </c>
      <c r="BQ701" t="s">
        <v>74</v>
      </c>
      <c r="BR701" t="s">
        <v>103</v>
      </c>
      <c r="BS701" t="s">
        <v>12510</v>
      </c>
      <c r="BT701" t="str">
        <f>HYPERLINK("https%3A%2F%2Fwww.webofscience.com%2Fwos%2Fwoscc%2Ffull-record%2FWOS:000266556000001","View Full Record in Web of Science")</f>
        <v>View Full Record in Web of Science</v>
      </c>
    </row>
    <row r="702" spans="1:72" x14ac:dyDescent="0.15">
      <c r="A702" t="s">
        <v>72</v>
      </c>
      <c r="B702" t="s">
        <v>12511</v>
      </c>
      <c r="C702" t="s">
        <v>74</v>
      </c>
      <c r="D702" t="s">
        <v>74</v>
      </c>
      <c r="E702" t="s">
        <v>74</v>
      </c>
      <c r="F702" t="s">
        <v>12512</v>
      </c>
      <c r="G702" t="s">
        <v>74</v>
      </c>
      <c r="H702" t="s">
        <v>74</v>
      </c>
      <c r="I702" t="s">
        <v>12513</v>
      </c>
      <c r="J702" t="s">
        <v>12363</v>
      </c>
      <c r="K702" t="s">
        <v>74</v>
      </c>
      <c r="L702" t="s">
        <v>74</v>
      </c>
      <c r="M702" t="s">
        <v>78</v>
      </c>
      <c r="N702" t="s">
        <v>79</v>
      </c>
      <c r="O702" t="s">
        <v>74</v>
      </c>
      <c r="P702" t="s">
        <v>74</v>
      </c>
      <c r="Q702" t="s">
        <v>74</v>
      </c>
      <c r="R702" t="s">
        <v>74</v>
      </c>
      <c r="S702" t="s">
        <v>74</v>
      </c>
      <c r="T702" t="s">
        <v>74</v>
      </c>
      <c r="U702" t="s">
        <v>12514</v>
      </c>
      <c r="V702" t="s">
        <v>12515</v>
      </c>
      <c r="W702" t="s">
        <v>12516</v>
      </c>
      <c r="X702" t="s">
        <v>12517</v>
      </c>
      <c r="Y702" t="s">
        <v>12518</v>
      </c>
      <c r="Z702" t="s">
        <v>12519</v>
      </c>
      <c r="AA702" t="s">
        <v>12520</v>
      </c>
      <c r="AB702" t="s">
        <v>5749</v>
      </c>
      <c r="AC702" t="s">
        <v>12521</v>
      </c>
      <c r="AD702" t="s">
        <v>12522</v>
      </c>
      <c r="AE702" t="s">
        <v>12523</v>
      </c>
      <c r="AF702" t="s">
        <v>74</v>
      </c>
      <c r="AG702">
        <v>45</v>
      </c>
      <c r="AH702">
        <v>17</v>
      </c>
      <c r="AI702">
        <v>18</v>
      </c>
      <c r="AJ702">
        <v>2</v>
      </c>
      <c r="AK702">
        <v>22</v>
      </c>
      <c r="AL702" t="s">
        <v>7730</v>
      </c>
      <c r="AM702" t="s">
        <v>7731</v>
      </c>
      <c r="AN702" t="s">
        <v>7732</v>
      </c>
      <c r="AO702" t="s">
        <v>12374</v>
      </c>
      <c r="AP702" t="s">
        <v>12375</v>
      </c>
      <c r="AQ702" t="s">
        <v>74</v>
      </c>
      <c r="AR702" t="s">
        <v>12376</v>
      </c>
      <c r="AS702" t="s">
        <v>12377</v>
      </c>
      <c r="AT702" t="s">
        <v>74</v>
      </c>
      <c r="AU702">
        <v>2009</v>
      </c>
      <c r="AV702">
        <v>9</v>
      </c>
      <c r="AW702">
        <v>10</v>
      </c>
      <c r="AX702" t="s">
        <v>74</v>
      </c>
      <c r="AY702" t="s">
        <v>74</v>
      </c>
      <c r="AZ702" t="s">
        <v>74</v>
      </c>
      <c r="BA702" t="s">
        <v>74</v>
      </c>
      <c r="BB702">
        <v>3261</v>
      </c>
      <c r="BC702">
        <v>3276</v>
      </c>
      <c r="BD702" t="s">
        <v>74</v>
      </c>
      <c r="BE702" t="s">
        <v>12524</v>
      </c>
      <c r="BF702" t="str">
        <f>HYPERLINK("http://dx.doi.org/10.5194/acp-9-3261-2009","http://dx.doi.org/10.5194/acp-9-3261-2009")</f>
        <v>http://dx.doi.org/10.5194/acp-9-3261-2009</v>
      </c>
      <c r="BG702" t="s">
        <v>74</v>
      </c>
      <c r="BH702" t="s">
        <v>74</v>
      </c>
      <c r="BI702">
        <v>16</v>
      </c>
      <c r="BJ702" t="s">
        <v>1321</v>
      </c>
      <c r="BK702" t="s">
        <v>100</v>
      </c>
      <c r="BL702" t="s">
        <v>1322</v>
      </c>
      <c r="BM702" t="s">
        <v>12509</v>
      </c>
      <c r="BN702" t="s">
        <v>74</v>
      </c>
      <c r="BO702" t="s">
        <v>11694</v>
      </c>
      <c r="BP702" t="s">
        <v>74</v>
      </c>
      <c r="BQ702" t="s">
        <v>74</v>
      </c>
      <c r="BR702" t="s">
        <v>103</v>
      </c>
      <c r="BS702" t="s">
        <v>12525</v>
      </c>
      <c r="BT702" t="str">
        <f>HYPERLINK("https%3A%2F%2Fwww.webofscience.com%2Fwos%2Fwoscc%2Ffull-record%2FWOS:000266556000003","View Full Record in Web of Science")</f>
        <v>View Full Record in Web of Science</v>
      </c>
    </row>
    <row r="703" spans="1:72" x14ac:dyDescent="0.15">
      <c r="A703" t="s">
        <v>72</v>
      </c>
      <c r="B703" t="s">
        <v>12526</v>
      </c>
      <c r="C703" t="s">
        <v>74</v>
      </c>
      <c r="D703" t="s">
        <v>74</v>
      </c>
      <c r="E703" t="s">
        <v>74</v>
      </c>
      <c r="F703" t="s">
        <v>12527</v>
      </c>
      <c r="G703" t="s">
        <v>74</v>
      </c>
      <c r="H703" t="s">
        <v>74</v>
      </c>
      <c r="I703" t="s">
        <v>12528</v>
      </c>
      <c r="J703" t="s">
        <v>12363</v>
      </c>
      <c r="K703" t="s">
        <v>74</v>
      </c>
      <c r="L703" t="s">
        <v>74</v>
      </c>
      <c r="M703" t="s">
        <v>78</v>
      </c>
      <c r="N703" t="s">
        <v>79</v>
      </c>
      <c r="O703" t="s">
        <v>74</v>
      </c>
      <c r="P703" t="s">
        <v>74</v>
      </c>
      <c r="Q703" t="s">
        <v>74</v>
      </c>
      <c r="R703" t="s">
        <v>74</v>
      </c>
      <c r="S703" t="s">
        <v>74</v>
      </c>
      <c r="T703" t="s">
        <v>74</v>
      </c>
      <c r="U703" t="s">
        <v>12529</v>
      </c>
      <c r="V703" t="s">
        <v>12530</v>
      </c>
      <c r="W703" t="s">
        <v>12531</v>
      </c>
      <c r="X703" t="s">
        <v>12532</v>
      </c>
      <c r="Y703" t="s">
        <v>12533</v>
      </c>
      <c r="Z703" t="s">
        <v>12534</v>
      </c>
      <c r="AA703" t="s">
        <v>12535</v>
      </c>
      <c r="AB703" t="s">
        <v>74</v>
      </c>
      <c r="AC703" t="s">
        <v>74</v>
      </c>
      <c r="AD703" t="s">
        <v>74</v>
      </c>
      <c r="AE703" t="s">
        <v>74</v>
      </c>
      <c r="AF703" t="s">
        <v>74</v>
      </c>
      <c r="AG703">
        <v>54</v>
      </c>
      <c r="AH703">
        <v>24</v>
      </c>
      <c r="AI703">
        <v>29</v>
      </c>
      <c r="AJ703">
        <v>0</v>
      </c>
      <c r="AK703">
        <v>20</v>
      </c>
      <c r="AL703" t="s">
        <v>7730</v>
      </c>
      <c r="AM703" t="s">
        <v>7731</v>
      </c>
      <c r="AN703" t="s">
        <v>7732</v>
      </c>
      <c r="AO703" t="s">
        <v>12374</v>
      </c>
      <c r="AP703" t="s">
        <v>12375</v>
      </c>
      <c r="AQ703" t="s">
        <v>74</v>
      </c>
      <c r="AR703" t="s">
        <v>12376</v>
      </c>
      <c r="AS703" t="s">
        <v>12377</v>
      </c>
      <c r="AT703" t="s">
        <v>74</v>
      </c>
      <c r="AU703">
        <v>2009</v>
      </c>
      <c r="AV703">
        <v>9</v>
      </c>
      <c r="AW703">
        <v>10</v>
      </c>
      <c r="AX703" t="s">
        <v>74</v>
      </c>
      <c r="AY703" t="s">
        <v>74</v>
      </c>
      <c r="AZ703" t="s">
        <v>74</v>
      </c>
      <c r="BA703" t="s">
        <v>74</v>
      </c>
      <c r="BB703">
        <v>3397</v>
      </c>
      <c r="BC703">
        <v>3408</v>
      </c>
      <c r="BD703" t="s">
        <v>74</v>
      </c>
      <c r="BE703" t="s">
        <v>12536</v>
      </c>
      <c r="BF703" t="str">
        <f>HYPERLINK("http://dx.doi.org/10.5194/acp-9-3397-2009","http://dx.doi.org/10.5194/acp-9-3397-2009")</f>
        <v>http://dx.doi.org/10.5194/acp-9-3397-2009</v>
      </c>
      <c r="BG703" t="s">
        <v>74</v>
      </c>
      <c r="BH703" t="s">
        <v>74</v>
      </c>
      <c r="BI703">
        <v>12</v>
      </c>
      <c r="BJ703" t="s">
        <v>1321</v>
      </c>
      <c r="BK703" t="s">
        <v>100</v>
      </c>
      <c r="BL703" t="s">
        <v>1322</v>
      </c>
      <c r="BM703" t="s">
        <v>12509</v>
      </c>
      <c r="BN703" t="s">
        <v>74</v>
      </c>
      <c r="BO703" t="s">
        <v>450</v>
      </c>
      <c r="BP703" t="s">
        <v>74</v>
      </c>
      <c r="BQ703" t="s">
        <v>74</v>
      </c>
      <c r="BR703" t="s">
        <v>103</v>
      </c>
      <c r="BS703" t="s">
        <v>12537</v>
      </c>
      <c r="BT703" t="str">
        <f>HYPERLINK("https%3A%2F%2Fwww.webofscience.com%2Fwos%2Fwoscc%2Ffull-record%2FWOS:000266556000012","View Full Record in Web of Science")</f>
        <v>View Full Record in Web of Science</v>
      </c>
    </row>
    <row r="704" spans="1:72" x14ac:dyDescent="0.15">
      <c r="A704" t="s">
        <v>72</v>
      </c>
      <c r="B704" t="s">
        <v>12538</v>
      </c>
      <c r="C704" t="s">
        <v>74</v>
      </c>
      <c r="D704" t="s">
        <v>74</v>
      </c>
      <c r="E704" t="s">
        <v>74</v>
      </c>
      <c r="F704" t="s">
        <v>12539</v>
      </c>
      <c r="G704" t="s">
        <v>74</v>
      </c>
      <c r="H704" t="s">
        <v>74</v>
      </c>
      <c r="I704" t="s">
        <v>12540</v>
      </c>
      <c r="J704" t="s">
        <v>12363</v>
      </c>
      <c r="K704" t="s">
        <v>74</v>
      </c>
      <c r="L704" t="s">
        <v>74</v>
      </c>
      <c r="M704" t="s">
        <v>78</v>
      </c>
      <c r="N704" t="s">
        <v>79</v>
      </c>
      <c r="O704" t="s">
        <v>74</v>
      </c>
      <c r="P704" t="s">
        <v>74</v>
      </c>
      <c r="Q704" t="s">
        <v>74</v>
      </c>
      <c r="R704" t="s">
        <v>74</v>
      </c>
      <c r="S704" t="s">
        <v>74</v>
      </c>
      <c r="T704" t="s">
        <v>74</v>
      </c>
      <c r="U704" t="s">
        <v>12541</v>
      </c>
      <c r="V704" t="s">
        <v>12542</v>
      </c>
      <c r="W704" t="s">
        <v>12543</v>
      </c>
      <c r="X704" t="s">
        <v>824</v>
      </c>
      <c r="Y704" t="s">
        <v>12544</v>
      </c>
      <c r="Z704" t="s">
        <v>12545</v>
      </c>
      <c r="AA704" t="s">
        <v>74</v>
      </c>
      <c r="AB704" t="s">
        <v>74</v>
      </c>
      <c r="AC704" t="s">
        <v>12546</v>
      </c>
      <c r="AD704" t="s">
        <v>12547</v>
      </c>
      <c r="AE704" t="s">
        <v>12548</v>
      </c>
      <c r="AF704" t="s">
        <v>74</v>
      </c>
      <c r="AG704">
        <v>24</v>
      </c>
      <c r="AH704">
        <v>14</v>
      </c>
      <c r="AI704">
        <v>14</v>
      </c>
      <c r="AJ704">
        <v>0</v>
      </c>
      <c r="AK704">
        <v>6</v>
      </c>
      <c r="AL704" t="s">
        <v>7730</v>
      </c>
      <c r="AM704" t="s">
        <v>7731</v>
      </c>
      <c r="AN704" t="s">
        <v>7732</v>
      </c>
      <c r="AO704" t="s">
        <v>12374</v>
      </c>
      <c r="AP704" t="s">
        <v>12375</v>
      </c>
      <c r="AQ704" t="s">
        <v>74</v>
      </c>
      <c r="AR704" t="s">
        <v>12376</v>
      </c>
      <c r="AS704" t="s">
        <v>12377</v>
      </c>
      <c r="AT704" t="s">
        <v>74</v>
      </c>
      <c r="AU704">
        <v>2009</v>
      </c>
      <c r="AV704">
        <v>9</v>
      </c>
      <c r="AW704">
        <v>11</v>
      </c>
      <c r="AX704" t="s">
        <v>74</v>
      </c>
      <c r="AY704" t="s">
        <v>74</v>
      </c>
      <c r="AZ704" t="s">
        <v>74</v>
      </c>
      <c r="BA704" t="s">
        <v>74</v>
      </c>
      <c r="BB704">
        <v>3601</v>
      </c>
      <c r="BC704">
        <v>3612</v>
      </c>
      <c r="BD704" t="s">
        <v>74</v>
      </c>
      <c r="BE704" t="s">
        <v>12549</v>
      </c>
      <c r="BF704" t="str">
        <f>HYPERLINK("http://dx.doi.org/10.5194/acp-9-3601-2009","http://dx.doi.org/10.5194/acp-9-3601-2009")</f>
        <v>http://dx.doi.org/10.5194/acp-9-3601-2009</v>
      </c>
      <c r="BG704" t="s">
        <v>74</v>
      </c>
      <c r="BH704" t="s">
        <v>74</v>
      </c>
      <c r="BI704">
        <v>12</v>
      </c>
      <c r="BJ704" t="s">
        <v>1321</v>
      </c>
      <c r="BK704" t="s">
        <v>100</v>
      </c>
      <c r="BL704" t="s">
        <v>1322</v>
      </c>
      <c r="BM704" t="s">
        <v>12550</v>
      </c>
      <c r="BN704" t="s">
        <v>74</v>
      </c>
      <c r="BO704" t="s">
        <v>11574</v>
      </c>
      <c r="BP704" t="s">
        <v>74</v>
      </c>
      <c r="BQ704" t="s">
        <v>74</v>
      </c>
      <c r="BR704" t="s">
        <v>103</v>
      </c>
      <c r="BS704" t="s">
        <v>12551</v>
      </c>
      <c r="BT704" t="str">
        <f>HYPERLINK("https%3A%2F%2Fwww.webofscience.com%2Fwos%2Fwoscc%2Ffull-record%2FWOS:000266968200008","View Full Record in Web of Science")</f>
        <v>View Full Record in Web of Science</v>
      </c>
    </row>
    <row r="705" spans="1:72" x14ac:dyDescent="0.15">
      <c r="A705" t="s">
        <v>72</v>
      </c>
      <c r="B705" t="s">
        <v>12552</v>
      </c>
      <c r="C705" t="s">
        <v>74</v>
      </c>
      <c r="D705" t="s">
        <v>74</v>
      </c>
      <c r="E705" t="s">
        <v>74</v>
      </c>
      <c r="F705" t="s">
        <v>12553</v>
      </c>
      <c r="G705" t="s">
        <v>74</v>
      </c>
      <c r="H705" t="s">
        <v>74</v>
      </c>
      <c r="I705" t="s">
        <v>12554</v>
      </c>
      <c r="J705" t="s">
        <v>12363</v>
      </c>
      <c r="K705" t="s">
        <v>74</v>
      </c>
      <c r="L705" t="s">
        <v>74</v>
      </c>
      <c r="M705" t="s">
        <v>78</v>
      </c>
      <c r="N705" t="s">
        <v>79</v>
      </c>
      <c r="O705" t="s">
        <v>74</v>
      </c>
      <c r="P705" t="s">
        <v>74</v>
      </c>
      <c r="Q705" t="s">
        <v>74</v>
      </c>
      <c r="R705" t="s">
        <v>74</v>
      </c>
      <c r="S705" t="s">
        <v>74</v>
      </c>
      <c r="T705" t="s">
        <v>74</v>
      </c>
      <c r="U705" t="s">
        <v>12555</v>
      </c>
      <c r="V705" t="s">
        <v>12556</v>
      </c>
      <c r="W705" t="s">
        <v>12557</v>
      </c>
      <c r="X705" t="s">
        <v>12558</v>
      </c>
      <c r="Y705" t="s">
        <v>12559</v>
      </c>
      <c r="Z705" t="s">
        <v>12560</v>
      </c>
      <c r="AA705" t="s">
        <v>12561</v>
      </c>
      <c r="AB705" t="s">
        <v>12562</v>
      </c>
      <c r="AC705" t="s">
        <v>12563</v>
      </c>
      <c r="AD705" t="s">
        <v>12564</v>
      </c>
      <c r="AE705" t="s">
        <v>12565</v>
      </c>
      <c r="AF705" t="s">
        <v>74</v>
      </c>
      <c r="AG705">
        <v>62</v>
      </c>
      <c r="AH705">
        <v>35</v>
      </c>
      <c r="AI705">
        <v>39</v>
      </c>
      <c r="AJ705">
        <v>2</v>
      </c>
      <c r="AK705">
        <v>24</v>
      </c>
      <c r="AL705" t="s">
        <v>7730</v>
      </c>
      <c r="AM705" t="s">
        <v>7731</v>
      </c>
      <c r="AN705" t="s">
        <v>7732</v>
      </c>
      <c r="AO705" t="s">
        <v>12374</v>
      </c>
      <c r="AP705" t="s">
        <v>12375</v>
      </c>
      <c r="AQ705" t="s">
        <v>74</v>
      </c>
      <c r="AR705" t="s">
        <v>12376</v>
      </c>
      <c r="AS705" t="s">
        <v>12377</v>
      </c>
      <c r="AT705" t="s">
        <v>74</v>
      </c>
      <c r="AU705">
        <v>2009</v>
      </c>
      <c r="AV705">
        <v>9</v>
      </c>
      <c r="AW705">
        <v>12</v>
      </c>
      <c r="AX705" t="s">
        <v>74</v>
      </c>
      <c r="AY705" t="s">
        <v>74</v>
      </c>
      <c r="AZ705" t="s">
        <v>74</v>
      </c>
      <c r="BA705" t="s">
        <v>74</v>
      </c>
      <c r="BB705">
        <v>3911</v>
      </c>
      <c r="BC705">
        <v>3934</v>
      </c>
      <c r="BD705" t="s">
        <v>74</v>
      </c>
      <c r="BE705" t="s">
        <v>12566</v>
      </c>
      <c r="BF705" t="str">
        <f>HYPERLINK("http://dx.doi.org/10.5194/acp-9-3911-2009","http://dx.doi.org/10.5194/acp-9-3911-2009")</f>
        <v>http://dx.doi.org/10.5194/acp-9-3911-2009</v>
      </c>
      <c r="BG705" t="s">
        <v>74</v>
      </c>
      <c r="BH705" t="s">
        <v>74</v>
      </c>
      <c r="BI705">
        <v>24</v>
      </c>
      <c r="BJ705" t="s">
        <v>1321</v>
      </c>
      <c r="BK705" t="s">
        <v>100</v>
      </c>
      <c r="BL705" t="s">
        <v>1322</v>
      </c>
      <c r="BM705" t="s">
        <v>12567</v>
      </c>
      <c r="BN705" t="s">
        <v>74</v>
      </c>
      <c r="BO705" t="s">
        <v>450</v>
      </c>
      <c r="BP705" t="s">
        <v>74</v>
      </c>
      <c r="BQ705" t="s">
        <v>74</v>
      </c>
      <c r="BR705" t="s">
        <v>103</v>
      </c>
      <c r="BS705" t="s">
        <v>12568</v>
      </c>
      <c r="BT705" t="str">
        <f>HYPERLINK("https%3A%2F%2Fwww.webofscience.com%2Fwos%2Fwoscc%2Ffull-record%2FWOS:000267324700006","View Full Record in Web of Science")</f>
        <v>View Full Record in Web of Science</v>
      </c>
    </row>
    <row r="706" spans="1:72" x14ac:dyDescent="0.15">
      <c r="A706" t="s">
        <v>72</v>
      </c>
      <c r="B706" t="s">
        <v>12569</v>
      </c>
      <c r="C706" t="s">
        <v>74</v>
      </c>
      <c r="D706" t="s">
        <v>74</v>
      </c>
      <c r="E706" t="s">
        <v>74</v>
      </c>
      <c r="F706" t="s">
        <v>12570</v>
      </c>
      <c r="G706" t="s">
        <v>74</v>
      </c>
      <c r="H706" t="s">
        <v>74</v>
      </c>
      <c r="I706" t="s">
        <v>12571</v>
      </c>
      <c r="J706" t="s">
        <v>12363</v>
      </c>
      <c r="K706" t="s">
        <v>74</v>
      </c>
      <c r="L706" t="s">
        <v>74</v>
      </c>
      <c r="M706" t="s">
        <v>78</v>
      </c>
      <c r="N706" t="s">
        <v>79</v>
      </c>
      <c r="O706" t="s">
        <v>74</v>
      </c>
      <c r="P706" t="s">
        <v>74</v>
      </c>
      <c r="Q706" t="s">
        <v>74</v>
      </c>
      <c r="R706" t="s">
        <v>74</v>
      </c>
      <c r="S706" t="s">
        <v>74</v>
      </c>
      <c r="T706" t="s">
        <v>74</v>
      </c>
      <c r="U706" t="s">
        <v>12572</v>
      </c>
      <c r="V706" t="s">
        <v>12573</v>
      </c>
      <c r="W706" t="s">
        <v>12574</v>
      </c>
      <c r="X706" t="s">
        <v>12575</v>
      </c>
      <c r="Y706" t="s">
        <v>12576</v>
      </c>
      <c r="Z706" t="s">
        <v>12577</v>
      </c>
      <c r="AA706" t="s">
        <v>12578</v>
      </c>
      <c r="AB706" t="s">
        <v>12579</v>
      </c>
      <c r="AC706" t="s">
        <v>12580</v>
      </c>
      <c r="AD706" t="s">
        <v>12581</v>
      </c>
      <c r="AE706" t="s">
        <v>12582</v>
      </c>
      <c r="AF706" t="s">
        <v>74</v>
      </c>
      <c r="AG706">
        <v>40</v>
      </c>
      <c r="AH706">
        <v>42</v>
      </c>
      <c r="AI706">
        <v>46</v>
      </c>
      <c r="AJ706">
        <v>1</v>
      </c>
      <c r="AK706">
        <v>16</v>
      </c>
      <c r="AL706" t="s">
        <v>7730</v>
      </c>
      <c r="AM706" t="s">
        <v>7731</v>
      </c>
      <c r="AN706" t="s">
        <v>7732</v>
      </c>
      <c r="AO706" t="s">
        <v>12374</v>
      </c>
      <c r="AP706" t="s">
        <v>12375</v>
      </c>
      <c r="AQ706" t="s">
        <v>74</v>
      </c>
      <c r="AR706" t="s">
        <v>12376</v>
      </c>
      <c r="AS706" t="s">
        <v>12377</v>
      </c>
      <c r="AT706" t="s">
        <v>74</v>
      </c>
      <c r="AU706">
        <v>2009</v>
      </c>
      <c r="AV706">
        <v>9</v>
      </c>
      <c r="AW706">
        <v>13</v>
      </c>
      <c r="AX706" t="s">
        <v>74</v>
      </c>
      <c r="AY706" t="s">
        <v>74</v>
      </c>
      <c r="AZ706" t="s">
        <v>74</v>
      </c>
      <c r="BA706" t="s">
        <v>74</v>
      </c>
      <c r="BB706">
        <v>4329</v>
      </c>
      <c r="BC706">
        <v>4340</v>
      </c>
      <c r="BD706" t="s">
        <v>74</v>
      </c>
      <c r="BE706" t="s">
        <v>12583</v>
      </c>
      <c r="BF706" t="str">
        <f>HYPERLINK("http://dx.doi.org/10.5194/acp-9-4329-2009","http://dx.doi.org/10.5194/acp-9-4329-2009")</f>
        <v>http://dx.doi.org/10.5194/acp-9-4329-2009</v>
      </c>
      <c r="BG706" t="s">
        <v>74</v>
      </c>
      <c r="BH706" t="s">
        <v>74</v>
      </c>
      <c r="BI706">
        <v>12</v>
      </c>
      <c r="BJ706" t="s">
        <v>1321</v>
      </c>
      <c r="BK706" t="s">
        <v>100</v>
      </c>
      <c r="BL706" t="s">
        <v>1322</v>
      </c>
      <c r="BM706" t="s">
        <v>12584</v>
      </c>
      <c r="BN706" t="s">
        <v>74</v>
      </c>
      <c r="BO706" t="s">
        <v>450</v>
      </c>
      <c r="BP706" t="s">
        <v>74</v>
      </c>
      <c r="BQ706" t="s">
        <v>74</v>
      </c>
      <c r="BR706" t="s">
        <v>103</v>
      </c>
      <c r="BS706" t="s">
        <v>12585</v>
      </c>
      <c r="BT706" t="str">
        <f>HYPERLINK("https%3A%2F%2Fwww.webofscience.com%2Fwos%2Fwoscc%2Ffull-record%2FWOS:000267984400010","View Full Record in Web of Science")</f>
        <v>View Full Record in Web of Science</v>
      </c>
    </row>
    <row r="707" spans="1:72" x14ac:dyDescent="0.15">
      <c r="A707" t="s">
        <v>72</v>
      </c>
      <c r="B707" t="s">
        <v>12586</v>
      </c>
      <c r="C707" t="s">
        <v>74</v>
      </c>
      <c r="D707" t="s">
        <v>74</v>
      </c>
      <c r="E707" t="s">
        <v>74</v>
      </c>
      <c r="F707" t="s">
        <v>12587</v>
      </c>
      <c r="G707" t="s">
        <v>74</v>
      </c>
      <c r="H707" t="s">
        <v>74</v>
      </c>
      <c r="I707" t="s">
        <v>12588</v>
      </c>
      <c r="J707" t="s">
        <v>12363</v>
      </c>
      <c r="K707" t="s">
        <v>74</v>
      </c>
      <c r="L707" t="s">
        <v>74</v>
      </c>
      <c r="M707" t="s">
        <v>78</v>
      </c>
      <c r="N707" t="s">
        <v>79</v>
      </c>
      <c r="O707" t="s">
        <v>74</v>
      </c>
      <c r="P707" t="s">
        <v>74</v>
      </c>
      <c r="Q707" t="s">
        <v>74</v>
      </c>
      <c r="R707" t="s">
        <v>74</v>
      </c>
      <c r="S707" t="s">
        <v>74</v>
      </c>
      <c r="T707" t="s">
        <v>74</v>
      </c>
      <c r="U707" t="s">
        <v>12589</v>
      </c>
      <c r="V707" t="s">
        <v>12590</v>
      </c>
      <c r="W707" t="s">
        <v>12591</v>
      </c>
      <c r="X707" t="s">
        <v>12592</v>
      </c>
      <c r="Y707" t="s">
        <v>12593</v>
      </c>
      <c r="Z707" t="s">
        <v>12594</v>
      </c>
      <c r="AA707" t="s">
        <v>12595</v>
      </c>
      <c r="AB707" t="s">
        <v>12596</v>
      </c>
      <c r="AC707" t="s">
        <v>12597</v>
      </c>
      <c r="AD707" t="s">
        <v>12598</v>
      </c>
      <c r="AE707" t="s">
        <v>12599</v>
      </c>
      <c r="AF707" t="s">
        <v>74</v>
      </c>
      <c r="AG707">
        <v>44</v>
      </c>
      <c r="AH707">
        <v>73</v>
      </c>
      <c r="AI707">
        <v>96</v>
      </c>
      <c r="AJ707">
        <v>0</v>
      </c>
      <c r="AK707">
        <v>22</v>
      </c>
      <c r="AL707" t="s">
        <v>7730</v>
      </c>
      <c r="AM707" t="s">
        <v>7731</v>
      </c>
      <c r="AN707" t="s">
        <v>7732</v>
      </c>
      <c r="AO707" t="s">
        <v>12374</v>
      </c>
      <c r="AP707" t="s">
        <v>12375</v>
      </c>
      <c r="AQ707" t="s">
        <v>74</v>
      </c>
      <c r="AR707" t="s">
        <v>12376</v>
      </c>
      <c r="AS707" t="s">
        <v>12377</v>
      </c>
      <c r="AT707" t="s">
        <v>74</v>
      </c>
      <c r="AU707">
        <v>2009</v>
      </c>
      <c r="AV707">
        <v>9</v>
      </c>
      <c r="AW707">
        <v>14</v>
      </c>
      <c r="AX707" t="s">
        <v>74</v>
      </c>
      <c r="AY707" t="s">
        <v>74</v>
      </c>
      <c r="AZ707" t="s">
        <v>74</v>
      </c>
      <c r="BA707" t="s">
        <v>74</v>
      </c>
      <c r="BB707">
        <v>4639</v>
      </c>
      <c r="BC707">
        <v>4652</v>
      </c>
      <c r="BD707" t="s">
        <v>74</v>
      </c>
      <c r="BE707" t="s">
        <v>12600</v>
      </c>
      <c r="BF707" t="str">
        <f>HYPERLINK("http://dx.doi.org/10.5194/acp-9-4639-2009","http://dx.doi.org/10.5194/acp-9-4639-2009")</f>
        <v>http://dx.doi.org/10.5194/acp-9-4639-2009</v>
      </c>
      <c r="BG707" t="s">
        <v>74</v>
      </c>
      <c r="BH707" t="s">
        <v>74</v>
      </c>
      <c r="BI707">
        <v>14</v>
      </c>
      <c r="BJ707" t="s">
        <v>1321</v>
      </c>
      <c r="BK707" t="s">
        <v>100</v>
      </c>
      <c r="BL707" t="s">
        <v>1322</v>
      </c>
      <c r="BM707" t="s">
        <v>12601</v>
      </c>
      <c r="BN707" t="s">
        <v>74</v>
      </c>
      <c r="BO707" t="s">
        <v>450</v>
      </c>
      <c r="BP707" t="s">
        <v>74</v>
      </c>
      <c r="BQ707" t="s">
        <v>74</v>
      </c>
      <c r="BR707" t="s">
        <v>103</v>
      </c>
      <c r="BS707" t="s">
        <v>12602</v>
      </c>
      <c r="BT707" t="str">
        <f>HYPERLINK("https%3A%2F%2Fwww.webofscience.com%2Fwos%2Fwoscc%2Ffull-record%2FWOS:000268535500009","View Full Record in Web of Science")</f>
        <v>View Full Record in Web of Science</v>
      </c>
    </row>
    <row r="708" spans="1:72" x14ac:dyDescent="0.15">
      <c r="A708" t="s">
        <v>72</v>
      </c>
      <c r="B708" t="s">
        <v>12603</v>
      </c>
      <c r="C708" t="s">
        <v>74</v>
      </c>
      <c r="D708" t="s">
        <v>74</v>
      </c>
      <c r="E708" t="s">
        <v>74</v>
      </c>
      <c r="F708" t="s">
        <v>12604</v>
      </c>
      <c r="G708" t="s">
        <v>74</v>
      </c>
      <c r="H708" t="s">
        <v>74</v>
      </c>
      <c r="I708" t="s">
        <v>12605</v>
      </c>
      <c r="J708" t="s">
        <v>12363</v>
      </c>
      <c r="K708" t="s">
        <v>74</v>
      </c>
      <c r="L708" t="s">
        <v>74</v>
      </c>
      <c r="M708" t="s">
        <v>78</v>
      </c>
      <c r="N708" t="s">
        <v>172</v>
      </c>
      <c r="O708" t="s">
        <v>74</v>
      </c>
      <c r="P708" t="s">
        <v>74</v>
      </c>
      <c r="Q708" t="s">
        <v>74</v>
      </c>
      <c r="R708" t="s">
        <v>74</v>
      </c>
      <c r="S708" t="s">
        <v>74</v>
      </c>
      <c r="T708" t="s">
        <v>74</v>
      </c>
      <c r="U708" t="s">
        <v>12606</v>
      </c>
      <c r="V708" t="s">
        <v>12607</v>
      </c>
      <c r="W708" t="s">
        <v>12608</v>
      </c>
      <c r="X708" t="s">
        <v>12609</v>
      </c>
      <c r="Y708" t="s">
        <v>12610</v>
      </c>
      <c r="Z708" t="s">
        <v>12611</v>
      </c>
      <c r="AA708" t="s">
        <v>12612</v>
      </c>
      <c r="AB708" t="s">
        <v>12613</v>
      </c>
      <c r="AC708" t="s">
        <v>12614</v>
      </c>
      <c r="AD708" t="s">
        <v>12615</v>
      </c>
      <c r="AE708" t="s">
        <v>12616</v>
      </c>
      <c r="AF708" t="s">
        <v>74</v>
      </c>
      <c r="AG708">
        <v>106</v>
      </c>
      <c r="AH708">
        <v>205</v>
      </c>
      <c r="AI708">
        <v>238</v>
      </c>
      <c r="AJ708">
        <v>8</v>
      </c>
      <c r="AK708">
        <v>117</v>
      </c>
      <c r="AL708" t="s">
        <v>7730</v>
      </c>
      <c r="AM708" t="s">
        <v>7731</v>
      </c>
      <c r="AN708" t="s">
        <v>7732</v>
      </c>
      <c r="AO708" t="s">
        <v>12374</v>
      </c>
      <c r="AP708" t="s">
        <v>12375</v>
      </c>
      <c r="AQ708" t="s">
        <v>74</v>
      </c>
      <c r="AR708" t="s">
        <v>12376</v>
      </c>
      <c r="AS708" t="s">
        <v>12377</v>
      </c>
      <c r="AT708" t="s">
        <v>74</v>
      </c>
      <c r="AU708">
        <v>2009</v>
      </c>
      <c r="AV708">
        <v>9</v>
      </c>
      <c r="AW708">
        <v>14</v>
      </c>
      <c r="AX708" t="s">
        <v>74</v>
      </c>
      <c r="AY708" t="s">
        <v>74</v>
      </c>
      <c r="AZ708" t="s">
        <v>74</v>
      </c>
      <c r="BA708" t="s">
        <v>74</v>
      </c>
      <c r="BB708">
        <v>5043</v>
      </c>
      <c r="BC708">
        <v>5056</v>
      </c>
      <c r="BD708" t="s">
        <v>74</v>
      </c>
      <c r="BE708" t="s">
        <v>12617</v>
      </c>
      <c r="BF708" t="str">
        <f>HYPERLINK("http://dx.doi.org/10.5194/acp-9-5043-2009","http://dx.doi.org/10.5194/acp-9-5043-2009")</f>
        <v>http://dx.doi.org/10.5194/acp-9-5043-2009</v>
      </c>
      <c r="BG708" t="s">
        <v>74</v>
      </c>
      <c r="BH708" t="s">
        <v>74</v>
      </c>
      <c r="BI708">
        <v>14</v>
      </c>
      <c r="BJ708" t="s">
        <v>1321</v>
      </c>
      <c r="BK708" t="s">
        <v>100</v>
      </c>
      <c r="BL708" t="s">
        <v>1322</v>
      </c>
      <c r="BM708" t="s">
        <v>12601</v>
      </c>
      <c r="BN708" t="s">
        <v>74</v>
      </c>
      <c r="BO708" t="s">
        <v>450</v>
      </c>
      <c r="BP708" t="s">
        <v>74</v>
      </c>
      <c r="BQ708" t="s">
        <v>74</v>
      </c>
      <c r="BR708" t="s">
        <v>103</v>
      </c>
      <c r="BS708" t="s">
        <v>12618</v>
      </c>
      <c r="BT708" t="str">
        <f>HYPERLINK("https%3A%2F%2Fwww.webofscience.com%2Fwos%2Fwoscc%2Ffull-record%2FWOS:000268535500033","View Full Record in Web of Science")</f>
        <v>View Full Record in Web of Science</v>
      </c>
    </row>
    <row r="709" spans="1:72" x14ac:dyDescent="0.15">
      <c r="A709" t="s">
        <v>72</v>
      </c>
      <c r="B709" t="s">
        <v>12619</v>
      </c>
      <c r="C709" t="s">
        <v>74</v>
      </c>
      <c r="D709" t="s">
        <v>74</v>
      </c>
      <c r="E709" t="s">
        <v>74</v>
      </c>
      <c r="F709" t="s">
        <v>12620</v>
      </c>
      <c r="G709" t="s">
        <v>74</v>
      </c>
      <c r="H709" t="s">
        <v>74</v>
      </c>
      <c r="I709" t="s">
        <v>12621</v>
      </c>
      <c r="J709" t="s">
        <v>12363</v>
      </c>
      <c r="K709" t="s">
        <v>74</v>
      </c>
      <c r="L709" t="s">
        <v>74</v>
      </c>
      <c r="M709" t="s">
        <v>78</v>
      </c>
      <c r="N709" t="s">
        <v>79</v>
      </c>
      <c r="O709" t="s">
        <v>74</v>
      </c>
      <c r="P709" t="s">
        <v>74</v>
      </c>
      <c r="Q709" t="s">
        <v>74</v>
      </c>
      <c r="R709" t="s">
        <v>74</v>
      </c>
      <c r="S709" t="s">
        <v>74</v>
      </c>
      <c r="T709" t="s">
        <v>74</v>
      </c>
      <c r="U709" t="s">
        <v>12622</v>
      </c>
      <c r="V709" t="s">
        <v>12623</v>
      </c>
      <c r="W709" t="s">
        <v>12624</v>
      </c>
      <c r="X709" t="s">
        <v>8227</v>
      </c>
      <c r="Y709" t="s">
        <v>12625</v>
      </c>
      <c r="Z709" t="s">
        <v>12626</v>
      </c>
      <c r="AA709" t="s">
        <v>74</v>
      </c>
      <c r="AB709" t="s">
        <v>74</v>
      </c>
      <c r="AC709" t="s">
        <v>12627</v>
      </c>
      <c r="AD709" t="s">
        <v>2716</v>
      </c>
      <c r="AE709" t="s">
        <v>12628</v>
      </c>
      <c r="AF709" t="s">
        <v>74</v>
      </c>
      <c r="AG709">
        <v>17</v>
      </c>
      <c r="AH709">
        <v>3</v>
      </c>
      <c r="AI709">
        <v>3</v>
      </c>
      <c r="AJ709">
        <v>0</v>
      </c>
      <c r="AK709">
        <v>4</v>
      </c>
      <c r="AL709" t="s">
        <v>11640</v>
      </c>
      <c r="AM709" t="s">
        <v>11641</v>
      </c>
      <c r="AN709" t="s">
        <v>11642</v>
      </c>
      <c r="AO709" t="s">
        <v>12374</v>
      </c>
      <c r="AP709" t="s">
        <v>74</v>
      </c>
      <c r="AQ709" t="s">
        <v>74</v>
      </c>
      <c r="AR709" t="s">
        <v>12376</v>
      </c>
      <c r="AS709" t="s">
        <v>12377</v>
      </c>
      <c r="AT709" t="s">
        <v>74</v>
      </c>
      <c r="AU709">
        <v>2009</v>
      </c>
      <c r="AV709">
        <v>9</v>
      </c>
      <c r="AW709">
        <v>15</v>
      </c>
      <c r="AX709" t="s">
        <v>74</v>
      </c>
      <c r="AY709" t="s">
        <v>74</v>
      </c>
      <c r="AZ709" t="s">
        <v>74</v>
      </c>
      <c r="BA709" t="s">
        <v>74</v>
      </c>
      <c r="BB709">
        <v>5403</v>
      </c>
      <c r="BC709">
        <v>5416</v>
      </c>
      <c r="BD709" t="s">
        <v>74</v>
      </c>
      <c r="BE709" t="s">
        <v>12629</v>
      </c>
      <c r="BF709" t="str">
        <f>HYPERLINK("http://dx.doi.org/10.5194/acp-9-5403-2009","http://dx.doi.org/10.5194/acp-9-5403-2009")</f>
        <v>http://dx.doi.org/10.5194/acp-9-5403-2009</v>
      </c>
      <c r="BG709" t="s">
        <v>74</v>
      </c>
      <c r="BH709" t="s">
        <v>74</v>
      </c>
      <c r="BI709">
        <v>14</v>
      </c>
      <c r="BJ709" t="s">
        <v>1321</v>
      </c>
      <c r="BK709" t="s">
        <v>100</v>
      </c>
      <c r="BL709" t="s">
        <v>1322</v>
      </c>
      <c r="BM709" t="s">
        <v>12630</v>
      </c>
      <c r="BN709" t="s">
        <v>74</v>
      </c>
      <c r="BO709" t="s">
        <v>11694</v>
      </c>
      <c r="BP709" t="s">
        <v>74</v>
      </c>
      <c r="BQ709" t="s">
        <v>74</v>
      </c>
      <c r="BR709" t="s">
        <v>103</v>
      </c>
      <c r="BS709" t="s">
        <v>12631</v>
      </c>
      <c r="BT709" t="str">
        <f>HYPERLINK("https%3A%2F%2Fwww.webofscience.com%2Fwos%2Fwoscc%2Ffull-record%2FWOS:000268876600002","View Full Record in Web of Science")</f>
        <v>View Full Record in Web of Science</v>
      </c>
    </row>
    <row r="710" spans="1:72" x14ac:dyDescent="0.15">
      <c r="A710" t="s">
        <v>72</v>
      </c>
      <c r="B710" t="s">
        <v>12632</v>
      </c>
      <c r="C710" t="s">
        <v>74</v>
      </c>
      <c r="D710" t="s">
        <v>74</v>
      </c>
      <c r="E710" t="s">
        <v>74</v>
      </c>
      <c r="F710" t="s">
        <v>12633</v>
      </c>
      <c r="G710" t="s">
        <v>74</v>
      </c>
      <c r="H710" t="s">
        <v>74</v>
      </c>
      <c r="I710" t="s">
        <v>12634</v>
      </c>
      <c r="J710" t="s">
        <v>12363</v>
      </c>
      <c r="K710" t="s">
        <v>74</v>
      </c>
      <c r="L710" t="s">
        <v>74</v>
      </c>
      <c r="M710" t="s">
        <v>78</v>
      </c>
      <c r="N710" t="s">
        <v>79</v>
      </c>
      <c r="O710" t="s">
        <v>74</v>
      </c>
      <c r="P710" t="s">
        <v>74</v>
      </c>
      <c r="Q710" t="s">
        <v>74</v>
      </c>
      <c r="R710" t="s">
        <v>74</v>
      </c>
      <c r="S710" t="s">
        <v>74</v>
      </c>
      <c r="T710" t="s">
        <v>74</v>
      </c>
      <c r="U710" t="s">
        <v>12635</v>
      </c>
      <c r="V710" t="s">
        <v>12636</v>
      </c>
      <c r="W710" t="s">
        <v>12637</v>
      </c>
      <c r="X710" t="s">
        <v>12638</v>
      </c>
      <c r="Y710" t="s">
        <v>12639</v>
      </c>
      <c r="Z710" t="s">
        <v>12640</v>
      </c>
      <c r="AA710" t="s">
        <v>12641</v>
      </c>
      <c r="AB710" t="s">
        <v>12642</v>
      </c>
      <c r="AC710" t="s">
        <v>12643</v>
      </c>
      <c r="AD710" t="s">
        <v>12644</v>
      </c>
      <c r="AE710" t="s">
        <v>12645</v>
      </c>
      <c r="AF710" t="s">
        <v>74</v>
      </c>
      <c r="AG710">
        <v>57</v>
      </c>
      <c r="AH710">
        <v>25</v>
      </c>
      <c r="AI710">
        <v>26</v>
      </c>
      <c r="AJ710">
        <v>0</v>
      </c>
      <c r="AK710">
        <v>3</v>
      </c>
      <c r="AL710" t="s">
        <v>7730</v>
      </c>
      <c r="AM710" t="s">
        <v>7731</v>
      </c>
      <c r="AN710" t="s">
        <v>7732</v>
      </c>
      <c r="AO710" t="s">
        <v>12374</v>
      </c>
      <c r="AP710" t="s">
        <v>12375</v>
      </c>
      <c r="AQ710" t="s">
        <v>74</v>
      </c>
      <c r="AR710" t="s">
        <v>12376</v>
      </c>
      <c r="AS710" t="s">
        <v>12377</v>
      </c>
      <c r="AT710" t="s">
        <v>74</v>
      </c>
      <c r="AU710">
        <v>2009</v>
      </c>
      <c r="AV710">
        <v>9</v>
      </c>
      <c r="AW710">
        <v>17</v>
      </c>
      <c r="AX710" t="s">
        <v>74</v>
      </c>
      <c r="AY710" t="s">
        <v>74</v>
      </c>
      <c r="AZ710" t="s">
        <v>74</v>
      </c>
      <c r="BA710" t="s">
        <v>74</v>
      </c>
      <c r="BB710">
        <v>6363</v>
      </c>
      <c r="BC710">
        <v>6376</v>
      </c>
      <c r="BD710" t="s">
        <v>74</v>
      </c>
      <c r="BE710" t="s">
        <v>12646</v>
      </c>
      <c r="BF710" t="str">
        <f>HYPERLINK("http://dx.doi.org/10.5194/acp-9-6363-2009","http://dx.doi.org/10.5194/acp-9-6363-2009")</f>
        <v>http://dx.doi.org/10.5194/acp-9-6363-2009</v>
      </c>
      <c r="BG710" t="s">
        <v>74</v>
      </c>
      <c r="BH710" t="s">
        <v>74</v>
      </c>
      <c r="BI710">
        <v>14</v>
      </c>
      <c r="BJ710" t="s">
        <v>1321</v>
      </c>
      <c r="BK710" t="s">
        <v>100</v>
      </c>
      <c r="BL710" t="s">
        <v>1322</v>
      </c>
      <c r="BM710" t="s">
        <v>12647</v>
      </c>
      <c r="BN710" t="s">
        <v>74</v>
      </c>
      <c r="BO710" t="s">
        <v>12648</v>
      </c>
      <c r="BP710" t="s">
        <v>74</v>
      </c>
      <c r="BQ710" t="s">
        <v>74</v>
      </c>
      <c r="BR710" t="s">
        <v>103</v>
      </c>
      <c r="BS710" t="s">
        <v>12649</v>
      </c>
      <c r="BT710" t="str">
        <f>HYPERLINK("https%3A%2F%2Fwww.webofscience.com%2Fwos%2Fwoscc%2Ffull-record%2FWOS:000269778500006","View Full Record in Web of Science")</f>
        <v>View Full Record in Web of Science</v>
      </c>
    </row>
    <row r="711" spans="1:72" x14ac:dyDescent="0.15">
      <c r="A711" t="s">
        <v>72</v>
      </c>
      <c r="B711" t="s">
        <v>12650</v>
      </c>
      <c r="C711" t="s">
        <v>74</v>
      </c>
      <c r="D711" t="s">
        <v>74</v>
      </c>
      <c r="E711" t="s">
        <v>74</v>
      </c>
      <c r="F711" t="s">
        <v>12651</v>
      </c>
      <c r="G711" t="s">
        <v>74</v>
      </c>
      <c r="H711" t="s">
        <v>74</v>
      </c>
      <c r="I711" t="s">
        <v>12652</v>
      </c>
      <c r="J711" t="s">
        <v>12363</v>
      </c>
      <c r="K711" t="s">
        <v>74</v>
      </c>
      <c r="L711" t="s">
        <v>74</v>
      </c>
      <c r="M711" t="s">
        <v>78</v>
      </c>
      <c r="N711" t="s">
        <v>79</v>
      </c>
      <c r="O711" t="s">
        <v>74</v>
      </c>
      <c r="P711" t="s">
        <v>74</v>
      </c>
      <c r="Q711" t="s">
        <v>74</v>
      </c>
      <c r="R711" t="s">
        <v>74</v>
      </c>
      <c r="S711" t="s">
        <v>74</v>
      </c>
      <c r="T711" t="s">
        <v>74</v>
      </c>
      <c r="U711" t="s">
        <v>12653</v>
      </c>
      <c r="V711" t="s">
        <v>12654</v>
      </c>
      <c r="W711" t="s">
        <v>12655</v>
      </c>
      <c r="X711" t="s">
        <v>11703</v>
      </c>
      <c r="Y711" t="s">
        <v>12656</v>
      </c>
      <c r="Z711" t="s">
        <v>12657</v>
      </c>
      <c r="AA711" t="s">
        <v>74</v>
      </c>
      <c r="AB711" t="s">
        <v>74</v>
      </c>
      <c r="AC711" t="s">
        <v>12658</v>
      </c>
      <c r="AD711" t="s">
        <v>12659</v>
      </c>
      <c r="AE711" t="s">
        <v>74</v>
      </c>
      <c r="AF711" t="s">
        <v>74</v>
      </c>
      <c r="AG711">
        <v>49</v>
      </c>
      <c r="AH711">
        <v>17</v>
      </c>
      <c r="AI711">
        <v>17</v>
      </c>
      <c r="AJ711">
        <v>0</v>
      </c>
      <c r="AK711">
        <v>10</v>
      </c>
      <c r="AL711" t="s">
        <v>7730</v>
      </c>
      <c r="AM711" t="s">
        <v>7731</v>
      </c>
      <c r="AN711" t="s">
        <v>7732</v>
      </c>
      <c r="AO711" t="s">
        <v>12374</v>
      </c>
      <c r="AP711" t="s">
        <v>12375</v>
      </c>
      <c r="AQ711" t="s">
        <v>74</v>
      </c>
      <c r="AR711" t="s">
        <v>12376</v>
      </c>
      <c r="AS711" t="s">
        <v>12377</v>
      </c>
      <c r="AT711" t="s">
        <v>74</v>
      </c>
      <c r="AU711">
        <v>2009</v>
      </c>
      <c r="AV711">
        <v>9</v>
      </c>
      <c r="AW711">
        <v>17</v>
      </c>
      <c r="AX711" t="s">
        <v>74</v>
      </c>
      <c r="AY711" t="s">
        <v>74</v>
      </c>
      <c r="AZ711" t="s">
        <v>74</v>
      </c>
      <c r="BA711" t="s">
        <v>74</v>
      </c>
      <c r="BB711">
        <v>6377</v>
      </c>
      <c r="BC711">
        <v>6388</v>
      </c>
      <c r="BD711" t="s">
        <v>74</v>
      </c>
      <c r="BE711" t="s">
        <v>12660</v>
      </c>
      <c r="BF711" t="str">
        <f>HYPERLINK("http://dx.doi.org/10.5194/acp-9-6377-2009","http://dx.doi.org/10.5194/acp-9-6377-2009")</f>
        <v>http://dx.doi.org/10.5194/acp-9-6377-2009</v>
      </c>
      <c r="BG711" t="s">
        <v>74</v>
      </c>
      <c r="BH711" t="s">
        <v>74</v>
      </c>
      <c r="BI711">
        <v>12</v>
      </c>
      <c r="BJ711" t="s">
        <v>1321</v>
      </c>
      <c r="BK711" t="s">
        <v>100</v>
      </c>
      <c r="BL711" t="s">
        <v>1322</v>
      </c>
      <c r="BM711" t="s">
        <v>12647</v>
      </c>
      <c r="BN711" t="s">
        <v>74</v>
      </c>
      <c r="BO711" t="s">
        <v>11694</v>
      </c>
      <c r="BP711" t="s">
        <v>74</v>
      </c>
      <c r="BQ711" t="s">
        <v>74</v>
      </c>
      <c r="BR711" t="s">
        <v>103</v>
      </c>
      <c r="BS711" t="s">
        <v>12661</v>
      </c>
      <c r="BT711" t="str">
        <f>HYPERLINK("https%3A%2F%2Fwww.webofscience.com%2Fwos%2Fwoscc%2Ffull-record%2FWOS:000269778500007","View Full Record in Web of Science")</f>
        <v>View Full Record in Web of Science</v>
      </c>
    </row>
    <row r="712" spans="1:72" x14ac:dyDescent="0.15">
      <c r="A712" t="s">
        <v>72</v>
      </c>
      <c r="B712" t="s">
        <v>12662</v>
      </c>
      <c r="C712" t="s">
        <v>74</v>
      </c>
      <c r="D712" t="s">
        <v>74</v>
      </c>
      <c r="E712" t="s">
        <v>74</v>
      </c>
      <c r="F712" t="s">
        <v>12663</v>
      </c>
      <c r="G712" t="s">
        <v>74</v>
      </c>
      <c r="H712" t="s">
        <v>74</v>
      </c>
      <c r="I712" t="s">
        <v>12664</v>
      </c>
      <c r="J712" t="s">
        <v>12363</v>
      </c>
      <c r="K712" t="s">
        <v>74</v>
      </c>
      <c r="L712" t="s">
        <v>74</v>
      </c>
      <c r="M712" t="s">
        <v>78</v>
      </c>
      <c r="N712" t="s">
        <v>79</v>
      </c>
      <c r="O712" t="s">
        <v>74</v>
      </c>
      <c r="P712" t="s">
        <v>74</v>
      </c>
      <c r="Q712" t="s">
        <v>74</v>
      </c>
      <c r="R712" t="s">
        <v>74</v>
      </c>
      <c r="S712" t="s">
        <v>74</v>
      </c>
      <c r="T712" t="s">
        <v>74</v>
      </c>
      <c r="U712" t="s">
        <v>12665</v>
      </c>
      <c r="V712" t="s">
        <v>12666</v>
      </c>
      <c r="W712" t="s">
        <v>12667</v>
      </c>
      <c r="X712" t="s">
        <v>12668</v>
      </c>
      <c r="Y712" t="s">
        <v>12669</v>
      </c>
      <c r="Z712" t="s">
        <v>12670</v>
      </c>
      <c r="AA712" t="s">
        <v>12671</v>
      </c>
      <c r="AB712" t="s">
        <v>74</v>
      </c>
      <c r="AC712" t="s">
        <v>12672</v>
      </c>
      <c r="AD712" t="s">
        <v>12673</v>
      </c>
      <c r="AE712" t="s">
        <v>12674</v>
      </c>
      <c r="AF712" t="s">
        <v>74</v>
      </c>
      <c r="AG712">
        <v>38</v>
      </c>
      <c r="AH712">
        <v>27</v>
      </c>
      <c r="AI712">
        <v>31</v>
      </c>
      <c r="AJ712">
        <v>0</v>
      </c>
      <c r="AK712">
        <v>6</v>
      </c>
      <c r="AL712" t="s">
        <v>7730</v>
      </c>
      <c r="AM712" t="s">
        <v>7731</v>
      </c>
      <c r="AN712" t="s">
        <v>7732</v>
      </c>
      <c r="AO712" t="s">
        <v>12374</v>
      </c>
      <c r="AP712" t="s">
        <v>12375</v>
      </c>
      <c r="AQ712" t="s">
        <v>74</v>
      </c>
      <c r="AR712" t="s">
        <v>12376</v>
      </c>
      <c r="AS712" t="s">
        <v>12377</v>
      </c>
      <c r="AT712" t="s">
        <v>74</v>
      </c>
      <c r="AU712">
        <v>2009</v>
      </c>
      <c r="AV712">
        <v>9</v>
      </c>
      <c r="AW712">
        <v>18</v>
      </c>
      <c r="AX712" t="s">
        <v>74</v>
      </c>
      <c r="AY712" t="s">
        <v>74</v>
      </c>
      <c r="AZ712" t="s">
        <v>74</v>
      </c>
      <c r="BA712" t="s">
        <v>74</v>
      </c>
      <c r="BB712">
        <v>6881</v>
      </c>
      <c r="BC712">
        <v>6897</v>
      </c>
      <c r="BD712" t="s">
        <v>74</v>
      </c>
      <c r="BE712" t="s">
        <v>12675</v>
      </c>
      <c r="BF712" t="str">
        <f>HYPERLINK("http://dx.doi.org/10.5194/acp-9-6881-2009","http://dx.doi.org/10.5194/acp-9-6881-2009")</f>
        <v>http://dx.doi.org/10.5194/acp-9-6881-2009</v>
      </c>
      <c r="BG712" t="s">
        <v>74</v>
      </c>
      <c r="BH712" t="s">
        <v>74</v>
      </c>
      <c r="BI712">
        <v>17</v>
      </c>
      <c r="BJ712" t="s">
        <v>1321</v>
      </c>
      <c r="BK712" t="s">
        <v>100</v>
      </c>
      <c r="BL712" t="s">
        <v>1322</v>
      </c>
      <c r="BM712" t="s">
        <v>12676</v>
      </c>
      <c r="BN712" t="s">
        <v>74</v>
      </c>
      <c r="BO712" t="s">
        <v>11694</v>
      </c>
      <c r="BP712" t="s">
        <v>74</v>
      </c>
      <c r="BQ712" t="s">
        <v>74</v>
      </c>
      <c r="BR712" t="s">
        <v>103</v>
      </c>
      <c r="BS712" t="s">
        <v>12677</v>
      </c>
      <c r="BT712" t="str">
        <f>HYPERLINK("https%3A%2F%2Fwww.webofscience.com%2Fwos%2Fwoscc%2Ffull-record%2FWOS:000270131400015","View Full Record in Web of Science")</f>
        <v>View Full Record in Web of Science</v>
      </c>
    </row>
    <row r="713" spans="1:72" x14ac:dyDescent="0.15">
      <c r="A713" t="s">
        <v>72</v>
      </c>
      <c r="B713" t="s">
        <v>12678</v>
      </c>
      <c r="C713" t="s">
        <v>74</v>
      </c>
      <c r="D713" t="s">
        <v>74</v>
      </c>
      <c r="E713" t="s">
        <v>74</v>
      </c>
      <c r="F713" t="s">
        <v>12679</v>
      </c>
      <c r="G713" t="s">
        <v>74</v>
      </c>
      <c r="H713" t="s">
        <v>74</v>
      </c>
      <c r="I713" t="s">
        <v>12680</v>
      </c>
      <c r="J713" t="s">
        <v>12363</v>
      </c>
      <c r="K713" t="s">
        <v>74</v>
      </c>
      <c r="L713" t="s">
        <v>74</v>
      </c>
      <c r="M713" t="s">
        <v>78</v>
      </c>
      <c r="N713" t="s">
        <v>79</v>
      </c>
      <c r="O713" t="s">
        <v>74</v>
      </c>
      <c r="P713" t="s">
        <v>74</v>
      </c>
      <c r="Q713" t="s">
        <v>74</v>
      </c>
      <c r="R713" t="s">
        <v>74</v>
      </c>
      <c r="S713" t="s">
        <v>74</v>
      </c>
      <c r="T713" t="s">
        <v>74</v>
      </c>
      <c r="U713" t="s">
        <v>12681</v>
      </c>
      <c r="V713" t="s">
        <v>12682</v>
      </c>
      <c r="W713" t="s">
        <v>12683</v>
      </c>
      <c r="X713" t="s">
        <v>12684</v>
      </c>
      <c r="Y713" t="s">
        <v>12685</v>
      </c>
      <c r="Z713" t="s">
        <v>12686</v>
      </c>
      <c r="AA713" t="s">
        <v>12687</v>
      </c>
      <c r="AB713" t="s">
        <v>12688</v>
      </c>
      <c r="AC713" t="s">
        <v>12689</v>
      </c>
      <c r="AD713" t="s">
        <v>12690</v>
      </c>
      <c r="AE713" t="s">
        <v>12691</v>
      </c>
      <c r="AF713" t="s">
        <v>74</v>
      </c>
      <c r="AG713">
        <v>27</v>
      </c>
      <c r="AH713">
        <v>21</v>
      </c>
      <c r="AI713">
        <v>22</v>
      </c>
      <c r="AJ713">
        <v>0</v>
      </c>
      <c r="AK713">
        <v>7</v>
      </c>
      <c r="AL713" t="s">
        <v>7730</v>
      </c>
      <c r="AM713" t="s">
        <v>7731</v>
      </c>
      <c r="AN713" t="s">
        <v>7732</v>
      </c>
      <c r="AO713" t="s">
        <v>12374</v>
      </c>
      <c r="AP713" t="s">
        <v>12375</v>
      </c>
      <c r="AQ713" t="s">
        <v>74</v>
      </c>
      <c r="AR713" t="s">
        <v>12376</v>
      </c>
      <c r="AS713" t="s">
        <v>12377</v>
      </c>
      <c r="AT713" t="s">
        <v>74</v>
      </c>
      <c r="AU713">
        <v>2009</v>
      </c>
      <c r="AV713">
        <v>9</v>
      </c>
      <c r="AW713">
        <v>18</v>
      </c>
      <c r="AX713" t="s">
        <v>74</v>
      </c>
      <c r="AY713" t="s">
        <v>74</v>
      </c>
      <c r="AZ713" t="s">
        <v>74</v>
      </c>
      <c r="BA713" t="s">
        <v>74</v>
      </c>
      <c r="BB713">
        <v>7031</v>
      </c>
      <c r="BC713">
        <v>7044</v>
      </c>
      <c r="BD713" t="s">
        <v>74</v>
      </c>
      <c r="BE713" t="s">
        <v>12692</v>
      </c>
      <c r="BF713" t="str">
        <f>HYPERLINK("http://dx.doi.org/10.5194/acp-9-7031-2009","http://dx.doi.org/10.5194/acp-9-7031-2009")</f>
        <v>http://dx.doi.org/10.5194/acp-9-7031-2009</v>
      </c>
      <c r="BG713" t="s">
        <v>74</v>
      </c>
      <c r="BH713" t="s">
        <v>74</v>
      </c>
      <c r="BI713">
        <v>14</v>
      </c>
      <c r="BJ713" t="s">
        <v>1321</v>
      </c>
      <c r="BK713" t="s">
        <v>100</v>
      </c>
      <c r="BL713" t="s">
        <v>1322</v>
      </c>
      <c r="BM713" t="s">
        <v>12676</v>
      </c>
      <c r="BN713" t="s">
        <v>74</v>
      </c>
      <c r="BO713" t="s">
        <v>450</v>
      </c>
      <c r="BP713" t="s">
        <v>74</v>
      </c>
      <c r="BQ713" t="s">
        <v>74</v>
      </c>
      <c r="BR713" t="s">
        <v>103</v>
      </c>
      <c r="BS713" t="s">
        <v>12693</v>
      </c>
      <c r="BT713" t="str">
        <f>HYPERLINK("https%3A%2F%2Fwww.webofscience.com%2Fwos%2Fwoscc%2Ffull-record%2FWOS:000270131400022","View Full Record in Web of Science")</f>
        <v>View Full Record in Web of Science</v>
      </c>
    </row>
    <row r="714" spans="1:72" x14ac:dyDescent="0.15">
      <c r="A714" t="s">
        <v>72</v>
      </c>
      <c r="B714" t="s">
        <v>12694</v>
      </c>
      <c r="C714" t="s">
        <v>74</v>
      </c>
      <c r="D714" t="s">
        <v>74</v>
      </c>
      <c r="E714" t="s">
        <v>74</v>
      </c>
      <c r="F714" t="s">
        <v>12695</v>
      </c>
      <c r="G714" t="s">
        <v>74</v>
      </c>
      <c r="H714" t="s">
        <v>74</v>
      </c>
      <c r="I714" t="s">
        <v>12696</v>
      </c>
      <c r="J714" t="s">
        <v>12363</v>
      </c>
      <c r="K714" t="s">
        <v>74</v>
      </c>
      <c r="L714" t="s">
        <v>74</v>
      </c>
      <c r="M714" t="s">
        <v>78</v>
      </c>
      <c r="N714" t="s">
        <v>79</v>
      </c>
      <c r="O714" t="s">
        <v>74</v>
      </c>
      <c r="P714" t="s">
        <v>74</v>
      </c>
      <c r="Q714" t="s">
        <v>74</v>
      </c>
      <c r="R714" t="s">
        <v>74</v>
      </c>
      <c r="S714" t="s">
        <v>74</v>
      </c>
      <c r="T714" t="s">
        <v>74</v>
      </c>
      <c r="U714" t="s">
        <v>12697</v>
      </c>
      <c r="V714" t="s">
        <v>12698</v>
      </c>
      <c r="W714" t="s">
        <v>12699</v>
      </c>
      <c r="X714" t="s">
        <v>12700</v>
      </c>
      <c r="Y714" t="s">
        <v>12701</v>
      </c>
      <c r="Z714" t="s">
        <v>12702</v>
      </c>
      <c r="AA714" t="s">
        <v>74</v>
      </c>
      <c r="AB714" t="s">
        <v>12703</v>
      </c>
      <c r="AC714" t="s">
        <v>12704</v>
      </c>
      <c r="AD714" t="s">
        <v>12705</v>
      </c>
      <c r="AE714" t="s">
        <v>12706</v>
      </c>
      <c r="AF714" t="s">
        <v>74</v>
      </c>
      <c r="AG714">
        <v>34</v>
      </c>
      <c r="AH714">
        <v>119</v>
      </c>
      <c r="AI714">
        <v>124</v>
      </c>
      <c r="AJ714">
        <v>1</v>
      </c>
      <c r="AK714">
        <v>18</v>
      </c>
      <c r="AL714" t="s">
        <v>7730</v>
      </c>
      <c r="AM714" t="s">
        <v>7731</v>
      </c>
      <c r="AN714" t="s">
        <v>7732</v>
      </c>
      <c r="AO714" t="s">
        <v>12374</v>
      </c>
      <c r="AP714" t="s">
        <v>12375</v>
      </c>
      <c r="AQ714" t="s">
        <v>74</v>
      </c>
      <c r="AR714" t="s">
        <v>12376</v>
      </c>
      <c r="AS714" t="s">
        <v>12377</v>
      </c>
      <c r="AT714" t="s">
        <v>74</v>
      </c>
      <c r="AU714">
        <v>2009</v>
      </c>
      <c r="AV714">
        <v>9</v>
      </c>
      <c r="AW714">
        <v>19</v>
      </c>
      <c r="AX714" t="s">
        <v>74</v>
      </c>
      <c r="AY714" t="s">
        <v>74</v>
      </c>
      <c r="AZ714" t="s">
        <v>74</v>
      </c>
      <c r="BA714" t="s">
        <v>74</v>
      </c>
      <c r="BB714">
        <v>7577</v>
      </c>
      <c r="BC714">
        <v>7589</v>
      </c>
      <c r="BD714" t="s">
        <v>74</v>
      </c>
      <c r="BE714" t="s">
        <v>12707</v>
      </c>
      <c r="BF714" t="str">
        <f>HYPERLINK("http://dx.doi.org/10.5194/acp-9-7577-2009","http://dx.doi.org/10.5194/acp-9-7577-2009")</f>
        <v>http://dx.doi.org/10.5194/acp-9-7577-2009</v>
      </c>
      <c r="BG714" t="s">
        <v>74</v>
      </c>
      <c r="BH714" t="s">
        <v>74</v>
      </c>
      <c r="BI714">
        <v>13</v>
      </c>
      <c r="BJ714" t="s">
        <v>1321</v>
      </c>
      <c r="BK714" t="s">
        <v>100</v>
      </c>
      <c r="BL714" t="s">
        <v>1322</v>
      </c>
      <c r="BM714" t="s">
        <v>12708</v>
      </c>
      <c r="BN714" t="s">
        <v>74</v>
      </c>
      <c r="BO714" t="s">
        <v>11694</v>
      </c>
      <c r="BP714" t="s">
        <v>74</v>
      </c>
      <c r="BQ714" t="s">
        <v>74</v>
      </c>
      <c r="BR714" t="s">
        <v>103</v>
      </c>
      <c r="BS714" t="s">
        <v>12709</v>
      </c>
      <c r="BT714" t="str">
        <f>HYPERLINK("https%3A%2F%2Fwww.webofscience.com%2Fwos%2Fwoscc%2Ffull-record%2FWOS:000270779700021","View Full Record in Web of Science")</f>
        <v>View Full Record in Web of Science</v>
      </c>
    </row>
    <row r="715" spans="1:72" x14ac:dyDescent="0.15">
      <c r="A715" t="s">
        <v>72</v>
      </c>
      <c r="B715" t="s">
        <v>12710</v>
      </c>
      <c r="C715" t="s">
        <v>74</v>
      </c>
      <c r="D715" t="s">
        <v>74</v>
      </c>
      <c r="E715" t="s">
        <v>74</v>
      </c>
      <c r="F715" t="s">
        <v>12711</v>
      </c>
      <c r="G715" t="s">
        <v>74</v>
      </c>
      <c r="H715" t="s">
        <v>74</v>
      </c>
      <c r="I715" t="s">
        <v>12712</v>
      </c>
      <c r="J715" t="s">
        <v>12363</v>
      </c>
      <c r="K715" t="s">
        <v>74</v>
      </c>
      <c r="L715" t="s">
        <v>74</v>
      </c>
      <c r="M715" t="s">
        <v>78</v>
      </c>
      <c r="N715" t="s">
        <v>79</v>
      </c>
      <c r="O715" t="s">
        <v>74</v>
      </c>
      <c r="P715" t="s">
        <v>74</v>
      </c>
      <c r="Q715" t="s">
        <v>74</v>
      </c>
      <c r="R715" t="s">
        <v>74</v>
      </c>
      <c r="S715" t="s">
        <v>74</v>
      </c>
      <c r="T715" t="s">
        <v>74</v>
      </c>
      <c r="U715" t="s">
        <v>12713</v>
      </c>
      <c r="V715" t="s">
        <v>12714</v>
      </c>
      <c r="W715" t="s">
        <v>12715</v>
      </c>
      <c r="X715" t="s">
        <v>12716</v>
      </c>
      <c r="Y715" t="s">
        <v>74</v>
      </c>
      <c r="Z715" t="s">
        <v>12717</v>
      </c>
      <c r="AA715" t="s">
        <v>12718</v>
      </c>
      <c r="AB715" t="s">
        <v>12719</v>
      </c>
      <c r="AC715" t="s">
        <v>12720</v>
      </c>
      <c r="AD715" t="s">
        <v>12721</v>
      </c>
      <c r="AE715" t="s">
        <v>12722</v>
      </c>
      <c r="AF715" t="s">
        <v>74</v>
      </c>
      <c r="AG715">
        <v>56</v>
      </c>
      <c r="AH715">
        <v>31</v>
      </c>
      <c r="AI715">
        <v>32</v>
      </c>
      <c r="AJ715">
        <v>0</v>
      </c>
      <c r="AK715">
        <v>10</v>
      </c>
      <c r="AL715" t="s">
        <v>7730</v>
      </c>
      <c r="AM715" t="s">
        <v>7731</v>
      </c>
      <c r="AN715" t="s">
        <v>7732</v>
      </c>
      <c r="AO715" t="s">
        <v>12374</v>
      </c>
      <c r="AP715" t="s">
        <v>12375</v>
      </c>
      <c r="AQ715" t="s">
        <v>74</v>
      </c>
      <c r="AR715" t="s">
        <v>12376</v>
      </c>
      <c r="AS715" t="s">
        <v>12377</v>
      </c>
      <c r="AT715" t="s">
        <v>74</v>
      </c>
      <c r="AU715">
        <v>2009</v>
      </c>
      <c r="AV715">
        <v>9</v>
      </c>
      <c r="AW715">
        <v>20</v>
      </c>
      <c r="AX715" t="s">
        <v>74</v>
      </c>
      <c r="AY715" t="s">
        <v>74</v>
      </c>
      <c r="AZ715" t="s">
        <v>74</v>
      </c>
      <c r="BA715" t="s">
        <v>74</v>
      </c>
      <c r="BB715">
        <v>7949</v>
      </c>
      <c r="BC715">
        <v>7962</v>
      </c>
      <c r="BD715" t="s">
        <v>74</v>
      </c>
      <c r="BE715" t="s">
        <v>12723</v>
      </c>
      <c r="BF715" t="str">
        <f>HYPERLINK("http://dx.doi.org/10.5194/acp-9-7949-2009","http://dx.doi.org/10.5194/acp-9-7949-2009")</f>
        <v>http://dx.doi.org/10.5194/acp-9-7949-2009</v>
      </c>
      <c r="BG715" t="s">
        <v>74</v>
      </c>
      <c r="BH715" t="s">
        <v>74</v>
      </c>
      <c r="BI715">
        <v>14</v>
      </c>
      <c r="BJ715" t="s">
        <v>1321</v>
      </c>
      <c r="BK715" t="s">
        <v>100</v>
      </c>
      <c r="BL715" t="s">
        <v>1322</v>
      </c>
      <c r="BM715" t="s">
        <v>12724</v>
      </c>
      <c r="BN715" t="s">
        <v>74</v>
      </c>
      <c r="BO715" t="s">
        <v>11694</v>
      </c>
      <c r="BP715" t="s">
        <v>74</v>
      </c>
      <c r="BQ715" t="s">
        <v>74</v>
      </c>
      <c r="BR715" t="s">
        <v>103</v>
      </c>
      <c r="BS715" t="s">
        <v>12725</v>
      </c>
      <c r="BT715" t="str">
        <f>HYPERLINK("https%3A%2F%2Fwww.webofscience.com%2Fwos%2Fwoscc%2Ffull-record%2FWOS:000271240500018","View Full Record in Web of Science")</f>
        <v>View Full Record in Web of Science</v>
      </c>
    </row>
    <row r="716" spans="1:72" x14ac:dyDescent="0.15">
      <c r="A716" t="s">
        <v>72</v>
      </c>
      <c r="B716" t="s">
        <v>12726</v>
      </c>
      <c r="C716" t="s">
        <v>74</v>
      </c>
      <c r="D716" t="s">
        <v>74</v>
      </c>
      <c r="E716" t="s">
        <v>74</v>
      </c>
      <c r="F716" t="s">
        <v>12727</v>
      </c>
      <c r="G716" t="s">
        <v>74</v>
      </c>
      <c r="H716" t="s">
        <v>74</v>
      </c>
      <c r="I716" t="s">
        <v>12728</v>
      </c>
      <c r="J716" t="s">
        <v>12363</v>
      </c>
      <c r="K716" t="s">
        <v>74</v>
      </c>
      <c r="L716" t="s">
        <v>74</v>
      </c>
      <c r="M716" t="s">
        <v>78</v>
      </c>
      <c r="N716" t="s">
        <v>79</v>
      </c>
      <c r="O716" t="s">
        <v>74</v>
      </c>
      <c r="P716" t="s">
        <v>74</v>
      </c>
      <c r="Q716" t="s">
        <v>74</v>
      </c>
      <c r="R716" t="s">
        <v>74</v>
      </c>
      <c r="S716" t="s">
        <v>74</v>
      </c>
      <c r="T716" t="s">
        <v>74</v>
      </c>
      <c r="U716" t="s">
        <v>12729</v>
      </c>
      <c r="V716" t="s">
        <v>12730</v>
      </c>
      <c r="W716" t="s">
        <v>12731</v>
      </c>
      <c r="X716" t="s">
        <v>12732</v>
      </c>
      <c r="Y716" t="s">
        <v>12733</v>
      </c>
      <c r="Z716" t="s">
        <v>12734</v>
      </c>
      <c r="AA716" t="s">
        <v>12735</v>
      </c>
      <c r="AB716" t="s">
        <v>12736</v>
      </c>
      <c r="AC716" t="s">
        <v>12737</v>
      </c>
      <c r="AD716" t="s">
        <v>12737</v>
      </c>
      <c r="AE716" t="s">
        <v>12738</v>
      </c>
      <c r="AF716" t="s">
        <v>74</v>
      </c>
      <c r="AG716">
        <v>35</v>
      </c>
      <c r="AH716">
        <v>20</v>
      </c>
      <c r="AI716">
        <v>20</v>
      </c>
      <c r="AJ716">
        <v>1</v>
      </c>
      <c r="AK716">
        <v>5</v>
      </c>
      <c r="AL716" t="s">
        <v>7730</v>
      </c>
      <c r="AM716" t="s">
        <v>7731</v>
      </c>
      <c r="AN716" t="s">
        <v>7732</v>
      </c>
      <c r="AO716" t="s">
        <v>12374</v>
      </c>
      <c r="AP716" t="s">
        <v>12375</v>
      </c>
      <c r="AQ716" t="s">
        <v>74</v>
      </c>
      <c r="AR716" t="s">
        <v>12376</v>
      </c>
      <c r="AS716" t="s">
        <v>12377</v>
      </c>
      <c r="AT716" t="s">
        <v>74</v>
      </c>
      <c r="AU716">
        <v>2009</v>
      </c>
      <c r="AV716">
        <v>9</v>
      </c>
      <c r="AW716">
        <v>22</v>
      </c>
      <c r="AX716" t="s">
        <v>74</v>
      </c>
      <c r="AY716" t="s">
        <v>74</v>
      </c>
      <c r="AZ716" t="s">
        <v>74</v>
      </c>
      <c r="BA716" t="s">
        <v>74</v>
      </c>
      <c r="BB716">
        <v>8651</v>
      </c>
      <c r="BC716">
        <v>8660</v>
      </c>
      <c r="BD716" t="s">
        <v>74</v>
      </c>
      <c r="BE716" t="s">
        <v>12739</v>
      </c>
      <c r="BF716" t="str">
        <f>HYPERLINK("http://dx.doi.org/10.5194/acp-9-8651-2009","http://dx.doi.org/10.5194/acp-9-8651-2009")</f>
        <v>http://dx.doi.org/10.5194/acp-9-8651-2009</v>
      </c>
      <c r="BG716" t="s">
        <v>74</v>
      </c>
      <c r="BH716" t="s">
        <v>74</v>
      </c>
      <c r="BI716">
        <v>10</v>
      </c>
      <c r="BJ716" t="s">
        <v>1321</v>
      </c>
      <c r="BK716" t="s">
        <v>100</v>
      </c>
      <c r="BL716" t="s">
        <v>1322</v>
      </c>
      <c r="BM716" t="s">
        <v>12740</v>
      </c>
      <c r="BN716" t="s">
        <v>74</v>
      </c>
      <c r="BO716" t="s">
        <v>11694</v>
      </c>
      <c r="BP716" t="s">
        <v>74</v>
      </c>
      <c r="BQ716" t="s">
        <v>74</v>
      </c>
      <c r="BR716" t="s">
        <v>103</v>
      </c>
      <c r="BS716" t="s">
        <v>12741</v>
      </c>
      <c r="BT716" t="str">
        <f>HYPERLINK("https%3A%2F%2Fwww.webofscience.com%2Fwos%2Fwoscc%2Ffull-record%2FWOS:000272232500002","View Full Record in Web of Science")</f>
        <v>View Full Record in Web of Science</v>
      </c>
    </row>
    <row r="717" spans="1:72" x14ac:dyDescent="0.15">
      <c r="A717" t="s">
        <v>72</v>
      </c>
      <c r="B717" t="s">
        <v>12742</v>
      </c>
      <c r="C717" t="s">
        <v>74</v>
      </c>
      <c r="D717" t="s">
        <v>74</v>
      </c>
      <c r="E717" t="s">
        <v>74</v>
      </c>
      <c r="F717" t="s">
        <v>12743</v>
      </c>
      <c r="G717" t="s">
        <v>74</v>
      </c>
      <c r="H717" t="s">
        <v>74</v>
      </c>
      <c r="I717" t="s">
        <v>12744</v>
      </c>
      <c r="J717" t="s">
        <v>12363</v>
      </c>
      <c r="K717" t="s">
        <v>74</v>
      </c>
      <c r="L717" t="s">
        <v>74</v>
      </c>
      <c r="M717" t="s">
        <v>78</v>
      </c>
      <c r="N717" t="s">
        <v>79</v>
      </c>
      <c r="O717" t="s">
        <v>74</v>
      </c>
      <c r="P717" t="s">
        <v>74</v>
      </c>
      <c r="Q717" t="s">
        <v>74</v>
      </c>
      <c r="R717" t="s">
        <v>74</v>
      </c>
      <c r="S717" t="s">
        <v>74</v>
      </c>
      <c r="T717" t="s">
        <v>74</v>
      </c>
      <c r="U717" t="s">
        <v>12745</v>
      </c>
      <c r="V717" t="s">
        <v>12746</v>
      </c>
      <c r="W717" t="s">
        <v>12747</v>
      </c>
      <c r="X717" t="s">
        <v>12748</v>
      </c>
      <c r="Y717" t="s">
        <v>12749</v>
      </c>
      <c r="Z717" t="s">
        <v>12519</v>
      </c>
      <c r="AA717" t="s">
        <v>12750</v>
      </c>
      <c r="AB717" t="s">
        <v>12751</v>
      </c>
      <c r="AC717" t="s">
        <v>12752</v>
      </c>
      <c r="AD717" t="s">
        <v>12753</v>
      </c>
      <c r="AE717" t="s">
        <v>12754</v>
      </c>
      <c r="AF717" t="s">
        <v>74</v>
      </c>
      <c r="AG717">
        <v>70</v>
      </c>
      <c r="AH717">
        <v>123</v>
      </c>
      <c r="AI717">
        <v>143</v>
      </c>
      <c r="AJ717">
        <v>3</v>
      </c>
      <c r="AK717">
        <v>48</v>
      </c>
      <c r="AL717" t="s">
        <v>7730</v>
      </c>
      <c r="AM717" t="s">
        <v>7731</v>
      </c>
      <c r="AN717" t="s">
        <v>7732</v>
      </c>
      <c r="AO717" t="s">
        <v>12374</v>
      </c>
      <c r="AP717" t="s">
        <v>12375</v>
      </c>
      <c r="AQ717" t="s">
        <v>74</v>
      </c>
      <c r="AR717" t="s">
        <v>12376</v>
      </c>
      <c r="AS717" t="s">
        <v>12377</v>
      </c>
      <c r="AT717" t="s">
        <v>74</v>
      </c>
      <c r="AU717">
        <v>2009</v>
      </c>
      <c r="AV717">
        <v>9</v>
      </c>
      <c r="AW717">
        <v>22</v>
      </c>
      <c r="AX717" t="s">
        <v>74</v>
      </c>
      <c r="AY717" t="s">
        <v>74</v>
      </c>
      <c r="AZ717" t="s">
        <v>74</v>
      </c>
      <c r="BA717" t="s">
        <v>74</v>
      </c>
      <c r="BB717">
        <v>8681</v>
      </c>
      <c r="BC717">
        <v>8696</v>
      </c>
      <c r="BD717" t="s">
        <v>74</v>
      </c>
      <c r="BE717" t="s">
        <v>12755</v>
      </c>
      <c r="BF717" t="str">
        <f>HYPERLINK("http://dx.doi.org/10.5194/acp-9-8681-2009","http://dx.doi.org/10.5194/acp-9-8681-2009")</f>
        <v>http://dx.doi.org/10.5194/acp-9-8681-2009</v>
      </c>
      <c r="BG717" t="s">
        <v>74</v>
      </c>
      <c r="BH717" t="s">
        <v>74</v>
      </c>
      <c r="BI717">
        <v>16</v>
      </c>
      <c r="BJ717" t="s">
        <v>1321</v>
      </c>
      <c r="BK717" t="s">
        <v>100</v>
      </c>
      <c r="BL717" t="s">
        <v>1322</v>
      </c>
      <c r="BM717" t="s">
        <v>12740</v>
      </c>
      <c r="BN717" t="s">
        <v>74</v>
      </c>
      <c r="BO717" t="s">
        <v>450</v>
      </c>
      <c r="BP717" t="s">
        <v>74</v>
      </c>
      <c r="BQ717" t="s">
        <v>74</v>
      </c>
      <c r="BR717" t="s">
        <v>103</v>
      </c>
      <c r="BS717" t="s">
        <v>12756</v>
      </c>
      <c r="BT717" t="str">
        <f>HYPERLINK("https%3A%2F%2Fwww.webofscience.com%2Fwos%2Fwoscc%2Ffull-record%2FWOS:000272232500004","View Full Record in Web of Science")</f>
        <v>View Full Record in Web of Science</v>
      </c>
    </row>
    <row r="718" spans="1:72" x14ac:dyDescent="0.15">
      <c r="A718" t="s">
        <v>72</v>
      </c>
      <c r="B718" t="s">
        <v>12757</v>
      </c>
      <c r="C718" t="s">
        <v>74</v>
      </c>
      <c r="D718" t="s">
        <v>74</v>
      </c>
      <c r="E718" t="s">
        <v>74</v>
      </c>
      <c r="F718" t="s">
        <v>12758</v>
      </c>
      <c r="G718" t="s">
        <v>74</v>
      </c>
      <c r="H718" t="s">
        <v>74</v>
      </c>
      <c r="I718" t="s">
        <v>12759</v>
      </c>
      <c r="J718" t="s">
        <v>12363</v>
      </c>
      <c r="K718" t="s">
        <v>74</v>
      </c>
      <c r="L718" t="s">
        <v>74</v>
      </c>
      <c r="M718" t="s">
        <v>78</v>
      </c>
      <c r="N718" t="s">
        <v>79</v>
      </c>
      <c r="O718" t="s">
        <v>74</v>
      </c>
      <c r="P718" t="s">
        <v>74</v>
      </c>
      <c r="Q718" t="s">
        <v>74</v>
      </c>
      <c r="R718" t="s">
        <v>74</v>
      </c>
      <c r="S718" t="s">
        <v>74</v>
      </c>
      <c r="T718" t="s">
        <v>74</v>
      </c>
      <c r="U718" t="s">
        <v>12760</v>
      </c>
      <c r="V718" t="s">
        <v>12761</v>
      </c>
      <c r="W718" t="s">
        <v>12762</v>
      </c>
      <c r="X718" t="s">
        <v>12763</v>
      </c>
      <c r="Y718" t="s">
        <v>12764</v>
      </c>
      <c r="Z718" t="s">
        <v>12765</v>
      </c>
      <c r="AA718" t="s">
        <v>12766</v>
      </c>
      <c r="AB718" t="s">
        <v>12767</v>
      </c>
      <c r="AC718" t="s">
        <v>12768</v>
      </c>
      <c r="AD718" t="s">
        <v>12768</v>
      </c>
      <c r="AE718" t="s">
        <v>12769</v>
      </c>
      <c r="AF718" t="s">
        <v>74</v>
      </c>
      <c r="AG718">
        <v>51</v>
      </c>
      <c r="AH718">
        <v>29</v>
      </c>
      <c r="AI718">
        <v>32</v>
      </c>
      <c r="AJ718">
        <v>0</v>
      </c>
      <c r="AK718">
        <v>4</v>
      </c>
      <c r="AL718" t="s">
        <v>11640</v>
      </c>
      <c r="AM718" t="s">
        <v>11641</v>
      </c>
      <c r="AN718" t="s">
        <v>11642</v>
      </c>
      <c r="AO718" t="s">
        <v>12374</v>
      </c>
      <c r="AP718" t="s">
        <v>74</v>
      </c>
      <c r="AQ718" t="s">
        <v>74</v>
      </c>
      <c r="AR718" t="s">
        <v>12376</v>
      </c>
      <c r="AS718" t="s">
        <v>12377</v>
      </c>
      <c r="AT718" t="s">
        <v>74</v>
      </c>
      <c r="AU718">
        <v>2009</v>
      </c>
      <c r="AV718">
        <v>9</v>
      </c>
      <c r="AW718">
        <v>22</v>
      </c>
      <c r="AX718" t="s">
        <v>74</v>
      </c>
      <c r="AY718" t="s">
        <v>74</v>
      </c>
      <c r="AZ718" t="s">
        <v>74</v>
      </c>
      <c r="BA718" t="s">
        <v>74</v>
      </c>
      <c r="BB718">
        <v>8825</v>
      </c>
      <c r="BC718">
        <v>8840</v>
      </c>
      <c r="BD718" t="s">
        <v>74</v>
      </c>
      <c r="BE718" t="s">
        <v>12770</v>
      </c>
      <c r="BF718" t="str">
        <f>HYPERLINK("http://dx.doi.org/10.5194/acp-9-8825-2009","http://dx.doi.org/10.5194/acp-9-8825-2009")</f>
        <v>http://dx.doi.org/10.5194/acp-9-8825-2009</v>
      </c>
      <c r="BG718" t="s">
        <v>74</v>
      </c>
      <c r="BH718" t="s">
        <v>74</v>
      </c>
      <c r="BI718">
        <v>16</v>
      </c>
      <c r="BJ718" t="s">
        <v>1321</v>
      </c>
      <c r="BK718" t="s">
        <v>100</v>
      </c>
      <c r="BL718" t="s">
        <v>1322</v>
      </c>
      <c r="BM718" t="s">
        <v>12740</v>
      </c>
      <c r="BN718" t="s">
        <v>74</v>
      </c>
      <c r="BO718" t="s">
        <v>11623</v>
      </c>
      <c r="BP718" t="s">
        <v>74</v>
      </c>
      <c r="BQ718" t="s">
        <v>74</v>
      </c>
      <c r="BR718" t="s">
        <v>103</v>
      </c>
      <c r="BS718" t="s">
        <v>12771</v>
      </c>
      <c r="BT718" t="str">
        <f>HYPERLINK("https%3A%2F%2Fwww.webofscience.com%2Fwos%2Fwoscc%2Ffull-record%2FWOS:000272232500014","View Full Record in Web of Science")</f>
        <v>View Full Record in Web of Science</v>
      </c>
    </row>
    <row r="719" spans="1:72" x14ac:dyDescent="0.15">
      <c r="A719" t="s">
        <v>72</v>
      </c>
      <c r="B719" t="s">
        <v>12772</v>
      </c>
      <c r="C719" t="s">
        <v>74</v>
      </c>
      <c r="D719" t="s">
        <v>74</v>
      </c>
      <c r="E719" t="s">
        <v>74</v>
      </c>
      <c r="F719" t="s">
        <v>12773</v>
      </c>
      <c r="G719" t="s">
        <v>74</v>
      </c>
      <c r="H719" t="s">
        <v>74</v>
      </c>
      <c r="I719" t="s">
        <v>12774</v>
      </c>
      <c r="J719" t="s">
        <v>12363</v>
      </c>
      <c r="K719" t="s">
        <v>74</v>
      </c>
      <c r="L719" t="s">
        <v>74</v>
      </c>
      <c r="M719" t="s">
        <v>78</v>
      </c>
      <c r="N719" t="s">
        <v>79</v>
      </c>
      <c r="O719" t="s">
        <v>74</v>
      </c>
      <c r="P719" t="s">
        <v>74</v>
      </c>
      <c r="Q719" t="s">
        <v>74</v>
      </c>
      <c r="R719" t="s">
        <v>74</v>
      </c>
      <c r="S719" t="s">
        <v>74</v>
      </c>
      <c r="T719" t="s">
        <v>74</v>
      </c>
      <c r="U719" t="s">
        <v>12775</v>
      </c>
      <c r="V719" t="s">
        <v>12776</v>
      </c>
      <c r="W719" t="s">
        <v>12777</v>
      </c>
      <c r="X719" t="s">
        <v>12778</v>
      </c>
      <c r="Y719" t="s">
        <v>12779</v>
      </c>
      <c r="Z719" t="s">
        <v>12780</v>
      </c>
      <c r="AA719" t="s">
        <v>12781</v>
      </c>
      <c r="AB719" t="s">
        <v>12782</v>
      </c>
      <c r="AC719" t="s">
        <v>12783</v>
      </c>
      <c r="AD719" t="s">
        <v>12783</v>
      </c>
      <c r="AE719" t="s">
        <v>12784</v>
      </c>
      <c r="AF719" t="s">
        <v>74</v>
      </c>
      <c r="AG719">
        <v>91</v>
      </c>
      <c r="AH719">
        <v>14</v>
      </c>
      <c r="AI719">
        <v>22</v>
      </c>
      <c r="AJ719">
        <v>0</v>
      </c>
      <c r="AK719">
        <v>16</v>
      </c>
      <c r="AL719" t="s">
        <v>7730</v>
      </c>
      <c r="AM719" t="s">
        <v>7731</v>
      </c>
      <c r="AN719" t="s">
        <v>7732</v>
      </c>
      <c r="AO719" t="s">
        <v>12374</v>
      </c>
      <c r="AP719" t="s">
        <v>12375</v>
      </c>
      <c r="AQ719" t="s">
        <v>74</v>
      </c>
      <c r="AR719" t="s">
        <v>12376</v>
      </c>
      <c r="AS719" t="s">
        <v>12377</v>
      </c>
      <c r="AT719" t="s">
        <v>74</v>
      </c>
      <c r="AU719">
        <v>2009</v>
      </c>
      <c r="AV719">
        <v>9</v>
      </c>
      <c r="AW719">
        <v>24</v>
      </c>
      <c r="AX719" t="s">
        <v>74</v>
      </c>
      <c r="AY719" t="s">
        <v>74</v>
      </c>
      <c r="AZ719" t="s">
        <v>74</v>
      </c>
      <c r="BA719" t="s">
        <v>74</v>
      </c>
      <c r="BB719">
        <v>9449</v>
      </c>
      <c r="BC719">
        <v>9469</v>
      </c>
      <c r="BD719" t="s">
        <v>74</v>
      </c>
      <c r="BE719" t="s">
        <v>12785</v>
      </c>
      <c r="BF719" t="str">
        <f>HYPERLINK("http://dx.doi.org/10.5194/acp-9-9449-2009","http://dx.doi.org/10.5194/acp-9-9449-2009")</f>
        <v>http://dx.doi.org/10.5194/acp-9-9449-2009</v>
      </c>
      <c r="BG719" t="s">
        <v>74</v>
      </c>
      <c r="BH719" t="s">
        <v>74</v>
      </c>
      <c r="BI719">
        <v>21</v>
      </c>
      <c r="BJ719" t="s">
        <v>1321</v>
      </c>
      <c r="BK719" t="s">
        <v>100</v>
      </c>
      <c r="BL719" t="s">
        <v>1322</v>
      </c>
      <c r="BM719" t="s">
        <v>12786</v>
      </c>
      <c r="BN719" t="s">
        <v>74</v>
      </c>
      <c r="BO719" t="s">
        <v>450</v>
      </c>
      <c r="BP719" t="s">
        <v>74</v>
      </c>
      <c r="BQ719" t="s">
        <v>74</v>
      </c>
      <c r="BR719" t="s">
        <v>103</v>
      </c>
      <c r="BS719" t="s">
        <v>12787</v>
      </c>
      <c r="BT719" t="str">
        <f>HYPERLINK("https%3A%2F%2Fwww.webofscience.com%2Fwos%2Fwoscc%2Ffull-record%2FWOS:000273060200008","View Full Record in Web of Science")</f>
        <v>View Full Record in Web of Science</v>
      </c>
    </row>
    <row r="720" spans="1:72" x14ac:dyDescent="0.15">
      <c r="A720" t="s">
        <v>72</v>
      </c>
      <c r="B720" t="s">
        <v>12788</v>
      </c>
      <c r="C720" t="s">
        <v>74</v>
      </c>
      <c r="D720" t="s">
        <v>74</v>
      </c>
      <c r="E720" t="s">
        <v>74</v>
      </c>
      <c r="F720" t="s">
        <v>12789</v>
      </c>
      <c r="G720" t="s">
        <v>74</v>
      </c>
      <c r="H720" t="s">
        <v>74</v>
      </c>
      <c r="I720" t="s">
        <v>12790</v>
      </c>
      <c r="J720" t="s">
        <v>12791</v>
      </c>
      <c r="K720" t="s">
        <v>74</v>
      </c>
      <c r="L720" t="s">
        <v>74</v>
      </c>
      <c r="M720" t="s">
        <v>78</v>
      </c>
      <c r="N720" t="s">
        <v>79</v>
      </c>
      <c r="O720" t="s">
        <v>74</v>
      </c>
      <c r="P720" t="s">
        <v>74</v>
      </c>
      <c r="Q720" t="s">
        <v>74</v>
      </c>
      <c r="R720" t="s">
        <v>74</v>
      </c>
      <c r="S720" t="s">
        <v>74</v>
      </c>
      <c r="T720" t="s">
        <v>12792</v>
      </c>
      <c r="U720" t="s">
        <v>12793</v>
      </c>
      <c r="V720" t="s">
        <v>12794</v>
      </c>
      <c r="W720" t="s">
        <v>12795</v>
      </c>
      <c r="X720" t="s">
        <v>12796</v>
      </c>
      <c r="Y720" t="s">
        <v>12797</v>
      </c>
      <c r="Z720" t="s">
        <v>12798</v>
      </c>
      <c r="AA720" t="s">
        <v>74</v>
      </c>
      <c r="AB720" t="s">
        <v>12799</v>
      </c>
      <c r="AC720" t="s">
        <v>12800</v>
      </c>
      <c r="AD720" t="s">
        <v>12800</v>
      </c>
      <c r="AE720" t="s">
        <v>12801</v>
      </c>
      <c r="AF720" t="s">
        <v>74</v>
      </c>
      <c r="AG720">
        <v>32</v>
      </c>
      <c r="AH720">
        <v>38</v>
      </c>
      <c r="AI720">
        <v>46</v>
      </c>
      <c r="AJ720">
        <v>1</v>
      </c>
      <c r="AK720">
        <v>39</v>
      </c>
      <c r="AL720" t="s">
        <v>1341</v>
      </c>
      <c r="AM720" t="s">
        <v>1342</v>
      </c>
      <c r="AN720" t="s">
        <v>1343</v>
      </c>
      <c r="AO720" t="s">
        <v>12802</v>
      </c>
      <c r="AP720" t="s">
        <v>12803</v>
      </c>
      <c r="AQ720" t="s">
        <v>74</v>
      </c>
      <c r="AR720" t="s">
        <v>12791</v>
      </c>
      <c r="AS720" t="s">
        <v>12791</v>
      </c>
      <c r="AT720" t="s">
        <v>11480</v>
      </c>
      <c r="AU720">
        <v>2009</v>
      </c>
      <c r="AV720">
        <v>126</v>
      </c>
      <c r="AW720">
        <v>1</v>
      </c>
      <c r="AX720" t="s">
        <v>74</v>
      </c>
      <c r="AY720" t="s">
        <v>74</v>
      </c>
      <c r="AZ720" t="s">
        <v>74</v>
      </c>
      <c r="BA720" t="s">
        <v>74</v>
      </c>
      <c r="BB720">
        <v>77</v>
      </c>
      <c r="BC720">
        <v>88</v>
      </c>
      <c r="BD720" t="s">
        <v>74</v>
      </c>
      <c r="BE720" t="s">
        <v>12804</v>
      </c>
      <c r="BF720" t="str">
        <f>HYPERLINK("http://dx.doi.org/10.1525/auk.2009.07189","http://dx.doi.org/10.1525/auk.2009.07189")</f>
        <v>http://dx.doi.org/10.1525/auk.2009.07189</v>
      </c>
      <c r="BG720" t="s">
        <v>74</v>
      </c>
      <c r="BH720" t="s">
        <v>74</v>
      </c>
      <c r="BI720">
        <v>12</v>
      </c>
      <c r="BJ720" t="s">
        <v>1854</v>
      </c>
      <c r="BK720" t="s">
        <v>100</v>
      </c>
      <c r="BL720" t="s">
        <v>908</v>
      </c>
      <c r="BM720" t="s">
        <v>12805</v>
      </c>
      <c r="BN720" t="s">
        <v>74</v>
      </c>
      <c r="BO720" t="s">
        <v>499</v>
      </c>
      <c r="BP720" t="s">
        <v>74</v>
      </c>
      <c r="BQ720" t="s">
        <v>74</v>
      </c>
      <c r="BR720" t="s">
        <v>103</v>
      </c>
      <c r="BS720" t="s">
        <v>12806</v>
      </c>
      <c r="BT720" t="str">
        <f>HYPERLINK("https%3A%2F%2Fwww.webofscience.com%2Fwos%2Fwoscc%2Ffull-record%2FWOS:000263488700008","View Full Record in Web of Science")</f>
        <v>View Full Record in Web of Science</v>
      </c>
    </row>
    <row r="721" spans="1:72" x14ac:dyDescent="0.15">
      <c r="A721" t="s">
        <v>72</v>
      </c>
      <c r="B721" t="s">
        <v>12807</v>
      </c>
      <c r="C721" t="s">
        <v>74</v>
      </c>
      <c r="D721" t="s">
        <v>74</v>
      </c>
      <c r="E721" t="s">
        <v>74</v>
      </c>
      <c r="F721" t="s">
        <v>12808</v>
      </c>
      <c r="G721" t="s">
        <v>74</v>
      </c>
      <c r="H721" t="s">
        <v>74</v>
      </c>
      <c r="I721" t="s">
        <v>12809</v>
      </c>
      <c r="J721" t="s">
        <v>12810</v>
      </c>
      <c r="K721" t="s">
        <v>74</v>
      </c>
      <c r="L721" t="s">
        <v>74</v>
      </c>
      <c r="M721" t="s">
        <v>78</v>
      </c>
      <c r="N721" t="s">
        <v>79</v>
      </c>
      <c r="O721" t="s">
        <v>74</v>
      </c>
      <c r="P721" t="s">
        <v>74</v>
      </c>
      <c r="Q721" t="s">
        <v>74</v>
      </c>
      <c r="R721" t="s">
        <v>74</v>
      </c>
      <c r="S721" t="s">
        <v>74</v>
      </c>
      <c r="T721" t="s">
        <v>74</v>
      </c>
      <c r="U721" t="s">
        <v>12811</v>
      </c>
      <c r="V721" t="s">
        <v>12812</v>
      </c>
      <c r="W721" t="s">
        <v>12813</v>
      </c>
      <c r="X721" t="s">
        <v>12814</v>
      </c>
      <c r="Y721" t="s">
        <v>12815</v>
      </c>
      <c r="Z721" t="s">
        <v>12816</v>
      </c>
      <c r="AA721" t="s">
        <v>74</v>
      </c>
      <c r="AB721" t="s">
        <v>74</v>
      </c>
      <c r="AC721" t="s">
        <v>12817</v>
      </c>
      <c r="AD721" t="s">
        <v>12818</v>
      </c>
      <c r="AE721" t="s">
        <v>12819</v>
      </c>
      <c r="AF721" t="s">
        <v>74</v>
      </c>
      <c r="AG721">
        <v>32</v>
      </c>
      <c r="AH721">
        <v>19</v>
      </c>
      <c r="AI721">
        <v>24</v>
      </c>
      <c r="AJ721">
        <v>0</v>
      </c>
      <c r="AK721">
        <v>3</v>
      </c>
      <c r="AL721" t="s">
        <v>2878</v>
      </c>
      <c r="AM721" t="s">
        <v>2879</v>
      </c>
      <c r="AN721" t="s">
        <v>2880</v>
      </c>
      <c r="AO721" t="s">
        <v>12820</v>
      </c>
      <c r="AP721" t="s">
        <v>12821</v>
      </c>
      <c r="AQ721" t="s">
        <v>74</v>
      </c>
      <c r="AR721" t="s">
        <v>12822</v>
      </c>
      <c r="AS721" t="s">
        <v>12823</v>
      </c>
      <c r="AT721" t="s">
        <v>74</v>
      </c>
      <c r="AU721">
        <v>2009</v>
      </c>
      <c r="AV721">
        <v>57</v>
      </c>
      <c r="AW721">
        <v>2</v>
      </c>
      <c r="AX721" t="s">
        <v>74</v>
      </c>
      <c r="AY721" t="s">
        <v>74</v>
      </c>
      <c r="AZ721" t="s">
        <v>74</v>
      </c>
      <c r="BA721" t="s">
        <v>74</v>
      </c>
      <c r="BB721">
        <v>116</v>
      </c>
      <c r="BC721">
        <v>122</v>
      </c>
      <c r="BD721" t="s">
        <v>74</v>
      </c>
      <c r="BE721" t="s">
        <v>12824</v>
      </c>
      <c r="BF721" t="str">
        <f>HYPERLINK("http://dx.doi.org/10.1071/BT09022","http://dx.doi.org/10.1071/BT09022")</f>
        <v>http://dx.doi.org/10.1071/BT09022</v>
      </c>
      <c r="BG721" t="s">
        <v>74</v>
      </c>
      <c r="BH721" t="s">
        <v>74</v>
      </c>
      <c r="BI721">
        <v>7</v>
      </c>
      <c r="BJ721" t="s">
        <v>2573</v>
      </c>
      <c r="BK721" t="s">
        <v>100</v>
      </c>
      <c r="BL721" t="s">
        <v>2573</v>
      </c>
      <c r="BM721" t="s">
        <v>12825</v>
      </c>
      <c r="BN721" t="s">
        <v>74</v>
      </c>
      <c r="BO721" t="s">
        <v>74</v>
      </c>
      <c r="BP721" t="s">
        <v>74</v>
      </c>
      <c r="BQ721" t="s">
        <v>74</v>
      </c>
      <c r="BR721" t="s">
        <v>103</v>
      </c>
      <c r="BS721" t="s">
        <v>12826</v>
      </c>
      <c r="BT721" t="str">
        <f>HYPERLINK("https%3A%2F%2Fwww.webofscience.com%2Fwos%2Fwoscc%2Ffull-record%2FWOS:000265927400005","View Full Record in Web of Science")</f>
        <v>View Full Record in Web of Science</v>
      </c>
    </row>
    <row r="722" spans="1:72" x14ac:dyDescent="0.15">
      <c r="A722" t="s">
        <v>72</v>
      </c>
      <c r="B722" t="s">
        <v>12827</v>
      </c>
      <c r="C722" t="s">
        <v>74</v>
      </c>
      <c r="D722" t="s">
        <v>74</v>
      </c>
      <c r="E722" t="s">
        <v>74</v>
      </c>
      <c r="F722" t="s">
        <v>12828</v>
      </c>
      <c r="G722" t="s">
        <v>74</v>
      </c>
      <c r="H722" t="s">
        <v>74</v>
      </c>
      <c r="I722" t="s">
        <v>12829</v>
      </c>
      <c r="J722" t="s">
        <v>12830</v>
      </c>
      <c r="K722" t="s">
        <v>74</v>
      </c>
      <c r="L722" t="s">
        <v>74</v>
      </c>
      <c r="M722" t="s">
        <v>78</v>
      </c>
      <c r="N722" t="s">
        <v>79</v>
      </c>
      <c r="O722" t="s">
        <v>74</v>
      </c>
      <c r="P722" t="s">
        <v>74</v>
      </c>
      <c r="Q722" t="s">
        <v>74</v>
      </c>
      <c r="R722" t="s">
        <v>74</v>
      </c>
      <c r="S722" t="s">
        <v>74</v>
      </c>
      <c r="T722" t="s">
        <v>12831</v>
      </c>
      <c r="U722" t="s">
        <v>12832</v>
      </c>
      <c r="V722" t="s">
        <v>12833</v>
      </c>
      <c r="W722" t="s">
        <v>12834</v>
      </c>
      <c r="X722" t="s">
        <v>12835</v>
      </c>
      <c r="Y722" t="s">
        <v>12836</v>
      </c>
      <c r="Z722" t="s">
        <v>12837</v>
      </c>
      <c r="AA722" t="s">
        <v>12838</v>
      </c>
      <c r="AB722" t="s">
        <v>12839</v>
      </c>
      <c r="AC722" t="s">
        <v>74</v>
      </c>
      <c r="AD722" t="s">
        <v>74</v>
      </c>
      <c r="AE722" t="s">
        <v>74</v>
      </c>
      <c r="AF722" t="s">
        <v>74</v>
      </c>
      <c r="AG722">
        <v>81</v>
      </c>
      <c r="AH722">
        <v>45</v>
      </c>
      <c r="AI722">
        <v>48</v>
      </c>
      <c r="AJ722">
        <v>1</v>
      </c>
      <c r="AK722">
        <v>31</v>
      </c>
      <c r="AL722" t="s">
        <v>1167</v>
      </c>
      <c r="AM722" t="s">
        <v>1168</v>
      </c>
      <c r="AN722" t="s">
        <v>12840</v>
      </c>
      <c r="AO722" t="s">
        <v>12841</v>
      </c>
      <c r="AP722" t="s">
        <v>74</v>
      </c>
      <c r="AQ722" t="s">
        <v>74</v>
      </c>
      <c r="AR722" t="s">
        <v>12842</v>
      </c>
      <c r="AS722" t="s">
        <v>12843</v>
      </c>
      <c r="AT722" t="s">
        <v>74</v>
      </c>
      <c r="AU722">
        <v>2009</v>
      </c>
      <c r="AV722">
        <v>56</v>
      </c>
      <c r="AW722" t="s">
        <v>74</v>
      </c>
      <c r="AX722" t="s">
        <v>74</v>
      </c>
      <c r="AY722" t="s">
        <v>74</v>
      </c>
      <c r="AZ722" t="s">
        <v>74</v>
      </c>
      <c r="BA722" t="s">
        <v>74</v>
      </c>
      <c r="BB722">
        <v>19</v>
      </c>
      <c r="BC722">
        <v>33</v>
      </c>
      <c r="BD722" t="s">
        <v>12844</v>
      </c>
      <c r="BE722" t="s">
        <v>12845</v>
      </c>
      <c r="BF722" t="str">
        <f>HYPERLINK("http://dx.doi.org/10.1080/08120090902870772","http://dx.doi.org/10.1080/08120090902870772")</f>
        <v>http://dx.doi.org/10.1080/08120090902870772</v>
      </c>
      <c r="BG722" t="s">
        <v>74</v>
      </c>
      <c r="BH722" t="s">
        <v>74</v>
      </c>
      <c r="BI722">
        <v>15</v>
      </c>
      <c r="BJ722" t="s">
        <v>496</v>
      </c>
      <c r="BK722" t="s">
        <v>100</v>
      </c>
      <c r="BL722" t="s">
        <v>497</v>
      </c>
      <c r="BM722" t="s">
        <v>12846</v>
      </c>
      <c r="BN722" t="s">
        <v>74</v>
      </c>
      <c r="BO722" t="s">
        <v>74</v>
      </c>
      <c r="BP722" t="s">
        <v>74</v>
      </c>
      <c r="BQ722" t="s">
        <v>74</v>
      </c>
      <c r="BR722" t="s">
        <v>103</v>
      </c>
      <c r="BS722" t="s">
        <v>12847</v>
      </c>
      <c r="BT722" t="str">
        <f>HYPERLINK("https%3A%2F%2Fwww.webofscience.com%2Fwos%2Fwoscc%2Ffull-record%2FWOS:000267370500003","View Full Record in Web of Science")</f>
        <v>View Full Record in Web of Science</v>
      </c>
    </row>
    <row r="723" spans="1:72" x14ac:dyDescent="0.15">
      <c r="A723" t="s">
        <v>72</v>
      </c>
      <c r="B723" t="s">
        <v>12848</v>
      </c>
      <c r="C723" t="s">
        <v>74</v>
      </c>
      <c r="D723" t="s">
        <v>74</v>
      </c>
      <c r="E723" t="s">
        <v>74</v>
      </c>
      <c r="F723" t="s">
        <v>12849</v>
      </c>
      <c r="G723" t="s">
        <v>74</v>
      </c>
      <c r="H723" t="s">
        <v>74</v>
      </c>
      <c r="I723" t="s">
        <v>12850</v>
      </c>
      <c r="J723" t="s">
        <v>12830</v>
      </c>
      <c r="K723" t="s">
        <v>74</v>
      </c>
      <c r="L723" t="s">
        <v>74</v>
      </c>
      <c r="M723" t="s">
        <v>78</v>
      </c>
      <c r="N723" t="s">
        <v>79</v>
      </c>
      <c r="O723" t="s">
        <v>74</v>
      </c>
      <c r="P723" t="s">
        <v>74</v>
      </c>
      <c r="Q723" t="s">
        <v>74</v>
      </c>
      <c r="R723" t="s">
        <v>74</v>
      </c>
      <c r="S723" t="s">
        <v>74</v>
      </c>
      <c r="T723" t="s">
        <v>12851</v>
      </c>
      <c r="U723" t="s">
        <v>12852</v>
      </c>
      <c r="V723" t="s">
        <v>12853</v>
      </c>
      <c r="W723" t="s">
        <v>12854</v>
      </c>
      <c r="X723" t="s">
        <v>3334</v>
      </c>
      <c r="Y723" t="s">
        <v>12855</v>
      </c>
      <c r="Z723" t="s">
        <v>12856</v>
      </c>
      <c r="AA723" t="s">
        <v>3337</v>
      </c>
      <c r="AB723" t="s">
        <v>3338</v>
      </c>
      <c r="AC723" t="s">
        <v>12857</v>
      </c>
      <c r="AD723" t="s">
        <v>12858</v>
      </c>
      <c r="AE723" t="s">
        <v>12859</v>
      </c>
      <c r="AF723" t="s">
        <v>74</v>
      </c>
      <c r="AG723">
        <v>58</v>
      </c>
      <c r="AH723">
        <v>5</v>
      </c>
      <c r="AI723">
        <v>5</v>
      </c>
      <c r="AJ723">
        <v>0</v>
      </c>
      <c r="AK723">
        <v>5</v>
      </c>
      <c r="AL723" t="s">
        <v>1167</v>
      </c>
      <c r="AM723" t="s">
        <v>1168</v>
      </c>
      <c r="AN723" t="s">
        <v>12840</v>
      </c>
      <c r="AO723" t="s">
        <v>12841</v>
      </c>
      <c r="AP723" t="s">
        <v>74</v>
      </c>
      <c r="AQ723" t="s">
        <v>74</v>
      </c>
      <c r="AR723" t="s">
        <v>12842</v>
      </c>
      <c r="AS723" t="s">
        <v>12843</v>
      </c>
      <c r="AT723" t="s">
        <v>74</v>
      </c>
      <c r="AU723">
        <v>2009</v>
      </c>
      <c r="AV723">
        <v>56</v>
      </c>
      <c r="AW723">
        <v>7</v>
      </c>
      <c r="AX723" t="s">
        <v>74</v>
      </c>
      <c r="AY723" t="s">
        <v>74</v>
      </c>
      <c r="AZ723" t="s">
        <v>74</v>
      </c>
      <c r="BA723" t="s">
        <v>74</v>
      </c>
      <c r="BB723">
        <v>951</v>
      </c>
      <c r="BC723">
        <v>963</v>
      </c>
      <c r="BD723" t="s">
        <v>12860</v>
      </c>
      <c r="BE723" t="s">
        <v>12861</v>
      </c>
      <c r="BF723" t="str">
        <f>HYPERLINK("http://dx.doi.org/10.1080/08120090903005402","http://dx.doi.org/10.1080/08120090903005402")</f>
        <v>http://dx.doi.org/10.1080/08120090903005402</v>
      </c>
      <c r="BG723" t="s">
        <v>74</v>
      </c>
      <c r="BH723" t="s">
        <v>74</v>
      </c>
      <c r="BI723">
        <v>13</v>
      </c>
      <c r="BJ723" t="s">
        <v>496</v>
      </c>
      <c r="BK723" t="s">
        <v>100</v>
      </c>
      <c r="BL723" t="s">
        <v>497</v>
      </c>
      <c r="BM723" t="s">
        <v>12862</v>
      </c>
      <c r="BN723" t="s">
        <v>74</v>
      </c>
      <c r="BO723" t="s">
        <v>74</v>
      </c>
      <c r="BP723" t="s">
        <v>74</v>
      </c>
      <c r="BQ723" t="s">
        <v>74</v>
      </c>
      <c r="BR723" t="s">
        <v>103</v>
      </c>
      <c r="BS723" t="s">
        <v>12863</v>
      </c>
      <c r="BT723" t="str">
        <f>HYPERLINK("https%3A%2F%2Fwww.webofscience.com%2Fwos%2Fwoscc%2Ffull-record%2FWOS:000269543200006","View Full Record in Web of Science")</f>
        <v>View Full Record in Web of Science</v>
      </c>
    </row>
    <row r="724" spans="1:72" x14ac:dyDescent="0.15">
      <c r="A724" t="s">
        <v>72</v>
      </c>
      <c r="B724" t="s">
        <v>12864</v>
      </c>
      <c r="C724" t="s">
        <v>74</v>
      </c>
      <c r="D724" t="s">
        <v>74</v>
      </c>
      <c r="E724" t="s">
        <v>74</v>
      </c>
      <c r="F724" t="s">
        <v>12865</v>
      </c>
      <c r="G724" t="s">
        <v>74</v>
      </c>
      <c r="H724" t="s">
        <v>74</v>
      </c>
      <c r="I724" t="s">
        <v>12866</v>
      </c>
      <c r="J724" t="s">
        <v>12830</v>
      </c>
      <c r="K724" t="s">
        <v>74</v>
      </c>
      <c r="L724" t="s">
        <v>74</v>
      </c>
      <c r="M724" t="s">
        <v>78</v>
      </c>
      <c r="N724" t="s">
        <v>79</v>
      </c>
      <c r="O724" t="s">
        <v>74</v>
      </c>
      <c r="P724" t="s">
        <v>74</v>
      </c>
      <c r="Q724" t="s">
        <v>74</v>
      </c>
      <c r="R724" t="s">
        <v>74</v>
      </c>
      <c r="S724" t="s">
        <v>74</v>
      </c>
      <c r="T724" t="s">
        <v>12867</v>
      </c>
      <c r="U724" t="s">
        <v>12868</v>
      </c>
      <c r="V724" t="s">
        <v>12869</v>
      </c>
      <c r="W724" t="s">
        <v>12870</v>
      </c>
      <c r="X724" t="s">
        <v>12871</v>
      </c>
      <c r="Y724" t="s">
        <v>12872</v>
      </c>
      <c r="Z724" t="s">
        <v>12873</v>
      </c>
      <c r="AA724" t="s">
        <v>12874</v>
      </c>
      <c r="AB724" t="s">
        <v>12875</v>
      </c>
      <c r="AC724" t="s">
        <v>12876</v>
      </c>
      <c r="AD724" t="s">
        <v>12877</v>
      </c>
      <c r="AE724" t="s">
        <v>12878</v>
      </c>
      <c r="AF724" t="s">
        <v>74</v>
      </c>
      <c r="AG724">
        <v>54</v>
      </c>
      <c r="AH724">
        <v>27</v>
      </c>
      <c r="AI724">
        <v>27</v>
      </c>
      <c r="AJ724">
        <v>0</v>
      </c>
      <c r="AK724">
        <v>17</v>
      </c>
      <c r="AL724" t="s">
        <v>1167</v>
      </c>
      <c r="AM724" t="s">
        <v>1168</v>
      </c>
      <c r="AN724" t="s">
        <v>1169</v>
      </c>
      <c r="AO724" t="s">
        <v>12841</v>
      </c>
      <c r="AP724" t="s">
        <v>12879</v>
      </c>
      <c r="AQ724" t="s">
        <v>74</v>
      </c>
      <c r="AR724" t="s">
        <v>12842</v>
      </c>
      <c r="AS724" t="s">
        <v>12843</v>
      </c>
      <c r="AT724" t="s">
        <v>74</v>
      </c>
      <c r="AU724">
        <v>2009</v>
      </c>
      <c r="AV724">
        <v>56</v>
      </c>
      <c r="AW724">
        <v>8</v>
      </c>
      <c r="AX724" t="s">
        <v>74</v>
      </c>
      <c r="AY724" t="s">
        <v>74</v>
      </c>
      <c r="AZ724" t="s">
        <v>74</v>
      </c>
      <c r="BA724" t="s">
        <v>74</v>
      </c>
      <c r="BB724">
        <v>1095</v>
      </c>
      <c r="BC724">
        <v>1110</v>
      </c>
      <c r="BD724" t="s">
        <v>12880</v>
      </c>
      <c r="BE724" t="s">
        <v>12881</v>
      </c>
      <c r="BF724" t="str">
        <f>HYPERLINK("http://dx.doi.org/10.1080/08120090903246212","http://dx.doi.org/10.1080/08120090903246212")</f>
        <v>http://dx.doi.org/10.1080/08120090903246212</v>
      </c>
      <c r="BG724" t="s">
        <v>74</v>
      </c>
      <c r="BH724" t="s">
        <v>74</v>
      </c>
      <c r="BI724">
        <v>16</v>
      </c>
      <c r="BJ724" t="s">
        <v>496</v>
      </c>
      <c r="BK724" t="s">
        <v>100</v>
      </c>
      <c r="BL724" t="s">
        <v>497</v>
      </c>
      <c r="BM724" t="s">
        <v>12882</v>
      </c>
      <c r="BN724" t="s">
        <v>74</v>
      </c>
      <c r="BO724" t="s">
        <v>74</v>
      </c>
      <c r="BP724" t="s">
        <v>74</v>
      </c>
      <c r="BQ724" t="s">
        <v>74</v>
      </c>
      <c r="BR724" t="s">
        <v>103</v>
      </c>
      <c r="BS724" t="s">
        <v>12883</v>
      </c>
      <c r="BT724" t="str">
        <f>HYPERLINK("https%3A%2F%2Fwww.webofscience.com%2Fwos%2Fwoscc%2Ffull-record%2FWOS:000271509400005","View Full Record in Web of Science")</f>
        <v>View Full Record in Web of Science</v>
      </c>
    </row>
    <row r="725" spans="1:72" x14ac:dyDescent="0.15">
      <c r="A725" t="s">
        <v>72</v>
      </c>
      <c r="B725" t="s">
        <v>12884</v>
      </c>
      <c r="C725" t="s">
        <v>74</v>
      </c>
      <c r="D725" t="s">
        <v>74</v>
      </c>
      <c r="E725" t="s">
        <v>74</v>
      </c>
      <c r="F725" t="s">
        <v>12885</v>
      </c>
      <c r="G725" t="s">
        <v>74</v>
      </c>
      <c r="H725" t="s">
        <v>74</v>
      </c>
      <c r="I725" t="s">
        <v>12886</v>
      </c>
      <c r="J725" t="s">
        <v>12887</v>
      </c>
      <c r="K725" t="s">
        <v>74</v>
      </c>
      <c r="L725" t="s">
        <v>74</v>
      </c>
      <c r="M725" t="s">
        <v>78</v>
      </c>
      <c r="N725" t="s">
        <v>79</v>
      </c>
      <c r="O725" t="s">
        <v>74</v>
      </c>
      <c r="P725" t="s">
        <v>74</v>
      </c>
      <c r="Q725" t="s">
        <v>74</v>
      </c>
      <c r="R725" t="s">
        <v>74</v>
      </c>
      <c r="S725" t="s">
        <v>74</v>
      </c>
      <c r="T725" t="s">
        <v>74</v>
      </c>
      <c r="U725" t="s">
        <v>74</v>
      </c>
      <c r="V725" t="s">
        <v>12888</v>
      </c>
      <c r="W725" t="s">
        <v>74</v>
      </c>
      <c r="X725" t="s">
        <v>74</v>
      </c>
      <c r="Y725" t="s">
        <v>74</v>
      </c>
      <c r="Z725" t="s">
        <v>7202</v>
      </c>
      <c r="AA725" t="s">
        <v>7203</v>
      </c>
      <c r="AB725" t="s">
        <v>74</v>
      </c>
      <c r="AC725" t="s">
        <v>74</v>
      </c>
      <c r="AD725" t="s">
        <v>74</v>
      </c>
      <c r="AE725" t="s">
        <v>74</v>
      </c>
      <c r="AF725" t="s">
        <v>74</v>
      </c>
      <c r="AG725">
        <v>48</v>
      </c>
      <c r="AH725">
        <v>6</v>
      </c>
      <c r="AI725">
        <v>6</v>
      </c>
      <c r="AJ725">
        <v>0</v>
      </c>
      <c r="AK725">
        <v>3</v>
      </c>
      <c r="AL725" t="s">
        <v>12889</v>
      </c>
      <c r="AM725" t="s">
        <v>1168</v>
      </c>
      <c r="AN725" t="s">
        <v>12890</v>
      </c>
      <c r="AO725" t="s">
        <v>12891</v>
      </c>
      <c r="AP725" t="s">
        <v>74</v>
      </c>
      <c r="AQ725" t="s">
        <v>74</v>
      </c>
      <c r="AR725" t="s">
        <v>12892</v>
      </c>
      <c r="AS725" t="s">
        <v>12893</v>
      </c>
      <c r="AT725" t="s">
        <v>74</v>
      </c>
      <c r="AU725">
        <v>2009</v>
      </c>
      <c r="AV725">
        <v>63</v>
      </c>
      <c r="AW725">
        <v>2</v>
      </c>
      <c r="AX725" t="s">
        <v>74</v>
      </c>
      <c r="AY725" t="s">
        <v>74</v>
      </c>
      <c r="AZ725" t="s">
        <v>74</v>
      </c>
      <c r="BA725" t="s">
        <v>74</v>
      </c>
      <c r="BB725">
        <v>268</v>
      </c>
      <c r="BC725">
        <v>289</v>
      </c>
      <c r="BD725" t="s">
        <v>12894</v>
      </c>
      <c r="BE725" t="s">
        <v>12895</v>
      </c>
      <c r="BF725" t="str">
        <f>HYPERLINK("http://dx.doi.org/10.1080/10357710802389488","http://dx.doi.org/10.1080/10357710802389488")</f>
        <v>http://dx.doi.org/10.1080/10357710802389488</v>
      </c>
      <c r="BG725" t="s">
        <v>74</v>
      </c>
      <c r="BH725" t="s">
        <v>74</v>
      </c>
      <c r="BI725">
        <v>22</v>
      </c>
      <c r="BJ725" t="s">
        <v>2780</v>
      </c>
      <c r="BK725" t="s">
        <v>6246</v>
      </c>
      <c r="BL725" t="s">
        <v>2780</v>
      </c>
      <c r="BM725" t="s">
        <v>12896</v>
      </c>
      <c r="BN725" t="s">
        <v>74</v>
      </c>
      <c r="BO725" t="s">
        <v>74</v>
      </c>
      <c r="BP725" t="s">
        <v>74</v>
      </c>
      <c r="BQ725" t="s">
        <v>74</v>
      </c>
      <c r="BR725" t="s">
        <v>103</v>
      </c>
      <c r="BS725" t="s">
        <v>12897</v>
      </c>
      <c r="BT725" t="str">
        <f>HYPERLINK("https%3A%2F%2Fwww.webofscience.com%2Fwos%2Fwoscc%2Ffull-record%2FWOS:000266248700007","View Full Record in Web of Science")</f>
        <v>View Full Record in Web of Science</v>
      </c>
    </row>
    <row r="726" spans="1:72" x14ac:dyDescent="0.15">
      <c r="A726" t="s">
        <v>2434</v>
      </c>
      <c r="B726" t="s">
        <v>12898</v>
      </c>
      <c r="C726" t="s">
        <v>74</v>
      </c>
      <c r="D726" t="s">
        <v>12899</v>
      </c>
      <c r="E726" t="s">
        <v>74</v>
      </c>
      <c r="F726" t="s">
        <v>12900</v>
      </c>
      <c r="G726" t="s">
        <v>74</v>
      </c>
      <c r="H726" t="s">
        <v>74</v>
      </c>
      <c r="I726" t="s">
        <v>12901</v>
      </c>
      <c r="J726" t="s">
        <v>12902</v>
      </c>
      <c r="K726" t="s">
        <v>12903</v>
      </c>
      <c r="L726" t="s">
        <v>74</v>
      </c>
      <c r="M726" t="s">
        <v>78</v>
      </c>
      <c r="N726" t="s">
        <v>2440</v>
      </c>
      <c r="O726" t="s">
        <v>12904</v>
      </c>
      <c r="P726" t="s">
        <v>12905</v>
      </c>
      <c r="Q726" t="s">
        <v>12906</v>
      </c>
      <c r="R726" t="s">
        <v>74</v>
      </c>
      <c r="S726" t="s">
        <v>74</v>
      </c>
      <c r="T726" t="s">
        <v>74</v>
      </c>
      <c r="U726" t="s">
        <v>12907</v>
      </c>
      <c r="V726" t="s">
        <v>12908</v>
      </c>
      <c r="W726" t="s">
        <v>12909</v>
      </c>
      <c r="X726" t="s">
        <v>12910</v>
      </c>
      <c r="Y726" t="s">
        <v>12911</v>
      </c>
      <c r="Z726" t="s">
        <v>74</v>
      </c>
      <c r="AA726" t="s">
        <v>74</v>
      </c>
      <c r="AB726" t="s">
        <v>74</v>
      </c>
      <c r="AC726" t="s">
        <v>74</v>
      </c>
      <c r="AD726" t="s">
        <v>74</v>
      </c>
      <c r="AE726" t="s">
        <v>74</v>
      </c>
      <c r="AF726" t="s">
        <v>74</v>
      </c>
      <c r="AG726">
        <v>195</v>
      </c>
      <c r="AH726">
        <v>66</v>
      </c>
      <c r="AI726">
        <v>85</v>
      </c>
      <c r="AJ726">
        <v>1</v>
      </c>
      <c r="AK726">
        <v>20</v>
      </c>
      <c r="AL726" t="s">
        <v>12912</v>
      </c>
      <c r="AM726" t="s">
        <v>1096</v>
      </c>
      <c r="AN726" t="s">
        <v>12913</v>
      </c>
      <c r="AO726" t="s">
        <v>12914</v>
      </c>
      <c r="AP726" t="s">
        <v>74</v>
      </c>
      <c r="AQ726" t="s">
        <v>12915</v>
      </c>
      <c r="AR726" t="s">
        <v>12916</v>
      </c>
      <c r="AS726" t="s">
        <v>12917</v>
      </c>
      <c r="AT726" t="s">
        <v>74</v>
      </c>
      <c r="AU726">
        <v>2009</v>
      </c>
      <c r="AV726">
        <v>204</v>
      </c>
      <c r="AW726" t="s">
        <v>74</v>
      </c>
      <c r="AX726" t="s">
        <v>74</v>
      </c>
      <c r="AY726" t="s">
        <v>74</v>
      </c>
      <c r="AZ726" t="s">
        <v>74</v>
      </c>
      <c r="BA726" t="s">
        <v>74</v>
      </c>
      <c r="BB726">
        <v>1</v>
      </c>
      <c r="BC726">
        <v>29</v>
      </c>
      <c r="BD726" t="s">
        <v>74</v>
      </c>
      <c r="BE726" t="s">
        <v>12918</v>
      </c>
      <c r="BF726" t="str">
        <f>HYPERLINK("http://dx.doi.org/10.1130/2009.1204(01)","http://dx.doi.org/10.1130/2009.1204(01)")</f>
        <v>http://dx.doi.org/10.1130/2009.1204(01)</v>
      </c>
      <c r="BG726" t="s">
        <v>74</v>
      </c>
      <c r="BH726" t="s">
        <v>74</v>
      </c>
      <c r="BI726">
        <v>29</v>
      </c>
      <c r="BJ726" t="s">
        <v>12919</v>
      </c>
      <c r="BK726" t="s">
        <v>2457</v>
      </c>
      <c r="BL726" t="s">
        <v>12919</v>
      </c>
      <c r="BM726" t="s">
        <v>12920</v>
      </c>
      <c r="BN726" t="s">
        <v>74</v>
      </c>
      <c r="BO726" t="s">
        <v>74</v>
      </c>
      <c r="BP726" t="s">
        <v>74</v>
      </c>
      <c r="BQ726" t="s">
        <v>74</v>
      </c>
      <c r="BR726" t="s">
        <v>103</v>
      </c>
      <c r="BS726" t="s">
        <v>12921</v>
      </c>
      <c r="BT726" t="str">
        <f>HYPERLINK("https%3A%2F%2Fwww.webofscience.com%2Fwos%2Fwoscc%2Ffull-record%2FWOS:000272826200002","View Full Record in Web of Science")</f>
        <v>View Full Record in Web of Science</v>
      </c>
    </row>
    <row r="727" spans="1:72" x14ac:dyDescent="0.15">
      <c r="A727" t="s">
        <v>72</v>
      </c>
      <c r="B727" t="s">
        <v>12922</v>
      </c>
      <c r="C727" t="s">
        <v>74</v>
      </c>
      <c r="D727" t="s">
        <v>74</v>
      </c>
      <c r="E727" t="s">
        <v>74</v>
      </c>
      <c r="F727" t="s">
        <v>12923</v>
      </c>
      <c r="G727" t="s">
        <v>74</v>
      </c>
      <c r="H727" t="s">
        <v>74</v>
      </c>
      <c r="I727" t="s">
        <v>12924</v>
      </c>
      <c r="J727" t="s">
        <v>12925</v>
      </c>
      <c r="K727" t="s">
        <v>74</v>
      </c>
      <c r="L727" t="s">
        <v>74</v>
      </c>
      <c r="M727" t="s">
        <v>78</v>
      </c>
      <c r="N727" t="s">
        <v>79</v>
      </c>
      <c r="O727" t="s">
        <v>74</v>
      </c>
      <c r="P727" t="s">
        <v>74</v>
      </c>
      <c r="Q727" t="s">
        <v>74</v>
      </c>
      <c r="R727" t="s">
        <v>74</v>
      </c>
      <c r="S727" t="s">
        <v>74</v>
      </c>
      <c r="T727" t="s">
        <v>74</v>
      </c>
      <c r="U727" t="s">
        <v>12926</v>
      </c>
      <c r="V727" t="s">
        <v>12927</v>
      </c>
      <c r="W727" t="s">
        <v>12928</v>
      </c>
      <c r="X727" t="s">
        <v>12929</v>
      </c>
      <c r="Y727" t="s">
        <v>12930</v>
      </c>
      <c r="Z727" t="s">
        <v>12931</v>
      </c>
      <c r="AA727" t="s">
        <v>12932</v>
      </c>
      <c r="AB727" t="s">
        <v>12933</v>
      </c>
      <c r="AC727" t="s">
        <v>12934</v>
      </c>
      <c r="AD727" t="s">
        <v>12935</v>
      </c>
      <c r="AE727" t="s">
        <v>12936</v>
      </c>
      <c r="AF727" t="s">
        <v>74</v>
      </c>
      <c r="AG727">
        <v>51</v>
      </c>
      <c r="AH727">
        <v>19</v>
      </c>
      <c r="AI727">
        <v>24</v>
      </c>
      <c r="AJ727">
        <v>0</v>
      </c>
      <c r="AK727">
        <v>49</v>
      </c>
      <c r="AL727" t="s">
        <v>7730</v>
      </c>
      <c r="AM727" t="s">
        <v>7731</v>
      </c>
      <c r="AN727" t="s">
        <v>7732</v>
      </c>
      <c r="AO727" t="s">
        <v>12937</v>
      </c>
      <c r="AP727" t="s">
        <v>12938</v>
      </c>
      <c r="AQ727" t="s">
        <v>74</v>
      </c>
      <c r="AR727" t="s">
        <v>12925</v>
      </c>
      <c r="AS727" t="s">
        <v>12939</v>
      </c>
      <c r="AT727" t="s">
        <v>74</v>
      </c>
      <c r="AU727">
        <v>2009</v>
      </c>
      <c r="AV727">
        <v>6</v>
      </c>
      <c r="AW727">
        <v>1</v>
      </c>
      <c r="AX727" t="s">
        <v>74</v>
      </c>
      <c r="AY727" t="s">
        <v>74</v>
      </c>
      <c r="AZ727" t="s">
        <v>74</v>
      </c>
      <c r="BA727" t="s">
        <v>74</v>
      </c>
      <c r="BB727">
        <v>33</v>
      </c>
      <c r="BC727">
        <v>44</v>
      </c>
      <c r="BD727" t="s">
        <v>74</v>
      </c>
      <c r="BE727" t="s">
        <v>12940</v>
      </c>
      <c r="BF727" t="str">
        <f>HYPERLINK("http://dx.doi.org/10.5194/bg-6-33-2009","http://dx.doi.org/10.5194/bg-6-33-2009")</f>
        <v>http://dx.doi.org/10.5194/bg-6-33-2009</v>
      </c>
      <c r="BG727" t="s">
        <v>74</v>
      </c>
      <c r="BH727" t="s">
        <v>74</v>
      </c>
      <c r="BI727">
        <v>12</v>
      </c>
      <c r="BJ727" t="s">
        <v>259</v>
      </c>
      <c r="BK727" t="s">
        <v>100</v>
      </c>
      <c r="BL727" t="s">
        <v>260</v>
      </c>
      <c r="BM727" t="s">
        <v>12941</v>
      </c>
      <c r="BN727" t="s">
        <v>74</v>
      </c>
      <c r="BO727" t="s">
        <v>450</v>
      </c>
      <c r="BP727" t="s">
        <v>74</v>
      </c>
      <c r="BQ727" t="s">
        <v>74</v>
      </c>
      <c r="BR727" t="s">
        <v>103</v>
      </c>
      <c r="BS727" t="s">
        <v>12942</v>
      </c>
      <c r="BT727" t="str">
        <f>HYPERLINK("https%3A%2F%2Fwww.webofscience.com%2Fwos%2Fwoscc%2Ffull-record%2FWOS:000262902700004","View Full Record in Web of Science")</f>
        <v>View Full Record in Web of Science</v>
      </c>
    </row>
    <row r="728" spans="1:72" x14ac:dyDescent="0.15">
      <c r="A728" t="s">
        <v>72</v>
      </c>
      <c r="B728" t="s">
        <v>12943</v>
      </c>
      <c r="C728" t="s">
        <v>74</v>
      </c>
      <c r="D728" t="s">
        <v>74</v>
      </c>
      <c r="E728" t="s">
        <v>74</v>
      </c>
      <c r="F728" t="s">
        <v>12944</v>
      </c>
      <c r="G728" t="s">
        <v>74</v>
      </c>
      <c r="H728" t="s">
        <v>74</v>
      </c>
      <c r="I728" t="s">
        <v>12945</v>
      </c>
      <c r="J728" t="s">
        <v>12925</v>
      </c>
      <c r="K728" t="s">
        <v>74</v>
      </c>
      <c r="L728" t="s">
        <v>74</v>
      </c>
      <c r="M728" t="s">
        <v>78</v>
      </c>
      <c r="N728" t="s">
        <v>79</v>
      </c>
      <c r="O728" t="s">
        <v>74</v>
      </c>
      <c r="P728" t="s">
        <v>74</v>
      </c>
      <c r="Q728" t="s">
        <v>74</v>
      </c>
      <c r="R728" t="s">
        <v>74</v>
      </c>
      <c r="S728" t="s">
        <v>74</v>
      </c>
      <c r="T728" t="s">
        <v>74</v>
      </c>
      <c r="U728" t="s">
        <v>12946</v>
      </c>
      <c r="V728" t="s">
        <v>12947</v>
      </c>
      <c r="W728" t="s">
        <v>12948</v>
      </c>
      <c r="X728" t="s">
        <v>12949</v>
      </c>
      <c r="Y728" t="s">
        <v>12950</v>
      </c>
      <c r="Z728" t="s">
        <v>12951</v>
      </c>
      <c r="AA728" t="s">
        <v>12952</v>
      </c>
      <c r="AB728" t="s">
        <v>12953</v>
      </c>
      <c r="AC728" t="s">
        <v>12954</v>
      </c>
      <c r="AD728" t="s">
        <v>12955</v>
      </c>
      <c r="AE728" t="s">
        <v>12956</v>
      </c>
      <c r="AF728" t="s">
        <v>74</v>
      </c>
      <c r="AG728">
        <v>47</v>
      </c>
      <c r="AH728">
        <v>98</v>
      </c>
      <c r="AI728">
        <v>102</v>
      </c>
      <c r="AJ728">
        <v>1</v>
      </c>
      <c r="AK728">
        <v>33</v>
      </c>
      <c r="AL728" t="s">
        <v>7730</v>
      </c>
      <c r="AM728" t="s">
        <v>7731</v>
      </c>
      <c r="AN728" t="s">
        <v>7732</v>
      </c>
      <c r="AO728" t="s">
        <v>12937</v>
      </c>
      <c r="AP728" t="s">
        <v>12938</v>
      </c>
      <c r="AQ728" t="s">
        <v>74</v>
      </c>
      <c r="AR728" t="s">
        <v>12925</v>
      </c>
      <c r="AS728" t="s">
        <v>12939</v>
      </c>
      <c r="AT728" t="s">
        <v>74</v>
      </c>
      <c r="AU728">
        <v>2009</v>
      </c>
      <c r="AV728">
        <v>6</v>
      </c>
      <c r="AW728">
        <v>3</v>
      </c>
      <c r="AX728" t="s">
        <v>74</v>
      </c>
      <c r="AY728" t="s">
        <v>74</v>
      </c>
      <c r="AZ728" t="s">
        <v>74</v>
      </c>
      <c r="BA728" t="s">
        <v>74</v>
      </c>
      <c r="BB728">
        <v>439</v>
      </c>
      <c r="BC728">
        <v>451</v>
      </c>
      <c r="BD728" t="s">
        <v>74</v>
      </c>
      <c r="BE728" t="s">
        <v>12957</v>
      </c>
      <c r="BF728" t="str">
        <f>HYPERLINK("http://dx.doi.org/10.5194/bg-6-439-2009","http://dx.doi.org/10.5194/bg-6-439-2009")</f>
        <v>http://dx.doi.org/10.5194/bg-6-439-2009</v>
      </c>
      <c r="BG728" t="s">
        <v>74</v>
      </c>
      <c r="BH728" t="s">
        <v>74</v>
      </c>
      <c r="BI728">
        <v>13</v>
      </c>
      <c r="BJ728" t="s">
        <v>259</v>
      </c>
      <c r="BK728" t="s">
        <v>100</v>
      </c>
      <c r="BL728" t="s">
        <v>260</v>
      </c>
      <c r="BM728" t="s">
        <v>12958</v>
      </c>
      <c r="BN728" t="s">
        <v>74</v>
      </c>
      <c r="BO728" t="s">
        <v>450</v>
      </c>
      <c r="BP728" t="s">
        <v>74</v>
      </c>
      <c r="BQ728" t="s">
        <v>74</v>
      </c>
      <c r="BR728" t="s">
        <v>103</v>
      </c>
      <c r="BS728" t="s">
        <v>12959</v>
      </c>
      <c r="BT728" t="str">
        <f>HYPERLINK("https%3A%2F%2Fwww.webofscience.com%2Fwos%2Fwoscc%2Ffull-record%2FWOS:000264741800010","View Full Record in Web of Science")</f>
        <v>View Full Record in Web of Science</v>
      </c>
    </row>
    <row r="729" spans="1:72" x14ac:dyDescent="0.15">
      <c r="A729" t="s">
        <v>72</v>
      </c>
      <c r="B729" t="s">
        <v>12960</v>
      </c>
      <c r="C729" t="s">
        <v>74</v>
      </c>
      <c r="D729" t="s">
        <v>74</v>
      </c>
      <c r="E729" t="s">
        <v>74</v>
      </c>
      <c r="F729" t="s">
        <v>12961</v>
      </c>
      <c r="G729" t="s">
        <v>74</v>
      </c>
      <c r="H729" t="s">
        <v>74</v>
      </c>
      <c r="I729" t="s">
        <v>12962</v>
      </c>
      <c r="J729" t="s">
        <v>12925</v>
      </c>
      <c r="K729" t="s">
        <v>74</v>
      </c>
      <c r="L729" t="s">
        <v>74</v>
      </c>
      <c r="M729" t="s">
        <v>78</v>
      </c>
      <c r="N729" t="s">
        <v>1437</v>
      </c>
      <c r="O729" t="s">
        <v>12963</v>
      </c>
      <c r="P729">
        <v>2007</v>
      </c>
      <c r="Q729" t="s">
        <v>12964</v>
      </c>
      <c r="R729" t="s">
        <v>74</v>
      </c>
      <c r="S729" t="s">
        <v>74</v>
      </c>
      <c r="T729" t="s">
        <v>74</v>
      </c>
      <c r="U729" t="s">
        <v>12965</v>
      </c>
      <c r="V729" t="s">
        <v>12966</v>
      </c>
      <c r="W729" t="s">
        <v>12967</v>
      </c>
      <c r="X729" t="s">
        <v>12968</v>
      </c>
      <c r="Y729" t="s">
        <v>12969</v>
      </c>
      <c r="Z729" t="s">
        <v>12970</v>
      </c>
      <c r="AA729" t="s">
        <v>74</v>
      </c>
      <c r="AB729" t="s">
        <v>74</v>
      </c>
      <c r="AC729" t="s">
        <v>12971</v>
      </c>
      <c r="AD729" t="s">
        <v>12972</v>
      </c>
      <c r="AE729" t="s">
        <v>74</v>
      </c>
      <c r="AF729" t="s">
        <v>74</v>
      </c>
      <c r="AG729">
        <v>41</v>
      </c>
      <c r="AH729">
        <v>13</v>
      </c>
      <c r="AI729">
        <v>16</v>
      </c>
      <c r="AJ729">
        <v>0</v>
      </c>
      <c r="AK729">
        <v>26</v>
      </c>
      <c r="AL729" t="s">
        <v>7730</v>
      </c>
      <c r="AM729" t="s">
        <v>7731</v>
      </c>
      <c r="AN729" t="s">
        <v>7732</v>
      </c>
      <c r="AO729" t="s">
        <v>12937</v>
      </c>
      <c r="AP729" t="s">
        <v>12938</v>
      </c>
      <c r="AQ729" t="s">
        <v>74</v>
      </c>
      <c r="AR729" t="s">
        <v>12925</v>
      </c>
      <c r="AS729" t="s">
        <v>12939</v>
      </c>
      <c r="AT729" t="s">
        <v>74</v>
      </c>
      <c r="AU729">
        <v>2009</v>
      </c>
      <c r="AV729">
        <v>6</v>
      </c>
      <c r="AW729">
        <v>3</v>
      </c>
      <c r="AX729" t="s">
        <v>74</v>
      </c>
      <c r="AY729" t="s">
        <v>74</v>
      </c>
      <c r="AZ729" t="s">
        <v>74</v>
      </c>
      <c r="BA729" t="s">
        <v>74</v>
      </c>
      <c r="BB729">
        <v>479</v>
      </c>
      <c r="BC729">
        <v>486</v>
      </c>
      <c r="BD729" t="s">
        <v>74</v>
      </c>
      <c r="BE729" t="s">
        <v>12973</v>
      </c>
      <c r="BF729" t="str">
        <f>HYPERLINK("http://dx.doi.org/10.5194/bg-6-479-2009","http://dx.doi.org/10.5194/bg-6-479-2009")</f>
        <v>http://dx.doi.org/10.5194/bg-6-479-2009</v>
      </c>
      <c r="BG729" t="s">
        <v>74</v>
      </c>
      <c r="BH729" t="s">
        <v>74</v>
      </c>
      <c r="BI729">
        <v>8</v>
      </c>
      <c r="BJ729" t="s">
        <v>259</v>
      </c>
      <c r="BK729" t="s">
        <v>1453</v>
      </c>
      <c r="BL729" t="s">
        <v>260</v>
      </c>
      <c r="BM729" t="s">
        <v>12958</v>
      </c>
      <c r="BN729" t="s">
        <v>74</v>
      </c>
      <c r="BO729" t="s">
        <v>450</v>
      </c>
      <c r="BP729" t="s">
        <v>74</v>
      </c>
      <c r="BQ729" t="s">
        <v>74</v>
      </c>
      <c r="BR729" t="s">
        <v>103</v>
      </c>
      <c r="BS729" t="s">
        <v>12974</v>
      </c>
      <c r="BT729" t="str">
        <f>HYPERLINK("https%3A%2F%2Fwww.webofscience.com%2Fwos%2Fwoscc%2Ffull-record%2FWOS:000264741800014","View Full Record in Web of Science")</f>
        <v>View Full Record in Web of Science</v>
      </c>
    </row>
    <row r="730" spans="1:72" x14ac:dyDescent="0.15">
      <c r="A730" t="s">
        <v>72</v>
      </c>
      <c r="B730" t="s">
        <v>12975</v>
      </c>
      <c r="C730" t="s">
        <v>74</v>
      </c>
      <c r="D730" t="s">
        <v>74</v>
      </c>
      <c r="E730" t="s">
        <v>74</v>
      </c>
      <c r="F730" t="s">
        <v>12976</v>
      </c>
      <c r="G730" t="s">
        <v>74</v>
      </c>
      <c r="H730" t="s">
        <v>74</v>
      </c>
      <c r="I730" t="s">
        <v>12977</v>
      </c>
      <c r="J730" t="s">
        <v>12925</v>
      </c>
      <c r="K730" t="s">
        <v>74</v>
      </c>
      <c r="L730" t="s">
        <v>74</v>
      </c>
      <c r="M730" t="s">
        <v>78</v>
      </c>
      <c r="N730" t="s">
        <v>172</v>
      </c>
      <c r="O730" t="s">
        <v>74</v>
      </c>
      <c r="P730" t="s">
        <v>74</v>
      </c>
      <c r="Q730" t="s">
        <v>74</v>
      </c>
      <c r="R730" t="s">
        <v>74</v>
      </c>
      <c r="S730" t="s">
        <v>74</v>
      </c>
      <c r="T730" t="s">
        <v>74</v>
      </c>
      <c r="U730" t="s">
        <v>12978</v>
      </c>
      <c r="V730" t="s">
        <v>12979</v>
      </c>
      <c r="W730" t="s">
        <v>12980</v>
      </c>
      <c r="X730" t="s">
        <v>12981</v>
      </c>
      <c r="Y730" t="s">
        <v>12982</v>
      </c>
      <c r="Z730" t="s">
        <v>12983</v>
      </c>
      <c r="AA730" t="s">
        <v>12984</v>
      </c>
      <c r="AB730" t="s">
        <v>12985</v>
      </c>
      <c r="AC730" t="s">
        <v>12986</v>
      </c>
      <c r="AD730" t="s">
        <v>1593</v>
      </c>
      <c r="AE730" t="s">
        <v>74</v>
      </c>
      <c r="AF730" t="s">
        <v>74</v>
      </c>
      <c r="AG730">
        <v>107</v>
      </c>
      <c r="AH730">
        <v>34</v>
      </c>
      <c r="AI730">
        <v>36</v>
      </c>
      <c r="AJ730">
        <v>0</v>
      </c>
      <c r="AK730">
        <v>30</v>
      </c>
      <c r="AL730" t="s">
        <v>7730</v>
      </c>
      <c r="AM730" t="s">
        <v>7731</v>
      </c>
      <c r="AN730" t="s">
        <v>7732</v>
      </c>
      <c r="AO730" t="s">
        <v>12937</v>
      </c>
      <c r="AP730" t="s">
        <v>12938</v>
      </c>
      <c r="AQ730" t="s">
        <v>74</v>
      </c>
      <c r="AR730" t="s">
        <v>12925</v>
      </c>
      <c r="AS730" t="s">
        <v>12939</v>
      </c>
      <c r="AT730" t="s">
        <v>74</v>
      </c>
      <c r="AU730">
        <v>2009</v>
      </c>
      <c r="AV730">
        <v>6</v>
      </c>
      <c r="AW730">
        <v>4</v>
      </c>
      <c r="AX730" t="s">
        <v>74</v>
      </c>
      <c r="AY730" t="s">
        <v>74</v>
      </c>
      <c r="AZ730" t="s">
        <v>74</v>
      </c>
      <c r="BA730" t="s">
        <v>74</v>
      </c>
      <c r="BB730">
        <v>681</v>
      </c>
      <c r="BC730">
        <v>703</v>
      </c>
      <c r="BD730" t="s">
        <v>74</v>
      </c>
      <c r="BE730" t="s">
        <v>12987</v>
      </c>
      <c r="BF730" t="str">
        <f>HYPERLINK("http://dx.doi.org/10.5194/bg-6-681-2009","http://dx.doi.org/10.5194/bg-6-681-2009")</f>
        <v>http://dx.doi.org/10.5194/bg-6-681-2009</v>
      </c>
      <c r="BG730" t="s">
        <v>74</v>
      </c>
      <c r="BH730" t="s">
        <v>74</v>
      </c>
      <c r="BI730">
        <v>23</v>
      </c>
      <c r="BJ730" t="s">
        <v>259</v>
      </c>
      <c r="BK730" t="s">
        <v>100</v>
      </c>
      <c r="BL730" t="s">
        <v>260</v>
      </c>
      <c r="BM730" t="s">
        <v>12988</v>
      </c>
      <c r="BN730" t="s">
        <v>74</v>
      </c>
      <c r="BO730" t="s">
        <v>450</v>
      </c>
      <c r="BP730" t="s">
        <v>74</v>
      </c>
      <c r="BQ730" t="s">
        <v>74</v>
      </c>
      <c r="BR730" t="s">
        <v>103</v>
      </c>
      <c r="BS730" t="s">
        <v>12989</v>
      </c>
      <c r="BT730" t="str">
        <f>HYPERLINK("https%3A%2F%2Fwww.webofscience.com%2Fwos%2Fwoscc%2Ffull-record%2FWOS:000265743200013","View Full Record in Web of Science")</f>
        <v>View Full Record in Web of Science</v>
      </c>
    </row>
    <row r="731" spans="1:72" x14ac:dyDescent="0.15">
      <c r="A731" t="s">
        <v>72</v>
      </c>
      <c r="B731" t="s">
        <v>12990</v>
      </c>
      <c r="C731" t="s">
        <v>74</v>
      </c>
      <c r="D731" t="s">
        <v>74</v>
      </c>
      <c r="E731" t="s">
        <v>74</v>
      </c>
      <c r="F731" t="s">
        <v>12991</v>
      </c>
      <c r="G731" t="s">
        <v>74</v>
      </c>
      <c r="H731" t="s">
        <v>74</v>
      </c>
      <c r="I731" t="s">
        <v>12992</v>
      </c>
      <c r="J731" t="s">
        <v>12925</v>
      </c>
      <c r="K731" t="s">
        <v>74</v>
      </c>
      <c r="L731" t="s">
        <v>74</v>
      </c>
      <c r="M731" t="s">
        <v>78</v>
      </c>
      <c r="N731" t="s">
        <v>79</v>
      </c>
      <c r="O731" t="s">
        <v>74</v>
      </c>
      <c r="P731" t="s">
        <v>74</v>
      </c>
      <c r="Q731" t="s">
        <v>74</v>
      </c>
      <c r="R731" t="s">
        <v>74</v>
      </c>
      <c r="S731" t="s">
        <v>74</v>
      </c>
      <c r="T731" t="s">
        <v>74</v>
      </c>
      <c r="U731" t="s">
        <v>12993</v>
      </c>
      <c r="V731" t="s">
        <v>12994</v>
      </c>
      <c r="W731" t="s">
        <v>12995</v>
      </c>
      <c r="X731" t="s">
        <v>12996</v>
      </c>
      <c r="Y731" t="s">
        <v>12997</v>
      </c>
      <c r="Z731" t="s">
        <v>12998</v>
      </c>
      <c r="AA731" t="s">
        <v>12999</v>
      </c>
      <c r="AB731" t="s">
        <v>13000</v>
      </c>
      <c r="AC731" t="s">
        <v>74</v>
      </c>
      <c r="AD731" t="s">
        <v>74</v>
      </c>
      <c r="AE731" t="s">
        <v>74</v>
      </c>
      <c r="AF731" t="s">
        <v>74</v>
      </c>
      <c r="AG731">
        <v>77</v>
      </c>
      <c r="AH731">
        <v>52</v>
      </c>
      <c r="AI731">
        <v>55</v>
      </c>
      <c r="AJ731">
        <v>2</v>
      </c>
      <c r="AK731">
        <v>37</v>
      </c>
      <c r="AL731" t="s">
        <v>7730</v>
      </c>
      <c r="AM731" t="s">
        <v>7731</v>
      </c>
      <c r="AN731" t="s">
        <v>7732</v>
      </c>
      <c r="AO731" t="s">
        <v>12937</v>
      </c>
      <c r="AP731" t="s">
        <v>12938</v>
      </c>
      <c r="AQ731" t="s">
        <v>74</v>
      </c>
      <c r="AR731" t="s">
        <v>12925</v>
      </c>
      <c r="AS731" t="s">
        <v>12939</v>
      </c>
      <c r="AT731" t="s">
        <v>74</v>
      </c>
      <c r="AU731">
        <v>2009</v>
      </c>
      <c r="AV731">
        <v>6</v>
      </c>
      <c r="AW731">
        <v>11</v>
      </c>
      <c r="AX731" t="s">
        <v>74</v>
      </c>
      <c r="AY731" t="s">
        <v>74</v>
      </c>
      <c r="AZ731" t="s">
        <v>74</v>
      </c>
      <c r="BA731" t="s">
        <v>74</v>
      </c>
      <c r="BB731">
        <v>2383</v>
      </c>
      <c r="BC731">
        <v>2395</v>
      </c>
      <c r="BD731" t="s">
        <v>74</v>
      </c>
      <c r="BE731" t="s">
        <v>13001</v>
      </c>
      <c r="BF731" t="str">
        <f>HYPERLINK("http://dx.doi.org/10.5194/bg-6-2383-2009","http://dx.doi.org/10.5194/bg-6-2383-2009")</f>
        <v>http://dx.doi.org/10.5194/bg-6-2383-2009</v>
      </c>
      <c r="BG731" t="s">
        <v>74</v>
      </c>
      <c r="BH731" t="s">
        <v>74</v>
      </c>
      <c r="BI731">
        <v>13</v>
      </c>
      <c r="BJ731" t="s">
        <v>259</v>
      </c>
      <c r="BK731" t="s">
        <v>100</v>
      </c>
      <c r="BL731" t="s">
        <v>260</v>
      </c>
      <c r="BM731" t="s">
        <v>13002</v>
      </c>
      <c r="BN731" t="s">
        <v>74</v>
      </c>
      <c r="BO731" t="s">
        <v>11623</v>
      </c>
      <c r="BP731" t="s">
        <v>74</v>
      </c>
      <c r="BQ731" t="s">
        <v>74</v>
      </c>
      <c r="BR731" t="s">
        <v>103</v>
      </c>
      <c r="BS731" t="s">
        <v>13003</v>
      </c>
      <c r="BT731" t="str">
        <f>HYPERLINK("https%3A%2F%2Fwww.webofscience.com%2Fwos%2Fwoscc%2Ffull-record%2FWOS:000272232200004","View Full Record in Web of Science")</f>
        <v>View Full Record in Web of Science</v>
      </c>
    </row>
    <row r="732" spans="1:72" x14ac:dyDescent="0.15">
      <c r="A732" t="s">
        <v>72</v>
      </c>
      <c r="B732" t="s">
        <v>13004</v>
      </c>
      <c r="C732" t="s">
        <v>74</v>
      </c>
      <c r="D732" t="s">
        <v>74</v>
      </c>
      <c r="E732" t="s">
        <v>74</v>
      </c>
      <c r="F732" t="s">
        <v>13005</v>
      </c>
      <c r="G732" t="s">
        <v>74</v>
      </c>
      <c r="H732" t="s">
        <v>74</v>
      </c>
      <c r="I732" t="s">
        <v>13006</v>
      </c>
      <c r="J732" t="s">
        <v>12925</v>
      </c>
      <c r="K732" t="s">
        <v>74</v>
      </c>
      <c r="L732" t="s">
        <v>74</v>
      </c>
      <c r="M732" t="s">
        <v>78</v>
      </c>
      <c r="N732" t="s">
        <v>79</v>
      </c>
      <c r="O732" t="s">
        <v>74</v>
      </c>
      <c r="P732" t="s">
        <v>74</v>
      </c>
      <c r="Q732" t="s">
        <v>74</v>
      </c>
      <c r="R732" t="s">
        <v>74</v>
      </c>
      <c r="S732" t="s">
        <v>74</v>
      </c>
      <c r="T732" t="s">
        <v>74</v>
      </c>
      <c r="U732" t="s">
        <v>13007</v>
      </c>
      <c r="V732" t="s">
        <v>13008</v>
      </c>
      <c r="W732" t="s">
        <v>13009</v>
      </c>
      <c r="X732" t="s">
        <v>13010</v>
      </c>
      <c r="Y732" t="s">
        <v>13011</v>
      </c>
      <c r="Z732" t="s">
        <v>13012</v>
      </c>
      <c r="AA732" t="s">
        <v>13013</v>
      </c>
      <c r="AB732" t="s">
        <v>13014</v>
      </c>
      <c r="AC732" t="s">
        <v>13015</v>
      </c>
      <c r="AD732" t="s">
        <v>13016</v>
      </c>
      <c r="AE732" t="s">
        <v>13017</v>
      </c>
      <c r="AF732" t="s">
        <v>74</v>
      </c>
      <c r="AG732">
        <v>96</v>
      </c>
      <c r="AH732">
        <v>71</v>
      </c>
      <c r="AI732">
        <v>77</v>
      </c>
      <c r="AJ732">
        <v>1</v>
      </c>
      <c r="AK732">
        <v>52</v>
      </c>
      <c r="AL732" t="s">
        <v>7730</v>
      </c>
      <c r="AM732" t="s">
        <v>7731</v>
      </c>
      <c r="AN732" t="s">
        <v>7732</v>
      </c>
      <c r="AO732" t="s">
        <v>12937</v>
      </c>
      <c r="AP732" t="s">
        <v>12938</v>
      </c>
      <c r="AQ732" t="s">
        <v>74</v>
      </c>
      <c r="AR732" t="s">
        <v>12925</v>
      </c>
      <c r="AS732" t="s">
        <v>12939</v>
      </c>
      <c r="AT732" t="s">
        <v>74</v>
      </c>
      <c r="AU732">
        <v>2009</v>
      </c>
      <c r="AV732">
        <v>6</v>
      </c>
      <c r="AW732">
        <v>12</v>
      </c>
      <c r="AX732" t="s">
        <v>74</v>
      </c>
      <c r="AY732" t="s">
        <v>74</v>
      </c>
      <c r="AZ732" t="s">
        <v>74</v>
      </c>
      <c r="BA732" t="s">
        <v>74</v>
      </c>
      <c r="BB732">
        <v>3131</v>
      </c>
      <c r="BC732">
        <v>3147</v>
      </c>
      <c r="BD732" t="s">
        <v>74</v>
      </c>
      <c r="BE732" t="s">
        <v>13018</v>
      </c>
      <c r="BF732" t="str">
        <f>HYPERLINK("http://dx.doi.org/10.5194/bg-6-3131-2009","http://dx.doi.org/10.5194/bg-6-3131-2009")</f>
        <v>http://dx.doi.org/10.5194/bg-6-3131-2009</v>
      </c>
      <c r="BG732" t="s">
        <v>74</v>
      </c>
      <c r="BH732" t="s">
        <v>74</v>
      </c>
      <c r="BI732">
        <v>17</v>
      </c>
      <c r="BJ732" t="s">
        <v>259</v>
      </c>
      <c r="BK732" t="s">
        <v>100</v>
      </c>
      <c r="BL732" t="s">
        <v>260</v>
      </c>
      <c r="BM732" t="s">
        <v>13019</v>
      </c>
      <c r="BN732" t="s">
        <v>74</v>
      </c>
      <c r="BO732" t="s">
        <v>450</v>
      </c>
      <c r="BP732" t="s">
        <v>74</v>
      </c>
      <c r="BQ732" t="s">
        <v>74</v>
      </c>
      <c r="BR732" t="s">
        <v>103</v>
      </c>
      <c r="BS732" t="s">
        <v>13020</v>
      </c>
      <c r="BT732" t="str">
        <f>HYPERLINK("https%3A%2F%2Fwww.webofscience.com%2Fwos%2Fwoscc%2Ffull-record%2FWOS:000273060100026","View Full Record in Web of Science")</f>
        <v>View Full Record in Web of Science</v>
      </c>
    </row>
    <row r="733" spans="1:72" x14ac:dyDescent="0.15">
      <c r="A733" t="s">
        <v>2434</v>
      </c>
      <c r="B733" t="s">
        <v>13021</v>
      </c>
      <c r="C733" t="s">
        <v>74</v>
      </c>
      <c r="D733" t="s">
        <v>13022</v>
      </c>
      <c r="E733" t="s">
        <v>74</v>
      </c>
      <c r="F733" t="s">
        <v>13023</v>
      </c>
      <c r="G733" t="s">
        <v>74</v>
      </c>
      <c r="H733" t="s">
        <v>74</v>
      </c>
      <c r="I733" t="s">
        <v>13024</v>
      </c>
      <c r="J733" t="s">
        <v>13025</v>
      </c>
      <c r="K733" t="s">
        <v>13026</v>
      </c>
      <c r="L733" t="s">
        <v>74</v>
      </c>
      <c r="M733" t="s">
        <v>78</v>
      </c>
      <c r="N733" t="s">
        <v>2440</v>
      </c>
      <c r="O733" t="s">
        <v>13027</v>
      </c>
      <c r="P733" t="s">
        <v>13028</v>
      </c>
      <c r="Q733" t="s">
        <v>13029</v>
      </c>
      <c r="R733" t="s">
        <v>74</v>
      </c>
      <c r="S733" t="s">
        <v>74</v>
      </c>
      <c r="T733" t="s">
        <v>13030</v>
      </c>
      <c r="U733" t="s">
        <v>13031</v>
      </c>
      <c r="V733" t="s">
        <v>13032</v>
      </c>
      <c r="W733" t="s">
        <v>13033</v>
      </c>
      <c r="X733" t="s">
        <v>74</v>
      </c>
      <c r="Y733" t="s">
        <v>13034</v>
      </c>
      <c r="Z733" t="s">
        <v>13035</v>
      </c>
      <c r="AA733" t="s">
        <v>74</v>
      </c>
      <c r="AB733" t="s">
        <v>74</v>
      </c>
      <c r="AC733" t="s">
        <v>13036</v>
      </c>
      <c r="AD733" t="s">
        <v>13036</v>
      </c>
      <c r="AE733" t="s">
        <v>13037</v>
      </c>
      <c r="AF733" t="s">
        <v>74</v>
      </c>
      <c r="AG733">
        <v>43</v>
      </c>
      <c r="AH733">
        <v>1</v>
      </c>
      <c r="AI733">
        <v>1</v>
      </c>
      <c r="AJ733">
        <v>0</v>
      </c>
      <c r="AK733">
        <v>6</v>
      </c>
      <c r="AL733" t="s">
        <v>13038</v>
      </c>
      <c r="AM733" t="s">
        <v>7815</v>
      </c>
      <c r="AN733" t="s">
        <v>13039</v>
      </c>
      <c r="AO733" t="s">
        <v>13040</v>
      </c>
      <c r="AP733" t="s">
        <v>74</v>
      </c>
      <c r="AQ733" t="s">
        <v>74</v>
      </c>
      <c r="AR733" t="s">
        <v>13041</v>
      </c>
      <c r="AS733" t="s">
        <v>13042</v>
      </c>
      <c r="AT733" t="s">
        <v>74</v>
      </c>
      <c r="AU733">
        <v>2009</v>
      </c>
      <c r="AV733">
        <v>8</v>
      </c>
      <c r="AW733" t="s">
        <v>74</v>
      </c>
      <c r="AX733" t="s">
        <v>74</v>
      </c>
      <c r="AY733" t="s">
        <v>74</v>
      </c>
      <c r="AZ733" t="s">
        <v>74</v>
      </c>
      <c r="BA733" t="s">
        <v>74</v>
      </c>
      <c r="BB733">
        <v>195</v>
      </c>
      <c r="BC733" t="s">
        <v>10944</v>
      </c>
      <c r="BD733" t="s">
        <v>74</v>
      </c>
      <c r="BE733" t="s">
        <v>74</v>
      </c>
      <c r="BF733" t="s">
        <v>74</v>
      </c>
      <c r="BG733" t="s">
        <v>74</v>
      </c>
      <c r="BH733" t="s">
        <v>74</v>
      </c>
      <c r="BI733">
        <v>3</v>
      </c>
      <c r="BJ733" t="s">
        <v>2480</v>
      </c>
      <c r="BK733" t="s">
        <v>2457</v>
      </c>
      <c r="BL733" t="s">
        <v>424</v>
      </c>
      <c r="BM733" t="s">
        <v>13043</v>
      </c>
      <c r="BN733" t="s">
        <v>74</v>
      </c>
      <c r="BO733" t="s">
        <v>74</v>
      </c>
      <c r="BP733" t="s">
        <v>74</v>
      </c>
      <c r="BQ733" t="s">
        <v>74</v>
      </c>
      <c r="BR733" t="s">
        <v>103</v>
      </c>
      <c r="BS733" t="s">
        <v>13044</v>
      </c>
      <c r="BT733" t="str">
        <f>HYPERLINK("https%3A%2F%2Fwww.webofscience.com%2Fwos%2Fwoscc%2Ffull-record%2FWOS:000272449900018","View Full Record in Web of Science")</f>
        <v>View Full Record in Web of Science</v>
      </c>
    </row>
    <row r="734" spans="1:72" x14ac:dyDescent="0.15">
      <c r="A734" t="s">
        <v>72</v>
      </c>
      <c r="B734" t="s">
        <v>13045</v>
      </c>
      <c r="C734" t="s">
        <v>74</v>
      </c>
      <c r="D734" t="s">
        <v>74</v>
      </c>
      <c r="E734" t="s">
        <v>74</v>
      </c>
      <c r="F734" t="s">
        <v>13046</v>
      </c>
      <c r="G734" t="s">
        <v>74</v>
      </c>
      <c r="H734" t="s">
        <v>74</v>
      </c>
      <c r="I734" t="s">
        <v>13047</v>
      </c>
      <c r="J734" t="s">
        <v>13048</v>
      </c>
      <c r="K734" t="s">
        <v>74</v>
      </c>
      <c r="L734" t="s">
        <v>74</v>
      </c>
      <c r="M734" t="s">
        <v>78</v>
      </c>
      <c r="N734" t="s">
        <v>79</v>
      </c>
      <c r="O734" t="s">
        <v>74</v>
      </c>
      <c r="P734" t="s">
        <v>74</v>
      </c>
      <c r="Q734" t="s">
        <v>74</v>
      </c>
      <c r="R734" t="s">
        <v>74</v>
      </c>
      <c r="S734" t="s">
        <v>74</v>
      </c>
      <c r="T734" t="s">
        <v>13049</v>
      </c>
      <c r="U734" t="s">
        <v>74</v>
      </c>
      <c r="V734" t="s">
        <v>13050</v>
      </c>
      <c r="W734" t="s">
        <v>13051</v>
      </c>
      <c r="X734" t="s">
        <v>3641</v>
      </c>
      <c r="Y734" t="s">
        <v>13052</v>
      </c>
      <c r="Z734" t="s">
        <v>13053</v>
      </c>
      <c r="AA734" t="s">
        <v>74</v>
      </c>
      <c r="AB734" t="s">
        <v>74</v>
      </c>
      <c r="AC734" t="s">
        <v>13054</v>
      </c>
      <c r="AD734" t="s">
        <v>13055</v>
      </c>
      <c r="AE734" t="s">
        <v>13056</v>
      </c>
      <c r="AF734" t="s">
        <v>74</v>
      </c>
      <c r="AG734">
        <v>21</v>
      </c>
      <c r="AH734">
        <v>4</v>
      </c>
      <c r="AI734">
        <v>5</v>
      </c>
      <c r="AJ734">
        <v>1</v>
      </c>
      <c r="AK734">
        <v>3</v>
      </c>
      <c r="AL734" t="s">
        <v>1167</v>
      </c>
      <c r="AM734" t="s">
        <v>1168</v>
      </c>
      <c r="AN734" t="s">
        <v>1169</v>
      </c>
      <c r="AO734" t="s">
        <v>13057</v>
      </c>
      <c r="AP734" t="s">
        <v>13058</v>
      </c>
      <c r="AQ734" t="s">
        <v>74</v>
      </c>
      <c r="AR734" t="s">
        <v>13059</v>
      </c>
      <c r="AS734" t="s">
        <v>13060</v>
      </c>
      <c r="AT734" t="s">
        <v>74</v>
      </c>
      <c r="AU734">
        <v>2009</v>
      </c>
      <c r="AV734">
        <v>23</v>
      </c>
      <c r="AW734" t="s">
        <v>74</v>
      </c>
      <c r="AX734" t="s">
        <v>74</v>
      </c>
      <c r="AY734">
        <v>1</v>
      </c>
      <c r="AZ734" t="s">
        <v>74</v>
      </c>
      <c r="BA734" t="s">
        <v>74</v>
      </c>
      <c r="BB734">
        <v>233</v>
      </c>
      <c r="BC734">
        <v>236</v>
      </c>
      <c r="BD734" t="s">
        <v>74</v>
      </c>
      <c r="BE734" t="s">
        <v>13061</v>
      </c>
      <c r="BF734" t="str">
        <f>HYPERLINK("http://dx.doi.org/10.1080/13102818.2009.10818408","http://dx.doi.org/10.1080/13102818.2009.10818408")</f>
        <v>http://dx.doi.org/10.1080/13102818.2009.10818408</v>
      </c>
      <c r="BG734" t="s">
        <v>74</v>
      </c>
      <c r="BH734" t="s">
        <v>74</v>
      </c>
      <c r="BI734">
        <v>4</v>
      </c>
      <c r="BJ734" t="s">
        <v>8464</v>
      </c>
      <c r="BK734" t="s">
        <v>100</v>
      </c>
      <c r="BL734" t="s">
        <v>8464</v>
      </c>
      <c r="BM734" t="s">
        <v>13062</v>
      </c>
      <c r="BN734" t="s">
        <v>74</v>
      </c>
      <c r="BO734" t="s">
        <v>499</v>
      </c>
      <c r="BP734" t="s">
        <v>74</v>
      </c>
      <c r="BQ734" t="s">
        <v>74</v>
      </c>
      <c r="BR734" t="s">
        <v>103</v>
      </c>
      <c r="BS734" t="s">
        <v>13063</v>
      </c>
      <c r="BT734" t="str">
        <f>HYPERLINK("https%3A%2F%2Fwww.webofscience.com%2Fwos%2Fwoscc%2Ffull-record%2FWOS:000451691400058","View Full Record in Web of Science")</f>
        <v>View Full Record in Web of Science</v>
      </c>
    </row>
    <row r="735" spans="1:72" x14ac:dyDescent="0.15">
      <c r="A735" t="s">
        <v>72</v>
      </c>
      <c r="B735" t="s">
        <v>13064</v>
      </c>
      <c r="C735" t="s">
        <v>74</v>
      </c>
      <c r="D735" t="s">
        <v>74</v>
      </c>
      <c r="E735" t="s">
        <v>74</v>
      </c>
      <c r="F735" t="s">
        <v>13065</v>
      </c>
      <c r="G735" t="s">
        <v>74</v>
      </c>
      <c r="H735" t="s">
        <v>74</v>
      </c>
      <c r="I735" t="s">
        <v>13066</v>
      </c>
      <c r="J735" t="s">
        <v>13048</v>
      </c>
      <c r="K735" t="s">
        <v>74</v>
      </c>
      <c r="L735" t="s">
        <v>74</v>
      </c>
      <c r="M735" t="s">
        <v>78</v>
      </c>
      <c r="N735" t="s">
        <v>79</v>
      </c>
      <c r="O735" t="s">
        <v>74</v>
      </c>
      <c r="P735" t="s">
        <v>74</v>
      </c>
      <c r="Q735" t="s">
        <v>74</v>
      </c>
      <c r="R735" t="s">
        <v>74</v>
      </c>
      <c r="S735" t="s">
        <v>74</v>
      </c>
      <c r="T735" t="s">
        <v>13067</v>
      </c>
      <c r="U735" t="s">
        <v>74</v>
      </c>
      <c r="V735" t="s">
        <v>13068</v>
      </c>
      <c r="W735" t="s">
        <v>13069</v>
      </c>
      <c r="X735" t="s">
        <v>13070</v>
      </c>
      <c r="Y735" t="s">
        <v>13071</v>
      </c>
      <c r="Z735" t="s">
        <v>13072</v>
      </c>
      <c r="AA735" t="s">
        <v>13073</v>
      </c>
      <c r="AB735" t="s">
        <v>13074</v>
      </c>
      <c r="AC735" t="s">
        <v>13075</v>
      </c>
      <c r="AD735" t="s">
        <v>13076</v>
      </c>
      <c r="AE735" t="s">
        <v>13077</v>
      </c>
      <c r="AF735" t="s">
        <v>74</v>
      </c>
      <c r="AG735">
        <v>14</v>
      </c>
      <c r="AH735">
        <v>8</v>
      </c>
      <c r="AI735">
        <v>9</v>
      </c>
      <c r="AJ735">
        <v>1</v>
      </c>
      <c r="AK735">
        <v>5</v>
      </c>
      <c r="AL735" t="s">
        <v>1167</v>
      </c>
      <c r="AM735" t="s">
        <v>1168</v>
      </c>
      <c r="AN735" t="s">
        <v>1169</v>
      </c>
      <c r="AO735" t="s">
        <v>13057</v>
      </c>
      <c r="AP735" t="s">
        <v>13058</v>
      </c>
      <c r="AQ735" t="s">
        <v>74</v>
      </c>
      <c r="AR735" t="s">
        <v>13059</v>
      </c>
      <c r="AS735" t="s">
        <v>13060</v>
      </c>
      <c r="AT735" t="s">
        <v>74</v>
      </c>
      <c r="AU735">
        <v>2009</v>
      </c>
      <c r="AV735">
        <v>23</v>
      </c>
      <c r="AW735" t="s">
        <v>74</v>
      </c>
      <c r="AX735" t="s">
        <v>74</v>
      </c>
      <c r="AY735">
        <v>1</v>
      </c>
      <c r="AZ735" t="s">
        <v>74</v>
      </c>
      <c r="BA735" t="s">
        <v>74</v>
      </c>
      <c r="BB735">
        <v>246</v>
      </c>
      <c r="BC735">
        <v>249</v>
      </c>
      <c r="BD735" t="s">
        <v>74</v>
      </c>
      <c r="BE735" t="s">
        <v>13078</v>
      </c>
      <c r="BF735" t="str">
        <f>HYPERLINK("http://dx.doi.org/10.1080/13102818.2009.10818411","http://dx.doi.org/10.1080/13102818.2009.10818411")</f>
        <v>http://dx.doi.org/10.1080/13102818.2009.10818411</v>
      </c>
      <c r="BG735" t="s">
        <v>74</v>
      </c>
      <c r="BH735" t="s">
        <v>74</v>
      </c>
      <c r="BI735">
        <v>4</v>
      </c>
      <c r="BJ735" t="s">
        <v>8464</v>
      </c>
      <c r="BK735" t="s">
        <v>100</v>
      </c>
      <c r="BL735" t="s">
        <v>8464</v>
      </c>
      <c r="BM735" t="s">
        <v>13062</v>
      </c>
      <c r="BN735" t="s">
        <v>74</v>
      </c>
      <c r="BO735" t="s">
        <v>499</v>
      </c>
      <c r="BP735" t="s">
        <v>74</v>
      </c>
      <c r="BQ735" t="s">
        <v>74</v>
      </c>
      <c r="BR735" t="s">
        <v>103</v>
      </c>
      <c r="BS735" t="s">
        <v>13079</v>
      </c>
      <c r="BT735" t="str">
        <f>HYPERLINK("https%3A%2F%2Fwww.webofscience.com%2Fwos%2Fwoscc%2Ffull-record%2FWOS:000451691400061","View Full Record in Web of Science")</f>
        <v>View Full Record in Web of Science</v>
      </c>
    </row>
    <row r="736" spans="1:72" x14ac:dyDescent="0.15">
      <c r="A736" t="s">
        <v>72</v>
      </c>
      <c r="B736" t="s">
        <v>13080</v>
      </c>
      <c r="C736" t="s">
        <v>74</v>
      </c>
      <c r="D736" t="s">
        <v>74</v>
      </c>
      <c r="E736" t="s">
        <v>74</v>
      </c>
      <c r="F736" t="s">
        <v>13081</v>
      </c>
      <c r="G736" t="s">
        <v>74</v>
      </c>
      <c r="H736" t="s">
        <v>74</v>
      </c>
      <c r="I736" t="s">
        <v>13082</v>
      </c>
      <c r="J736" t="s">
        <v>13048</v>
      </c>
      <c r="K736" t="s">
        <v>74</v>
      </c>
      <c r="L736" t="s">
        <v>74</v>
      </c>
      <c r="M736" t="s">
        <v>78</v>
      </c>
      <c r="N736" t="s">
        <v>79</v>
      </c>
      <c r="O736" t="s">
        <v>74</v>
      </c>
      <c r="P736" t="s">
        <v>74</v>
      </c>
      <c r="Q736" t="s">
        <v>74</v>
      </c>
      <c r="R736" t="s">
        <v>74</v>
      </c>
      <c r="S736" t="s">
        <v>74</v>
      </c>
      <c r="T736" t="s">
        <v>13083</v>
      </c>
      <c r="U736" t="s">
        <v>74</v>
      </c>
      <c r="V736" t="s">
        <v>13084</v>
      </c>
      <c r="W736" t="s">
        <v>13085</v>
      </c>
      <c r="X736" t="s">
        <v>6495</v>
      </c>
      <c r="Y736" t="s">
        <v>13086</v>
      </c>
      <c r="Z736" t="s">
        <v>74</v>
      </c>
      <c r="AA736" t="s">
        <v>13087</v>
      </c>
      <c r="AB736" t="s">
        <v>13088</v>
      </c>
      <c r="AC736" t="s">
        <v>13089</v>
      </c>
      <c r="AD736" t="s">
        <v>13090</v>
      </c>
      <c r="AE736" t="s">
        <v>13091</v>
      </c>
      <c r="AF736" t="s">
        <v>74</v>
      </c>
      <c r="AG736">
        <v>11</v>
      </c>
      <c r="AH736">
        <v>22</v>
      </c>
      <c r="AI736">
        <v>23</v>
      </c>
      <c r="AJ736">
        <v>1</v>
      </c>
      <c r="AK736">
        <v>13</v>
      </c>
      <c r="AL736" t="s">
        <v>1167</v>
      </c>
      <c r="AM736" t="s">
        <v>1168</v>
      </c>
      <c r="AN736" t="s">
        <v>1169</v>
      </c>
      <c r="AO736" t="s">
        <v>13057</v>
      </c>
      <c r="AP736" t="s">
        <v>13058</v>
      </c>
      <c r="AQ736" t="s">
        <v>74</v>
      </c>
      <c r="AR736" t="s">
        <v>13059</v>
      </c>
      <c r="AS736" t="s">
        <v>13060</v>
      </c>
      <c r="AT736" t="s">
        <v>74</v>
      </c>
      <c r="AU736">
        <v>2009</v>
      </c>
      <c r="AV736">
        <v>23</v>
      </c>
      <c r="AW736" t="s">
        <v>74</v>
      </c>
      <c r="AX736" t="s">
        <v>74</v>
      </c>
      <c r="AY736">
        <v>1</v>
      </c>
      <c r="AZ736" t="s">
        <v>74</v>
      </c>
      <c r="BA736" t="s">
        <v>74</v>
      </c>
      <c r="BB736">
        <v>267</v>
      </c>
      <c r="BC736">
        <v>270</v>
      </c>
      <c r="BD736" t="s">
        <v>74</v>
      </c>
      <c r="BE736" t="s">
        <v>13092</v>
      </c>
      <c r="BF736" t="str">
        <f>HYPERLINK("http://dx.doi.org/10.1080/13102818.2009.10818416","http://dx.doi.org/10.1080/13102818.2009.10818416")</f>
        <v>http://dx.doi.org/10.1080/13102818.2009.10818416</v>
      </c>
      <c r="BG736" t="s">
        <v>74</v>
      </c>
      <c r="BH736" t="s">
        <v>74</v>
      </c>
      <c r="BI736">
        <v>4</v>
      </c>
      <c r="BJ736" t="s">
        <v>8464</v>
      </c>
      <c r="BK736" t="s">
        <v>100</v>
      </c>
      <c r="BL736" t="s">
        <v>8464</v>
      </c>
      <c r="BM736" t="s">
        <v>13062</v>
      </c>
      <c r="BN736" t="s">
        <v>74</v>
      </c>
      <c r="BO736" t="s">
        <v>74</v>
      </c>
      <c r="BP736" t="s">
        <v>74</v>
      </c>
      <c r="BQ736" t="s">
        <v>74</v>
      </c>
      <c r="BR736" t="s">
        <v>103</v>
      </c>
      <c r="BS736" t="s">
        <v>13093</v>
      </c>
      <c r="BT736" t="str">
        <f>HYPERLINK("https%3A%2F%2Fwww.webofscience.com%2Fwos%2Fwoscc%2Ffull-record%2FWOS:000451691400066","View Full Record in Web of Science")</f>
        <v>View Full Record in Web of Science</v>
      </c>
    </row>
    <row r="737" spans="1:72" x14ac:dyDescent="0.15">
      <c r="A737" t="s">
        <v>72</v>
      </c>
      <c r="B737" t="s">
        <v>13094</v>
      </c>
      <c r="C737" t="s">
        <v>74</v>
      </c>
      <c r="D737" t="s">
        <v>74</v>
      </c>
      <c r="E737" t="s">
        <v>74</v>
      </c>
      <c r="F737" t="s">
        <v>13095</v>
      </c>
      <c r="G737" t="s">
        <v>74</v>
      </c>
      <c r="H737" t="s">
        <v>74</v>
      </c>
      <c r="I737" t="s">
        <v>13096</v>
      </c>
      <c r="J737" t="s">
        <v>13048</v>
      </c>
      <c r="K737" t="s">
        <v>74</v>
      </c>
      <c r="L737" t="s">
        <v>74</v>
      </c>
      <c r="M737" t="s">
        <v>78</v>
      </c>
      <c r="N737" t="s">
        <v>79</v>
      </c>
      <c r="O737" t="s">
        <v>74</v>
      </c>
      <c r="P737" t="s">
        <v>74</v>
      </c>
      <c r="Q737" t="s">
        <v>74</v>
      </c>
      <c r="R737" t="s">
        <v>74</v>
      </c>
      <c r="S737" t="s">
        <v>74</v>
      </c>
      <c r="T737" t="s">
        <v>13097</v>
      </c>
      <c r="U737" t="s">
        <v>74</v>
      </c>
      <c r="V737" t="s">
        <v>13098</v>
      </c>
      <c r="W737" t="s">
        <v>13099</v>
      </c>
      <c r="X737" t="s">
        <v>13100</v>
      </c>
      <c r="Y737" t="s">
        <v>13101</v>
      </c>
      <c r="Z737" t="s">
        <v>13102</v>
      </c>
      <c r="AA737" t="s">
        <v>74</v>
      </c>
      <c r="AB737" t="s">
        <v>74</v>
      </c>
      <c r="AC737" t="s">
        <v>13103</v>
      </c>
      <c r="AD737" t="s">
        <v>13104</v>
      </c>
      <c r="AE737" t="s">
        <v>13105</v>
      </c>
      <c r="AF737" t="s">
        <v>74</v>
      </c>
      <c r="AG737">
        <v>16</v>
      </c>
      <c r="AH737">
        <v>6</v>
      </c>
      <c r="AI737">
        <v>6</v>
      </c>
      <c r="AJ737">
        <v>0</v>
      </c>
      <c r="AK737">
        <v>3</v>
      </c>
      <c r="AL737" t="s">
        <v>1167</v>
      </c>
      <c r="AM737" t="s">
        <v>1168</v>
      </c>
      <c r="AN737" t="s">
        <v>1169</v>
      </c>
      <c r="AO737" t="s">
        <v>13057</v>
      </c>
      <c r="AP737" t="s">
        <v>13058</v>
      </c>
      <c r="AQ737" t="s">
        <v>74</v>
      </c>
      <c r="AR737" t="s">
        <v>13059</v>
      </c>
      <c r="AS737" t="s">
        <v>13060</v>
      </c>
      <c r="AT737" t="s">
        <v>74</v>
      </c>
      <c r="AU737">
        <v>2009</v>
      </c>
      <c r="AV737">
        <v>23</v>
      </c>
      <c r="AW737" t="s">
        <v>74</v>
      </c>
      <c r="AX737" t="s">
        <v>74</v>
      </c>
      <c r="AY737">
        <v>1</v>
      </c>
      <c r="AZ737" t="s">
        <v>74</v>
      </c>
      <c r="BA737" t="s">
        <v>74</v>
      </c>
      <c r="BB737">
        <v>888</v>
      </c>
      <c r="BC737">
        <v>891</v>
      </c>
      <c r="BD737" t="s">
        <v>74</v>
      </c>
      <c r="BE737" t="s">
        <v>13106</v>
      </c>
      <c r="BF737" t="str">
        <f>HYPERLINK("http://dx.doi.org/10.1080/13102818.2009.10818565","http://dx.doi.org/10.1080/13102818.2009.10818565")</f>
        <v>http://dx.doi.org/10.1080/13102818.2009.10818565</v>
      </c>
      <c r="BG737" t="s">
        <v>74</v>
      </c>
      <c r="BH737" t="s">
        <v>74</v>
      </c>
      <c r="BI737">
        <v>4</v>
      </c>
      <c r="BJ737" t="s">
        <v>8464</v>
      </c>
      <c r="BK737" t="s">
        <v>100</v>
      </c>
      <c r="BL737" t="s">
        <v>8464</v>
      </c>
      <c r="BM737" t="s">
        <v>13062</v>
      </c>
      <c r="BN737" t="s">
        <v>74</v>
      </c>
      <c r="BO737" t="s">
        <v>499</v>
      </c>
      <c r="BP737" t="s">
        <v>74</v>
      </c>
      <c r="BQ737" t="s">
        <v>74</v>
      </c>
      <c r="BR737" t="s">
        <v>103</v>
      </c>
      <c r="BS737" t="s">
        <v>13107</v>
      </c>
      <c r="BT737" t="str">
        <f>HYPERLINK("https%3A%2F%2Fwww.webofscience.com%2Fwos%2Fwoscc%2Ffull-record%2FWOS:000451691400215","View Full Record in Web of Science")</f>
        <v>View Full Record in Web of Science</v>
      </c>
    </row>
    <row r="738" spans="1:72" x14ac:dyDescent="0.15">
      <c r="A738" t="s">
        <v>72</v>
      </c>
      <c r="B738" t="s">
        <v>13108</v>
      </c>
      <c r="C738" t="s">
        <v>74</v>
      </c>
      <c r="D738" t="s">
        <v>74</v>
      </c>
      <c r="E738" t="s">
        <v>74</v>
      </c>
      <c r="F738" t="s">
        <v>13109</v>
      </c>
      <c r="G738" t="s">
        <v>74</v>
      </c>
      <c r="H738" t="s">
        <v>74</v>
      </c>
      <c r="I738" t="s">
        <v>13110</v>
      </c>
      <c r="J738" t="s">
        <v>13111</v>
      </c>
      <c r="K738" t="s">
        <v>74</v>
      </c>
      <c r="L738" t="s">
        <v>74</v>
      </c>
      <c r="M738" t="s">
        <v>78</v>
      </c>
      <c r="N738" t="s">
        <v>79</v>
      </c>
      <c r="O738" t="s">
        <v>74</v>
      </c>
      <c r="P738" t="s">
        <v>74</v>
      </c>
      <c r="Q738" t="s">
        <v>74</v>
      </c>
      <c r="R738" t="s">
        <v>74</v>
      </c>
      <c r="S738" t="s">
        <v>74</v>
      </c>
      <c r="T738" t="s">
        <v>74</v>
      </c>
      <c r="U738" t="s">
        <v>13112</v>
      </c>
      <c r="V738" t="s">
        <v>13113</v>
      </c>
      <c r="W738" t="s">
        <v>13114</v>
      </c>
      <c r="X738" t="s">
        <v>13115</v>
      </c>
      <c r="Y738" t="s">
        <v>13116</v>
      </c>
      <c r="Z738" t="s">
        <v>13117</v>
      </c>
      <c r="AA738" t="s">
        <v>74</v>
      </c>
      <c r="AB738" t="s">
        <v>74</v>
      </c>
      <c r="AC738" t="s">
        <v>13118</v>
      </c>
      <c r="AD738" t="s">
        <v>74</v>
      </c>
      <c r="AE738" t="s">
        <v>13119</v>
      </c>
      <c r="AF738" t="s">
        <v>74</v>
      </c>
      <c r="AG738">
        <v>42</v>
      </c>
      <c r="AH738">
        <v>27</v>
      </c>
      <c r="AI738">
        <v>28</v>
      </c>
      <c r="AJ738">
        <v>0</v>
      </c>
      <c r="AK738">
        <v>25</v>
      </c>
      <c r="AL738" t="s">
        <v>2124</v>
      </c>
      <c r="AM738" t="s">
        <v>1848</v>
      </c>
      <c r="AN738" t="s">
        <v>1849</v>
      </c>
      <c r="AO738" t="s">
        <v>13120</v>
      </c>
      <c r="AP738" t="s">
        <v>74</v>
      </c>
      <c r="AQ738" t="s">
        <v>74</v>
      </c>
      <c r="AR738" t="s">
        <v>13111</v>
      </c>
      <c r="AS738" t="s">
        <v>13121</v>
      </c>
      <c r="AT738" t="s">
        <v>74</v>
      </c>
      <c r="AU738">
        <v>2009</v>
      </c>
      <c r="AV738">
        <v>38</v>
      </c>
      <c r="AW738">
        <v>1</v>
      </c>
      <c r="AX738" t="s">
        <v>74</v>
      </c>
      <c r="AY738" t="s">
        <v>74</v>
      </c>
      <c r="AZ738" t="s">
        <v>74</v>
      </c>
      <c r="BA738" t="s">
        <v>74</v>
      </c>
      <c r="BB738">
        <v>146</v>
      </c>
      <c r="BC738">
        <v>159</v>
      </c>
      <c r="BD738" t="s">
        <v>74</v>
      </c>
      <c r="BE738" t="s">
        <v>13122</v>
      </c>
      <c r="BF738" t="str">
        <f>HYPERLINK("http://dx.doi.org/10.1111/j.1502-3885.2008.00043.x","http://dx.doi.org/10.1111/j.1502-3885.2008.00043.x")</f>
        <v>http://dx.doi.org/10.1111/j.1502-3885.2008.00043.x</v>
      </c>
      <c r="BG738" t="s">
        <v>74</v>
      </c>
      <c r="BH738" t="s">
        <v>74</v>
      </c>
      <c r="BI738">
        <v>14</v>
      </c>
      <c r="BJ738" t="s">
        <v>312</v>
      </c>
      <c r="BK738" t="s">
        <v>100</v>
      </c>
      <c r="BL738" t="s">
        <v>313</v>
      </c>
      <c r="BM738" t="s">
        <v>13123</v>
      </c>
      <c r="BN738" t="s">
        <v>74</v>
      </c>
      <c r="BO738" t="s">
        <v>74</v>
      </c>
      <c r="BP738" t="s">
        <v>74</v>
      </c>
      <c r="BQ738" t="s">
        <v>74</v>
      </c>
      <c r="BR738" t="s">
        <v>103</v>
      </c>
      <c r="BS738" t="s">
        <v>13124</v>
      </c>
      <c r="BT738" t="str">
        <f>HYPERLINK("https%3A%2F%2Fwww.webofscience.com%2Fwos%2Fwoscc%2Ffull-record%2FWOS:000262635900010","View Full Record in Web of Science")</f>
        <v>View Full Record in Web of Science</v>
      </c>
    </row>
    <row r="739" spans="1:72" x14ac:dyDescent="0.15">
      <c r="A739" t="s">
        <v>72</v>
      </c>
      <c r="B739" t="s">
        <v>13125</v>
      </c>
      <c r="C739" t="s">
        <v>74</v>
      </c>
      <c r="D739" t="s">
        <v>74</v>
      </c>
      <c r="E739" t="s">
        <v>74</v>
      </c>
      <c r="F739" t="s">
        <v>13126</v>
      </c>
      <c r="G739" t="s">
        <v>74</v>
      </c>
      <c r="H739" t="s">
        <v>74</v>
      </c>
      <c r="I739" t="s">
        <v>13127</v>
      </c>
      <c r="J739" t="s">
        <v>13128</v>
      </c>
      <c r="K739" t="s">
        <v>74</v>
      </c>
      <c r="L739" t="s">
        <v>74</v>
      </c>
      <c r="M739" t="s">
        <v>78</v>
      </c>
      <c r="N739" t="s">
        <v>79</v>
      </c>
      <c r="O739" t="s">
        <v>74</v>
      </c>
      <c r="P739" t="s">
        <v>74</v>
      </c>
      <c r="Q739" t="s">
        <v>74</v>
      </c>
      <c r="R739" t="s">
        <v>74</v>
      </c>
      <c r="S739" t="s">
        <v>74</v>
      </c>
      <c r="T739" t="s">
        <v>13129</v>
      </c>
      <c r="U739" t="s">
        <v>13130</v>
      </c>
      <c r="V739" t="s">
        <v>13131</v>
      </c>
      <c r="W739" t="s">
        <v>13132</v>
      </c>
      <c r="X739" t="s">
        <v>3641</v>
      </c>
      <c r="Y739" t="s">
        <v>13133</v>
      </c>
      <c r="Z739" t="s">
        <v>13134</v>
      </c>
      <c r="AA739" t="s">
        <v>74</v>
      </c>
      <c r="AB739" t="s">
        <v>74</v>
      </c>
      <c r="AC739" t="s">
        <v>74</v>
      </c>
      <c r="AD739" t="s">
        <v>74</v>
      </c>
      <c r="AE739" t="s">
        <v>74</v>
      </c>
      <c r="AF739" t="s">
        <v>74</v>
      </c>
      <c r="AG739">
        <v>32</v>
      </c>
      <c r="AH739">
        <v>11</v>
      </c>
      <c r="AI739">
        <v>11</v>
      </c>
      <c r="AJ739">
        <v>1</v>
      </c>
      <c r="AK739">
        <v>1</v>
      </c>
      <c r="AL739" t="s">
        <v>13135</v>
      </c>
      <c r="AM739" t="s">
        <v>3650</v>
      </c>
      <c r="AN739" t="s">
        <v>13136</v>
      </c>
      <c r="AO739" t="s">
        <v>13137</v>
      </c>
      <c r="AP739" t="s">
        <v>13138</v>
      </c>
      <c r="AQ739" t="s">
        <v>74</v>
      </c>
      <c r="AR739" t="s">
        <v>13139</v>
      </c>
      <c r="AS739" t="s">
        <v>13140</v>
      </c>
      <c r="AT739" t="s">
        <v>74</v>
      </c>
      <c r="AU739">
        <v>2009</v>
      </c>
      <c r="AV739">
        <v>12</v>
      </c>
      <c r="AW739" t="s">
        <v>74</v>
      </c>
      <c r="AX739" t="s">
        <v>74</v>
      </c>
      <c r="AY739" t="s">
        <v>74</v>
      </c>
      <c r="AZ739" t="s">
        <v>74</v>
      </c>
      <c r="BA739" t="s">
        <v>74</v>
      </c>
      <c r="BB739">
        <v>75</v>
      </c>
      <c r="BC739">
        <v>90</v>
      </c>
      <c r="BD739" t="s">
        <v>74</v>
      </c>
      <c r="BE739" t="s">
        <v>74</v>
      </c>
      <c r="BF739" t="s">
        <v>74</v>
      </c>
      <c r="BG739" t="s">
        <v>74</v>
      </c>
      <c r="BH739" t="s">
        <v>74</v>
      </c>
      <c r="BI739">
        <v>16</v>
      </c>
      <c r="BJ739" t="s">
        <v>285</v>
      </c>
      <c r="BK739" t="s">
        <v>2781</v>
      </c>
      <c r="BL739" t="s">
        <v>285</v>
      </c>
      <c r="BM739" t="s">
        <v>13141</v>
      </c>
      <c r="BN739" t="s">
        <v>74</v>
      </c>
      <c r="BO739" t="s">
        <v>74</v>
      </c>
      <c r="BP739" t="s">
        <v>74</v>
      </c>
      <c r="BQ739" t="s">
        <v>74</v>
      </c>
      <c r="BR739" t="s">
        <v>103</v>
      </c>
      <c r="BS739" t="s">
        <v>13142</v>
      </c>
      <c r="BT739" t="str">
        <f>HYPERLINK("https%3A%2F%2Fwww.webofscience.com%2Fwos%2Fwoscc%2Ffull-record%2FWOS:000433836800007","View Full Record in Web of Science")</f>
        <v>View Full Record in Web of Science</v>
      </c>
    </row>
    <row r="740" spans="1:72" x14ac:dyDescent="0.15">
      <c r="A740" t="s">
        <v>72</v>
      </c>
      <c r="B740" t="s">
        <v>13143</v>
      </c>
      <c r="C740" t="s">
        <v>74</v>
      </c>
      <c r="D740" t="s">
        <v>74</v>
      </c>
      <c r="E740" t="s">
        <v>74</v>
      </c>
      <c r="F740" t="s">
        <v>13144</v>
      </c>
      <c r="G740" t="s">
        <v>74</v>
      </c>
      <c r="H740" t="s">
        <v>74</v>
      </c>
      <c r="I740" t="s">
        <v>13145</v>
      </c>
      <c r="J740" t="s">
        <v>13146</v>
      </c>
      <c r="K740" t="s">
        <v>74</v>
      </c>
      <c r="L740" t="s">
        <v>74</v>
      </c>
      <c r="M740" t="s">
        <v>78</v>
      </c>
      <c r="N740" t="s">
        <v>1437</v>
      </c>
      <c r="O740" t="s">
        <v>13147</v>
      </c>
      <c r="P740" t="s">
        <v>13148</v>
      </c>
      <c r="Q740" t="s">
        <v>13149</v>
      </c>
      <c r="R740" t="s">
        <v>74</v>
      </c>
      <c r="S740" t="s">
        <v>74</v>
      </c>
      <c r="T740" t="s">
        <v>13150</v>
      </c>
      <c r="U740" t="s">
        <v>13151</v>
      </c>
      <c r="V740" t="s">
        <v>13152</v>
      </c>
      <c r="W740" t="s">
        <v>13153</v>
      </c>
      <c r="X740" t="s">
        <v>13154</v>
      </c>
      <c r="Y740" t="s">
        <v>13155</v>
      </c>
      <c r="Z740" t="s">
        <v>13156</v>
      </c>
      <c r="AA740" t="s">
        <v>13157</v>
      </c>
      <c r="AB740" t="s">
        <v>13158</v>
      </c>
      <c r="AC740" t="s">
        <v>74</v>
      </c>
      <c r="AD740" t="s">
        <v>74</v>
      </c>
      <c r="AE740" t="s">
        <v>74</v>
      </c>
      <c r="AF740" t="s">
        <v>74</v>
      </c>
      <c r="AG740">
        <v>27</v>
      </c>
      <c r="AH740">
        <v>8</v>
      </c>
      <c r="AI740">
        <v>9</v>
      </c>
      <c r="AJ740">
        <v>0</v>
      </c>
      <c r="AK740">
        <v>13</v>
      </c>
      <c r="AL740" t="s">
        <v>13159</v>
      </c>
      <c r="AM740" t="s">
        <v>1424</v>
      </c>
      <c r="AN740" t="s">
        <v>13160</v>
      </c>
      <c r="AO740" t="s">
        <v>13161</v>
      </c>
      <c r="AP740" t="s">
        <v>74</v>
      </c>
      <c r="AQ740" t="s">
        <v>74</v>
      </c>
      <c r="AR740" t="s">
        <v>13162</v>
      </c>
      <c r="AS740" t="s">
        <v>13163</v>
      </c>
      <c r="AT740" t="s">
        <v>11480</v>
      </c>
      <c r="AU740">
        <v>2009</v>
      </c>
      <c r="AV740">
        <v>55</v>
      </c>
      <c r="AW740">
        <v>1</v>
      </c>
      <c r="AX740" t="s">
        <v>74</v>
      </c>
      <c r="AY740" t="s">
        <v>74</v>
      </c>
      <c r="AZ740" t="s">
        <v>74</v>
      </c>
      <c r="BA740" t="s">
        <v>74</v>
      </c>
      <c r="BB740">
        <v>12</v>
      </c>
      <c r="BC740">
        <v>20</v>
      </c>
      <c r="BD740" t="s">
        <v>74</v>
      </c>
      <c r="BE740" t="s">
        <v>13164</v>
      </c>
      <c r="BF740" t="str">
        <f>HYPERLINK("http://dx.doi.org/10.1139/W08-118","http://dx.doi.org/10.1139/W08-118")</f>
        <v>http://dx.doi.org/10.1139/W08-118</v>
      </c>
      <c r="BG740" t="s">
        <v>74</v>
      </c>
      <c r="BH740" t="s">
        <v>74</v>
      </c>
      <c r="BI740">
        <v>9</v>
      </c>
      <c r="BJ740" t="s">
        <v>13165</v>
      </c>
      <c r="BK740" t="s">
        <v>1453</v>
      </c>
      <c r="BL740" t="s">
        <v>13165</v>
      </c>
      <c r="BM740" t="s">
        <v>13166</v>
      </c>
      <c r="BN740">
        <v>19190697</v>
      </c>
      <c r="BO740" t="s">
        <v>74</v>
      </c>
      <c r="BP740" t="s">
        <v>74</v>
      </c>
      <c r="BQ740" t="s">
        <v>74</v>
      </c>
      <c r="BR740" t="s">
        <v>103</v>
      </c>
      <c r="BS740" t="s">
        <v>13167</v>
      </c>
      <c r="BT740" t="str">
        <f>HYPERLINK("https%3A%2F%2Fwww.webofscience.com%2Fwos%2Fwoscc%2Ffull-record%2FWOS:000263468500003","View Full Record in Web of Science")</f>
        <v>View Full Record in Web of Science</v>
      </c>
    </row>
    <row r="741" spans="1:72" x14ac:dyDescent="0.15">
      <c r="A741" t="s">
        <v>72</v>
      </c>
      <c r="B741" t="s">
        <v>13168</v>
      </c>
      <c r="C741" t="s">
        <v>74</v>
      </c>
      <c r="D741" t="s">
        <v>74</v>
      </c>
      <c r="E741" t="s">
        <v>74</v>
      </c>
      <c r="F741" t="s">
        <v>13169</v>
      </c>
      <c r="G741" t="s">
        <v>74</v>
      </c>
      <c r="H741" t="s">
        <v>74</v>
      </c>
      <c r="I741" t="s">
        <v>13170</v>
      </c>
      <c r="J741" t="s">
        <v>13146</v>
      </c>
      <c r="K741" t="s">
        <v>74</v>
      </c>
      <c r="L741" t="s">
        <v>74</v>
      </c>
      <c r="M741" t="s">
        <v>78</v>
      </c>
      <c r="N741" t="s">
        <v>1437</v>
      </c>
      <c r="O741" t="s">
        <v>13147</v>
      </c>
      <c r="P741" t="s">
        <v>13148</v>
      </c>
      <c r="Q741" t="s">
        <v>13149</v>
      </c>
      <c r="R741" t="s">
        <v>74</v>
      </c>
      <c r="S741" t="s">
        <v>74</v>
      </c>
      <c r="T741" t="s">
        <v>13171</v>
      </c>
      <c r="U741" t="s">
        <v>13172</v>
      </c>
      <c r="V741" t="s">
        <v>13173</v>
      </c>
      <c r="W741" t="s">
        <v>13174</v>
      </c>
      <c r="X741" t="s">
        <v>13175</v>
      </c>
      <c r="Y741" t="s">
        <v>13176</v>
      </c>
      <c r="Z741" t="s">
        <v>74</v>
      </c>
      <c r="AA741" t="s">
        <v>13177</v>
      </c>
      <c r="AB741" t="s">
        <v>13178</v>
      </c>
      <c r="AC741" t="s">
        <v>74</v>
      </c>
      <c r="AD741" t="s">
        <v>74</v>
      </c>
      <c r="AE741" t="s">
        <v>74</v>
      </c>
      <c r="AF741" t="s">
        <v>74</v>
      </c>
      <c r="AG741">
        <v>19</v>
      </c>
      <c r="AH741">
        <v>72</v>
      </c>
      <c r="AI741">
        <v>85</v>
      </c>
      <c r="AJ741">
        <v>1</v>
      </c>
      <c r="AK741">
        <v>42</v>
      </c>
      <c r="AL741" t="s">
        <v>13159</v>
      </c>
      <c r="AM741" t="s">
        <v>1424</v>
      </c>
      <c r="AN741" t="s">
        <v>13160</v>
      </c>
      <c r="AO741" t="s">
        <v>13161</v>
      </c>
      <c r="AP741" t="s">
        <v>74</v>
      </c>
      <c r="AQ741" t="s">
        <v>74</v>
      </c>
      <c r="AR741" t="s">
        <v>13162</v>
      </c>
      <c r="AS741" t="s">
        <v>13163</v>
      </c>
      <c r="AT741" t="s">
        <v>11480</v>
      </c>
      <c r="AU741">
        <v>2009</v>
      </c>
      <c r="AV741">
        <v>55</v>
      </c>
      <c r="AW741">
        <v>1</v>
      </c>
      <c r="AX741" t="s">
        <v>74</v>
      </c>
      <c r="AY741" t="s">
        <v>74</v>
      </c>
      <c r="AZ741" t="s">
        <v>74</v>
      </c>
      <c r="BA741" t="s">
        <v>74</v>
      </c>
      <c r="BB741">
        <v>37</v>
      </c>
      <c r="BC741">
        <v>45</v>
      </c>
      <c r="BD741" t="s">
        <v>74</v>
      </c>
      <c r="BE741" t="s">
        <v>13179</v>
      </c>
      <c r="BF741" t="str">
        <f>HYPERLINK("http://dx.doi.org/10.1139/W08-119","http://dx.doi.org/10.1139/W08-119")</f>
        <v>http://dx.doi.org/10.1139/W08-119</v>
      </c>
      <c r="BG741" t="s">
        <v>74</v>
      </c>
      <c r="BH741" t="s">
        <v>74</v>
      </c>
      <c r="BI741">
        <v>9</v>
      </c>
      <c r="BJ741" t="s">
        <v>13165</v>
      </c>
      <c r="BK741" t="s">
        <v>1453</v>
      </c>
      <c r="BL741" t="s">
        <v>13165</v>
      </c>
      <c r="BM741" t="s">
        <v>13166</v>
      </c>
      <c r="BN741">
        <v>19190699</v>
      </c>
      <c r="BO741" t="s">
        <v>74</v>
      </c>
      <c r="BP741" t="s">
        <v>74</v>
      </c>
      <c r="BQ741" t="s">
        <v>74</v>
      </c>
      <c r="BR741" t="s">
        <v>103</v>
      </c>
      <c r="BS741" t="s">
        <v>13180</v>
      </c>
      <c r="BT741" t="str">
        <f>HYPERLINK("https%3A%2F%2Fwww.webofscience.com%2Fwos%2Fwoscc%2Ffull-record%2FWOS:000263468500005","View Full Record in Web of Science")</f>
        <v>View Full Record in Web of Science</v>
      </c>
    </row>
    <row r="742" spans="1:72" x14ac:dyDescent="0.15">
      <c r="A742" t="s">
        <v>72</v>
      </c>
      <c r="B742" t="s">
        <v>13181</v>
      </c>
      <c r="C742" t="s">
        <v>74</v>
      </c>
      <c r="D742" t="s">
        <v>74</v>
      </c>
      <c r="E742" t="s">
        <v>74</v>
      </c>
      <c r="F742" t="s">
        <v>13182</v>
      </c>
      <c r="G742" t="s">
        <v>74</v>
      </c>
      <c r="H742" t="s">
        <v>74</v>
      </c>
      <c r="I742" t="s">
        <v>13183</v>
      </c>
      <c r="J742" t="s">
        <v>13146</v>
      </c>
      <c r="K742" t="s">
        <v>74</v>
      </c>
      <c r="L742" t="s">
        <v>74</v>
      </c>
      <c r="M742" t="s">
        <v>78</v>
      </c>
      <c r="N742" t="s">
        <v>1437</v>
      </c>
      <c r="O742" t="s">
        <v>13147</v>
      </c>
      <c r="P742" t="s">
        <v>13148</v>
      </c>
      <c r="Q742" t="s">
        <v>13149</v>
      </c>
      <c r="R742" t="s">
        <v>74</v>
      </c>
      <c r="S742" t="s">
        <v>74</v>
      </c>
      <c r="T742" t="s">
        <v>13184</v>
      </c>
      <c r="U742" t="s">
        <v>13185</v>
      </c>
      <c r="V742" t="s">
        <v>13186</v>
      </c>
      <c r="W742" t="s">
        <v>13187</v>
      </c>
      <c r="X742" t="s">
        <v>13188</v>
      </c>
      <c r="Y742" t="s">
        <v>13189</v>
      </c>
      <c r="Z742" t="s">
        <v>13190</v>
      </c>
      <c r="AA742" t="s">
        <v>74</v>
      </c>
      <c r="AB742" t="s">
        <v>13191</v>
      </c>
      <c r="AC742" t="s">
        <v>74</v>
      </c>
      <c r="AD742" t="s">
        <v>74</v>
      </c>
      <c r="AE742" t="s">
        <v>74</v>
      </c>
      <c r="AF742" t="s">
        <v>74</v>
      </c>
      <c r="AG742">
        <v>26</v>
      </c>
      <c r="AH742">
        <v>38</v>
      </c>
      <c r="AI742">
        <v>45</v>
      </c>
      <c r="AJ742">
        <v>3</v>
      </c>
      <c r="AK742">
        <v>23</v>
      </c>
      <c r="AL742" t="s">
        <v>13159</v>
      </c>
      <c r="AM742" t="s">
        <v>1424</v>
      </c>
      <c r="AN742" t="s">
        <v>13160</v>
      </c>
      <c r="AO742" t="s">
        <v>13161</v>
      </c>
      <c r="AP742" t="s">
        <v>74</v>
      </c>
      <c r="AQ742" t="s">
        <v>74</v>
      </c>
      <c r="AR742" t="s">
        <v>13162</v>
      </c>
      <c r="AS742" t="s">
        <v>13163</v>
      </c>
      <c r="AT742" t="s">
        <v>11480</v>
      </c>
      <c r="AU742">
        <v>2009</v>
      </c>
      <c r="AV742">
        <v>55</v>
      </c>
      <c r="AW742">
        <v>1</v>
      </c>
      <c r="AX742" t="s">
        <v>74</v>
      </c>
      <c r="AY742" t="s">
        <v>74</v>
      </c>
      <c r="AZ742" t="s">
        <v>74</v>
      </c>
      <c r="BA742" t="s">
        <v>74</v>
      </c>
      <c r="BB742">
        <v>46</v>
      </c>
      <c r="BC742">
        <v>56</v>
      </c>
      <c r="BD742" t="s">
        <v>74</v>
      </c>
      <c r="BE742" t="s">
        <v>13192</v>
      </c>
      <c r="BF742" t="str">
        <f>HYPERLINK("http://dx.doi.org/10.1139/W08-120","http://dx.doi.org/10.1139/W08-120")</f>
        <v>http://dx.doi.org/10.1139/W08-120</v>
      </c>
      <c r="BG742" t="s">
        <v>74</v>
      </c>
      <c r="BH742" t="s">
        <v>74</v>
      </c>
      <c r="BI742">
        <v>11</v>
      </c>
      <c r="BJ742" t="s">
        <v>13165</v>
      </c>
      <c r="BK742" t="s">
        <v>1453</v>
      </c>
      <c r="BL742" t="s">
        <v>13165</v>
      </c>
      <c r="BM742" t="s">
        <v>13166</v>
      </c>
      <c r="BN742">
        <v>19190700</v>
      </c>
      <c r="BO742" t="s">
        <v>74</v>
      </c>
      <c r="BP742" t="s">
        <v>74</v>
      </c>
      <c r="BQ742" t="s">
        <v>74</v>
      </c>
      <c r="BR742" t="s">
        <v>103</v>
      </c>
      <c r="BS742" t="s">
        <v>13193</v>
      </c>
      <c r="BT742" t="str">
        <f>HYPERLINK("https%3A%2F%2Fwww.webofscience.com%2Fwos%2Fwoscc%2Ffull-record%2FWOS:000263468500006","View Full Record in Web of Science")</f>
        <v>View Full Record in Web of Science</v>
      </c>
    </row>
    <row r="743" spans="1:72" x14ac:dyDescent="0.15">
      <c r="A743" t="s">
        <v>72</v>
      </c>
      <c r="B743" t="s">
        <v>13194</v>
      </c>
      <c r="C743" t="s">
        <v>74</v>
      </c>
      <c r="D743" t="s">
        <v>74</v>
      </c>
      <c r="E743" t="s">
        <v>74</v>
      </c>
      <c r="F743" t="s">
        <v>13195</v>
      </c>
      <c r="G743" t="s">
        <v>74</v>
      </c>
      <c r="H743" t="s">
        <v>74</v>
      </c>
      <c r="I743" t="s">
        <v>13196</v>
      </c>
      <c r="J743" t="s">
        <v>13146</v>
      </c>
      <c r="K743" t="s">
        <v>74</v>
      </c>
      <c r="L743" t="s">
        <v>74</v>
      </c>
      <c r="M743" t="s">
        <v>78</v>
      </c>
      <c r="N743" t="s">
        <v>1437</v>
      </c>
      <c r="O743" t="s">
        <v>13147</v>
      </c>
      <c r="P743" t="s">
        <v>13148</v>
      </c>
      <c r="Q743" t="s">
        <v>13149</v>
      </c>
      <c r="R743" t="s">
        <v>74</v>
      </c>
      <c r="S743" t="s">
        <v>74</v>
      </c>
      <c r="T743" t="s">
        <v>13197</v>
      </c>
      <c r="U743" t="s">
        <v>13198</v>
      </c>
      <c r="V743" t="s">
        <v>13199</v>
      </c>
      <c r="W743" t="s">
        <v>13200</v>
      </c>
      <c r="X743" t="s">
        <v>13201</v>
      </c>
      <c r="Y743" t="s">
        <v>13202</v>
      </c>
      <c r="Z743" t="s">
        <v>13203</v>
      </c>
      <c r="AA743" t="s">
        <v>7121</v>
      </c>
      <c r="AB743" t="s">
        <v>13204</v>
      </c>
      <c r="AC743" t="s">
        <v>74</v>
      </c>
      <c r="AD743" t="s">
        <v>74</v>
      </c>
      <c r="AE743" t="s">
        <v>74</v>
      </c>
      <c r="AF743" t="s">
        <v>74</v>
      </c>
      <c r="AG743">
        <v>27</v>
      </c>
      <c r="AH743">
        <v>9</v>
      </c>
      <c r="AI743">
        <v>9</v>
      </c>
      <c r="AJ743">
        <v>0</v>
      </c>
      <c r="AK743">
        <v>5</v>
      </c>
      <c r="AL743" t="s">
        <v>13205</v>
      </c>
      <c r="AM743" t="s">
        <v>1424</v>
      </c>
      <c r="AN743" t="s">
        <v>1425</v>
      </c>
      <c r="AO743" t="s">
        <v>13161</v>
      </c>
      <c r="AP743" t="s">
        <v>13206</v>
      </c>
      <c r="AQ743" t="s">
        <v>74</v>
      </c>
      <c r="AR743" t="s">
        <v>13162</v>
      </c>
      <c r="AS743" t="s">
        <v>13163</v>
      </c>
      <c r="AT743" t="s">
        <v>11480</v>
      </c>
      <c r="AU743">
        <v>2009</v>
      </c>
      <c r="AV743">
        <v>55</v>
      </c>
      <c r="AW743">
        <v>1</v>
      </c>
      <c r="AX743" t="s">
        <v>74</v>
      </c>
      <c r="AY743" t="s">
        <v>74</v>
      </c>
      <c r="AZ743" t="s">
        <v>74</v>
      </c>
      <c r="BA743" t="s">
        <v>74</v>
      </c>
      <c r="BB743">
        <v>57</v>
      </c>
      <c r="BC743">
        <v>62</v>
      </c>
      <c r="BD743" t="s">
        <v>74</v>
      </c>
      <c r="BE743" t="s">
        <v>13207</v>
      </c>
      <c r="BF743" t="str">
        <f>HYPERLINK("http://dx.doi.org/10.1139/W08-122","http://dx.doi.org/10.1139/W08-122")</f>
        <v>http://dx.doi.org/10.1139/W08-122</v>
      </c>
      <c r="BG743" t="s">
        <v>74</v>
      </c>
      <c r="BH743" t="s">
        <v>74</v>
      </c>
      <c r="BI743">
        <v>6</v>
      </c>
      <c r="BJ743" t="s">
        <v>13165</v>
      </c>
      <c r="BK743" t="s">
        <v>1453</v>
      </c>
      <c r="BL743" t="s">
        <v>13165</v>
      </c>
      <c r="BM743" t="s">
        <v>13166</v>
      </c>
      <c r="BN743">
        <v>19190701</v>
      </c>
      <c r="BO743" t="s">
        <v>74</v>
      </c>
      <c r="BP743" t="s">
        <v>74</v>
      </c>
      <c r="BQ743" t="s">
        <v>74</v>
      </c>
      <c r="BR743" t="s">
        <v>103</v>
      </c>
      <c r="BS743" t="s">
        <v>13208</v>
      </c>
      <c r="BT743" t="str">
        <f>HYPERLINK("https%3A%2F%2Fwww.webofscience.com%2Fwos%2Fwoscc%2Ffull-record%2FWOS:000263468500007","View Full Record in Web of Science")</f>
        <v>View Full Record in Web of Science</v>
      </c>
    </row>
    <row r="744" spans="1:72" x14ac:dyDescent="0.15">
      <c r="A744" t="s">
        <v>5277</v>
      </c>
      <c r="B744" t="s">
        <v>13209</v>
      </c>
      <c r="C744" t="s">
        <v>74</v>
      </c>
      <c r="D744" t="s">
        <v>13210</v>
      </c>
      <c r="E744" t="s">
        <v>74</v>
      </c>
      <c r="F744" t="s">
        <v>13211</v>
      </c>
      <c r="G744" t="s">
        <v>74</v>
      </c>
      <c r="H744" t="s">
        <v>74</v>
      </c>
      <c r="I744" t="s">
        <v>13212</v>
      </c>
      <c r="J744" t="s">
        <v>13213</v>
      </c>
      <c r="K744" t="s">
        <v>74</v>
      </c>
      <c r="L744" t="s">
        <v>74</v>
      </c>
      <c r="M744" t="s">
        <v>78</v>
      </c>
      <c r="N744" t="s">
        <v>11976</v>
      </c>
      <c r="O744" t="s">
        <v>74</v>
      </c>
      <c r="P744" t="s">
        <v>74</v>
      </c>
      <c r="Q744" t="s">
        <v>74</v>
      </c>
      <c r="R744" t="s">
        <v>74</v>
      </c>
      <c r="S744" t="s">
        <v>74</v>
      </c>
      <c r="T744" t="s">
        <v>74</v>
      </c>
      <c r="U744" t="s">
        <v>13214</v>
      </c>
      <c r="V744" t="s">
        <v>13215</v>
      </c>
      <c r="W744" t="s">
        <v>13216</v>
      </c>
      <c r="X744" t="s">
        <v>13217</v>
      </c>
      <c r="Y744" t="s">
        <v>13218</v>
      </c>
      <c r="Z744" t="s">
        <v>13219</v>
      </c>
      <c r="AA744" t="s">
        <v>74</v>
      </c>
      <c r="AB744" t="s">
        <v>74</v>
      </c>
      <c r="AC744" t="s">
        <v>74</v>
      </c>
      <c r="AD744" t="s">
        <v>74</v>
      </c>
      <c r="AE744" t="s">
        <v>74</v>
      </c>
      <c r="AF744" t="s">
        <v>74</v>
      </c>
      <c r="AG744">
        <v>154</v>
      </c>
      <c r="AH744">
        <v>14</v>
      </c>
      <c r="AI744">
        <v>14</v>
      </c>
      <c r="AJ744">
        <v>0</v>
      </c>
      <c r="AK744">
        <v>22</v>
      </c>
      <c r="AL744" t="s">
        <v>13220</v>
      </c>
      <c r="AM744" t="s">
        <v>7815</v>
      </c>
      <c r="AN744" t="s">
        <v>13221</v>
      </c>
      <c r="AO744" t="s">
        <v>74</v>
      </c>
      <c r="AP744" t="s">
        <v>74</v>
      </c>
      <c r="AQ744" t="s">
        <v>13222</v>
      </c>
      <c r="AR744" t="s">
        <v>74</v>
      </c>
      <c r="AS744" t="s">
        <v>74</v>
      </c>
      <c r="AT744" t="s">
        <v>74</v>
      </c>
      <c r="AU744">
        <v>2009</v>
      </c>
      <c r="AV744" t="s">
        <v>74</v>
      </c>
      <c r="AW744" t="s">
        <v>74</v>
      </c>
      <c r="AX744" t="s">
        <v>74</v>
      </c>
      <c r="AY744" t="s">
        <v>74</v>
      </c>
      <c r="AZ744" t="s">
        <v>74</v>
      </c>
      <c r="BA744" t="s">
        <v>74</v>
      </c>
      <c r="BB744">
        <v>65</v>
      </c>
      <c r="BC744">
        <v>98</v>
      </c>
      <c r="BD744" t="s">
        <v>74</v>
      </c>
      <c r="BE744" t="s">
        <v>13223</v>
      </c>
      <c r="BF744" t="str">
        <f>HYPERLINK("http://dx.doi.org/10.1007/978-3-540-93985-6_4","http://dx.doi.org/10.1007/978-3-540-93985-6_4")</f>
        <v>http://dx.doi.org/10.1007/978-3-540-93985-6_4</v>
      </c>
      <c r="BG744" t="s">
        <v>13224</v>
      </c>
      <c r="BH744" t="s">
        <v>74</v>
      </c>
      <c r="BI744">
        <v>34</v>
      </c>
      <c r="BJ744" t="s">
        <v>13225</v>
      </c>
      <c r="BK744" t="s">
        <v>11989</v>
      </c>
      <c r="BL744" t="s">
        <v>13225</v>
      </c>
      <c r="BM744" t="s">
        <v>13226</v>
      </c>
      <c r="BN744" t="s">
        <v>74</v>
      </c>
      <c r="BO744" t="s">
        <v>74</v>
      </c>
      <c r="BP744" t="s">
        <v>74</v>
      </c>
      <c r="BQ744" t="s">
        <v>74</v>
      </c>
      <c r="BR744" t="s">
        <v>103</v>
      </c>
      <c r="BS744" t="s">
        <v>13227</v>
      </c>
      <c r="BT744" t="str">
        <f>HYPERLINK("https%3A%2F%2Fwww.webofscience.com%2Fwos%2Fwoscc%2Ffull-record%2FWOS:000270956000004","View Full Record in Web of Science")</f>
        <v>View Full Record in Web of Science</v>
      </c>
    </row>
    <row r="745" spans="1:72" x14ac:dyDescent="0.15">
      <c r="A745" t="s">
        <v>72</v>
      </c>
      <c r="B745" t="s">
        <v>13228</v>
      </c>
      <c r="C745" t="s">
        <v>74</v>
      </c>
      <c r="D745" t="s">
        <v>74</v>
      </c>
      <c r="E745" t="s">
        <v>74</v>
      </c>
      <c r="F745" t="s">
        <v>13229</v>
      </c>
      <c r="G745" t="s">
        <v>74</v>
      </c>
      <c r="H745" t="s">
        <v>74</v>
      </c>
      <c r="I745" t="s">
        <v>13230</v>
      </c>
      <c r="J745" t="s">
        <v>13231</v>
      </c>
      <c r="K745" t="s">
        <v>74</v>
      </c>
      <c r="L745" t="s">
        <v>74</v>
      </c>
      <c r="M745" t="s">
        <v>78</v>
      </c>
      <c r="N745" t="s">
        <v>79</v>
      </c>
      <c r="O745" t="s">
        <v>74</v>
      </c>
      <c r="P745" t="s">
        <v>74</v>
      </c>
      <c r="Q745" t="s">
        <v>74</v>
      </c>
      <c r="R745" t="s">
        <v>74</v>
      </c>
      <c r="S745" t="s">
        <v>74</v>
      </c>
      <c r="T745" t="s">
        <v>13232</v>
      </c>
      <c r="U745" t="s">
        <v>13233</v>
      </c>
      <c r="V745" t="s">
        <v>13234</v>
      </c>
      <c r="W745" t="s">
        <v>13235</v>
      </c>
      <c r="X745" t="s">
        <v>10025</v>
      </c>
      <c r="Y745" t="s">
        <v>13236</v>
      </c>
      <c r="Z745" t="s">
        <v>13237</v>
      </c>
      <c r="AA745" t="s">
        <v>74</v>
      </c>
      <c r="AB745" t="s">
        <v>74</v>
      </c>
      <c r="AC745" t="s">
        <v>13238</v>
      </c>
      <c r="AD745" t="s">
        <v>13238</v>
      </c>
      <c r="AE745" t="s">
        <v>13239</v>
      </c>
      <c r="AF745" t="s">
        <v>74</v>
      </c>
      <c r="AG745">
        <v>23</v>
      </c>
      <c r="AH745">
        <v>10</v>
      </c>
      <c r="AI745">
        <v>10</v>
      </c>
      <c r="AJ745">
        <v>0</v>
      </c>
      <c r="AK745">
        <v>4</v>
      </c>
      <c r="AL745" t="s">
        <v>13240</v>
      </c>
      <c r="AM745" t="s">
        <v>13241</v>
      </c>
      <c r="AN745" t="s">
        <v>13242</v>
      </c>
      <c r="AO745" t="s">
        <v>13243</v>
      </c>
      <c r="AP745" t="s">
        <v>74</v>
      </c>
      <c r="AQ745" t="s">
        <v>74</v>
      </c>
      <c r="AR745" t="s">
        <v>13244</v>
      </c>
      <c r="AS745" t="s">
        <v>13245</v>
      </c>
      <c r="AT745" t="s">
        <v>74</v>
      </c>
      <c r="AU745">
        <v>2009</v>
      </c>
      <c r="AV745">
        <v>16</v>
      </c>
      <c r="AW745" t="s">
        <v>74</v>
      </c>
      <c r="AX745" t="s">
        <v>74</v>
      </c>
      <c r="AY745" t="s">
        <v>74</v>
      </c>
      <c r="AZ745" t="s">
        <v>74</v>
      </c>
      <c r="BA745" t="s">
        <v>74</v>
      </c>
      <c r="BB745">
        <v>33</v>
      </c>
      <c r="BC745">
        <v>69</v>
      </c>
      <c r="BD745" t="s">
        <v>74</v>
      </c>
      <c r="BE745" t="s">
        <v>74</v>
      </c>
      <c r="BF745" t="s">
        <v>74</v>
      </c>
      <c r="BG745" t="s">
        <v>74</v>
      </c>
      <c r="BH745" t="s">
        <v>74</v>
      </c>
      <c r="BI745">
        <v>37</v>
      </c>
      <c r="BJ745" t="s">
        <v>6525</v>
      </c>
      <c r="BK745" t="s">
        <v>100</v>
      </c>
      <c r="BL745" t="s">
        <v>6525</v>
      </c>
      <c r="BM745" t="s">
        <v>13246</v>
      </c>
      <c r="BN745" t="s">
        <v>74</v>
      </c>
      <c r="BO745" t="s">
        <v>74</v>
      </c>
      <c r="BP745" t="s">
        <v>74</v>
      </c>
      <c r="BQ745" t="s">
        <v>74</v>
      </c>
      <c r="BR745" t="s">
        <v>103</v>
      </c>
      <c r="BS745" t="s">
        <v>13247</v>
      </c>
      <c r="BT745" t="str">
        <f>HYPERLINK("https%3A%2F%2Fwww.webofscience.com%2Fwos%2Fwoscc%2Ffull-record%2FWOS:000272364100002","View Full Record in Web of Science")</f>
        <v>View Full Record in Web of Science</v>
      </c>
    </row>
    <row r="746" spans="1:72" x14ac:dyDescent="0.15">
      <c r="A746" t="s">
        <v>72</v>
      </c>
      <c r="B746" t="s">
        <v>13248</v>
      </c>
      <c r="C746" t="s">
        <v>74</v>
      </c>
      <c r="D746" t="s">
        <v>74</v>
      </c>
      <c r="E746" t="s">
        <v>74</v>
      </c>
      <c r="F746" t="s">
        <v>13249</v>
      </c>
      <c r="G746" t="s">
        <v>74</v>
      </c>
      <c r="H746" t="s">
        <v>74</v>
      </c>
      <c r="I746" t="s">
        <v>13250</v>
      </c>
      <c r="J746" t="s">
        <v>13231</v>
      </c>
      <c r="K746" t="s">
        <v>74</v>
      </c>
      <c r="L746" t="s">
        <v>74</v>
      </c>
      <c r="M746" t="s">
        <v>78</v>
      </c>
      <c r="N746" t="s">
        <v>79</v>
      </c>
      <c r="O746" t="s">
        <v>74</v>
      </c>
      <c r="P746" t="s">
        <v>74</v>
      </c>
      <c r="Q746" t="s">
        <v>74</v>
      </c>
      <c r="R746" t="s">
        <v>74</v>
      </c>
      <c r="S746" t="s">
        <v>74</v>
      </c>
      <c r="T746" t="s">
        <v>13251</v>
      </c>
      <c r="U746" t="s">
        <v>13252</v>
      </c>
      <c r="V746" t="s">
        <v>13253</v>
      </c>
      <c r="W746" t="s">
        <v>13254</v>
      </c>
      <c r="X746" t="s">
        <v>13255</v>
      </c>
      <c r="Y746" t="s">
        <v>13256</v>
      </c>
      <c r="Z746" t="s">
        <v>13257</v>
      </c>
      <c r="AA746" t="s">
        <v>13258</v>
      </c>
      <c r="AB746" t="s">
        <v>74</v>
      </c>
      <c r="AC746" t="s">
        <v>74</v>
      </c>
      <c r="AD746" t="s">
        <v>74</v>
      </c>
      <c r="AE746" t="s">
        <v>74</v>
      </c>
      <c r="AF746" t="s">
        <v>74</v>
      </c>
      <c r="AG746">
        <v>20</v>
      </c>
      <c r="AH746">
        <v>5</v>
      </c>
      <c r="AI746">
        <v>5</v>
      </c>
      <c r="AJ746">
        <v>0</v>
      </c>
      <c r="AK746">
        <v>5</v>
      </c>
      <c r="AL746" t="s">
        <v>13240</v>
      </c>
      <c r="AM746" t="s">
        <v>13241</v>
      </c>
      <c r="AN746" t="s">
        <v>13242</v>
      </c>
      <c r="AO746" t="s">
        <v>13243</v>
      </c>
      <c r="AP746" t="s">
        <v>74</v>
      </c>
      <c r="AQ746" t="s">
        <v>74</v>
      </c>
      <c r="AR746" t="s">
        <v>13244</v>
      </c>
      <c r="AS746" t="s">
        <v>13245</v>
      </c>
      <c r="AT746" t="s">
        <v>74</v>
      </c>
      <c r="AU746">
        <v>2009</v>
      </c>
      <c r="AV746">
        <v>16</v>
      </c>
      <c r="AW746" t="s">
        <v>74</v>
      </c>
      <c r="AX746" t="s">
        <v>74</v>
      </c>
      <c r="AY746" t="s">
        <v>74</v>
      </c>
      <c r="AZ746" t="s">
        <v>74</v>
      </c>
      <c r="BA746" t="s">
        <v>74</v>
      </c>
      <c r="BB746">
        <v>71</v>
      </c>
      <c r="BC746">
        <v>100</v>
      </c>
      <c r="BD746" t="s">
        <v>74</v>
      </c>
      <c r="BE746" t="s">
        <v>74</v>
      </c>
      <c r="BF746" t="s">
        <v>74</v>
      </c>
      <c r="BG746" t="s">
        <v>74</v>
      </c>
      <c r="BH746" t="s">
        <v>74</v>
      </c>
      <c r="BI746">
        <v>30</v>
      </c>
      <c r="BJ746" t="s">
        <v>6525</v>
      </c>
      <c r="BK746" t="s">
        <v>100</v>
      </c>
      <c r="BL746" t="s">
        <v>6525</v>
      </c>
      <c r="BM746" t="s">
        <v>13246</v>
      </c>
      <c r="BN746" t="s">
        <v>74</v>
      </c>
      <c r="BO746" t="s">
        <v>74</v>
      </c>
      <c r="BP746" t="s">
        <v>74</v>
      </c>
      <c r="BQ746" t="s">
        <v>74</v>
      </c>
      <c r="BR746" t="s">
        <v>103</v>
      </c>
      <c r="BS746" t="s">
        <v>13259</v>
      </c>
      <c r="BT746" t="str">
        <f>HYPERLINK("https%3A%2F%2Fwww.webofscience.com%2Fwos%2Fwoscc%2Ffull-record%2FWOS:000272364100003","View Full Record in Web of Science")</f>
        <v>View Full Record in Web of Science</v>
      </c>
    </row>
    <row r="747" spans="1:72" x14ac:dyDescent="0.15">
      <c r="A747" t="s">
        <v>72</v>
      </c>
      <c r="B747" t="s">
        <v>13260</v>
      </c>
      <c r="C747" t="s">
        <v>74</v>
      </c>
      <c r="D747" t="s">
        <v>74</v>
      </c>
      <c r="E747" t="s">
        <v>74</v>
      </c>
      <c r="F747" t="s">
        <v>13261</v>
      </c>
      <c r="G747" t="s">
        <v>74</v>
      </c>
      <c r="H747" t="s">
        <v>74</v>
      </c>
      <c r="I747" t="s">
        <v>13262</v>
      </c>
      <c r="J747" t="s">
        <v>13231</v>
      </c>
      <c r="K747" t="s">
        <v>74</v>
      </c>
      <c r="L747" t="s">
        <v>74</v>
      </c>
      <c r="M747" t="s">
        <v>78</v>
      </c>
      <c r="N747" t="s">
        <v>79</v>
      </c>
      <c r="O747" t="s">
        <v>74</v>
      </c>
      <c r="P747" t="s">
        <v>74</v>
      </c>
      <c r="Q747" t="s">
        <v>74</v>
      </c>
      <c r="R747" t="s">
        <v>74</v>
      </c>
      <c r="S747" t="s">
        <v>74</v>
      </c>
      <c r="T747" t="s">
        <v>74</v>
      </c>
      <c r="U747" t="s">
        <v>13263</v>
      </c>
      <c r="V747" t="s">
        <v>13264</v>
      </c>
      <c r="W747" t="s">
        <v>13265</v>
      </c>
      <c r="X747" t="s">
        <v>13266</v>
      </c>
      <c r="Y747" t="s">
        <v>13267</v>
      </c>
      <c r="Z747" t="s">
        <v>13268</v>
      </c>
      <c r="AA747" t="s">
        <v>13269</v>
      </c>
      <c r="AB747" t="s">
        <v>13270</v>
      </c>
      <c r="AC747" t="s">
        <v>74</v>
      </c>
      <c r="AD747" t="s">
        <v>74</v>
      </c>
      <c r="AE747" t="s">
        <v>74</v>
      </c>
      <c r="AF747" t="s">
        <v>74</v>
      </c>
      <c r="AG747">
        <v>51</v>
      </c>
      <c r="AH747">
        <v>5</v>
      </c>
      <c r="AI747">
        <v>7</v>
      </c>
      <c r="AJ747">
        <v>1</v>
      </c>
      <c r="AK747">
        <v>9</v>
      </c>
      <c r="AL747" t="s">
        <v>13240</v>
      </c>
      <c r="AM747" t="s">
        <v>13241</v>
      </c>
      <c r="AN747" t="s">
        <v>13242</v>
      </c>
      <c r="AO747" t="s">
        <v>13243</v>
      </c>
      <c r="AP747" t="s">
        <v>74</v>
      </c>
      <c r="AQ747" t="s">
        <v>74</v>
      </c>
      <c r="AR747" t="s">
        <v>13244</v>
      </c>
      <c r="AS747" t="s">
        <v>13245</v>
      </c>
      <c r="AT747" t="s">
        <v>74</v>
      </c>
      <c r="AU747">
        <v>2009</v>
      </c>
      <c r="AV747">
        <v>16</v>
      </c>
      <c r="AW747" t="s">
        <v>74</v>
      </c>
      <c r="AX747" t="s">
        <v>74</v>
      </c>
      <c r="AY747" t="s">
        <v>74</v>
      </c>
      <c r="AZ747" t="s">
        <v>74</v>
      </c>
      <c r="BA747" t="s">
        <v>74</v>
      </c>
      <c r="BB747">
        <v>115</v>
      </c>
      <c r="BC747">
        <v>130</v>
      </c>
      <c r="BD747" t="s">
        <v>74</v>
      </c>
      <c r="BE747" t="s">
        <v>74</v>
      </c>
      <c r="BF747" t="s">
        <v>74</v>
      </c>
      <c r="BG747" t="s">
        <v>74</v>
      </c>
      <c r="BH747" t="s">
        <v>74</v>
      </c>
      <c r="BI747">
        <v>16</v>
      </c>
      <c r="BJ747" t="s">
        <v>6525</v>
      </c>
      <c r="BK747" t="s">
        <v>100</v>
      </c>
      <c r="BL747" t="s">
        <v>6525</v>
      </c>
      <c r="BM747" t="s">
        <v>13246</v>
      </c>
      <c r="BN747" t="s">
        <v>74</v>
      </c>
      <c r="BO747" t="s">
        <v>74</v>
      </c>
      <c r="BP747" t="s">
        <v>74</v>
      </c>
      <c r="BQ747" t="s">
        <v>74</v>
      </c>
      <c r="BR747" t="s">
        <v>103</v>
      </c>
      <c r="BS747" t="s">
        <v>13271</v>
      </c>
      <c r="BT747" t="str">
        <f>HYPERLINK("https%3A%2F%2Fwww.webofscience.com%2Fwos%2Fwoscc%2Ffull-record%2FWOS:000272364100005","View Full Record in Web of Science")</f>
        <v>View Full Record in Web of Science</v>
      </c>
    </row>
    <row r="748" spans="1:72" x14ac:dyDescent="0.15">
      <c r="A748" t="s">
        <v>72</v>
      </c>
      <c r="B748" t="s">
        <v>13272</v>
      </c>
      <c r="C748" t="s">
        <v>74</v>
      </c>
      <c r="D748" t="s">
        <v>74</v>
      </c>
      <c r="E748" t="s">
        <v>74</v>
      </c>
      <c r="F748" t="s">
        <v>13273</v>
      </c>
      <c r="G748" t="s">
        <v>74</v>
      </c>
      <c r="H748" t="s">
        <v>74</v>
      </c>
      <c r="I748" t="s">
        <v>13274</v>
      </c>
      <c r="J748" t="s">
        <v>13231</v>
      </c>
      <c r="K748" t="s">
        <v>74</v>
      </c>
      <c r="L748" t="s">
        <v>74</v>
      </c>
      <c r="M748" t="s">
        <v>78</v>
      </c>
      <c r="N748" t="s">
        <v>79</v>
      </c>
      <c r="O748" t="s">
        <v>74</v>
      </c>
      <c r="P748" t="s">
        <v>74</v>
      </c>
      <c r="Q748" t="s">
        <v>74</v>
      </c>
      <c r="R748" t="s">
        <v>74</v>
      </c>
      <c r="S748" t="s">
        <v>74</v>
      </c>
      <c r="T748" t="s">
        <v>13275</v>
      </c>
      <c r="U748" t="s">
        <v>13276</v>
      </c>
      <c r="V748" t="s">
        <v>13277</v>
      </c>
      <c r="W748" t="s">
        <v>13278</v>
      </c>
      <c r="X748" t="s">
        <v>2357</v>
      </c>
      <c r="Y748" t="s">
        <v>13279</v>
      </c>
      <c r="Z748" t="s">
        <v>13280</v>
      </c>
      <c r="AA748" t="s">
        <v>5195</v>
      </c>
      <c r="AB748" t="s">
        <v>13281</v>
      </c>
      <c r="AC748" t="s">
        <v>74</v>
      </c>
      <c r="AD748" t="s">
        <v>74</v>
      </c>
      <c r="AE748" t="s">
        <v>74</v>
      </c>
      <c r="AF748" t="s">
        <v>74</v>
      </c>
      <c r="AG748">
        <v>24</v>
      </c>
      <c r="AH748">
        <v>8</v>
      </c>
      <c r="AI748">
        <v>13</v>
      </c>
      <c r="AJ748">
        <v>0</v>
      </c>
      <c r="AK748">
        <v>7</v>
      </c>
      <c r="AL748" t="s">
        <v>13240</v>
      </c>
      <c r="AM748" t="s">
        <v>13241</v>
      </c>
      <c r="AN748" t="s">
        <v>13242</v>
      </c>
      <c r="AO748" t="s">
        <v>13243</v>
      </c>
      <c r="AP748" t="s">
        <v>74</v>
      </c>
      <c r="AQ748" t="s">
        <v>74</v>
      </c>
      <c r="AR748" t="s">
        <v>13244</v>
      </c>
      <c r="AS748" t="s">
        <v>13245</v>
      </c>
      <c r="AT748" t="s">
        <v>74</v>
      </c>
      <c r="AU748">
        <v>2009</v>
      </c>
      <c r="AV748">
        <v>16</v>
      </c>
      <c r="AW748" t="s">
        <v>74</v>
      </c>
      <c r="AX748" t="s">
        <v>74</v>
      </c>
      <c r="AY748" t="s">
        <v>74</v>
      </c>
      <c r="AZ748" t="s">
        <v>74</v>
      </c>
      <c r="BA748" t="s">
        <v>74</v>
      </c>
      <c r="BB748">
        <v>131</v>
      </c>
      <c r="BC748">
        <v>148</v>
      </c>
      <c r="BD748" t="s">
        <v>74</v>
      </c>
      <c r="BE748" t="s">
        <v>74</v>
      </c>
      <c r="BF748" t="s">
        <v>74</v>
      </c>
      <c r="BG748" t="s">
        <v>74</v>
      </c>
      <c r="BH748" t="s">
        <v>74</v>
      </c>
      <c r="BI748">
        <v>18</v>
      </c>
      <c r="BJ748" t="s">
        <v>6525</v>
      </c>
      <c r="BK748" t="s">
        <v>100</v>
      </c>
      <c r="BL748" t="s">
        <v>6525</v>
      </c>
      <c r="BM748" t="s">
        <v>13246</v>
      </c>
      <c r="BN748" t="s">
        <v>74</v>
      </c>
      <c r="BO748" t="s">
        <v>74</v>
      </c>
      <c r="BP748" t="s">
        <v>74</v>
      </c>
      <c r="BQ748" t="s">
        <v>74</v>
      </c>
      <c r="BR748" t="s">
        <v>103</v>
      </c>
      <c r="BS748" t="s">
        <v>13282</v>
      </c>
      <c r="BT748" t="str">
        <f>HYPERLINK("https%3A%2F%2Fwww.webofscience.com%2Fwos%2Fwoscc%2Ffull-record%2FWOS:000272364100006","View Full Record in Web of Science")</f>
        <v>View Full Record in Web of Science</v>
      </c>
    </row>
    <row r="749" spans="1:72" x14ac:dyDescent="0.15">
      <c r="A749" t="s">
        <v>72</v>
      </c>
      <c r="B749" t="s">
        <v>13283</v>
      </c>
      <c r="C749" t="s">
        <v>74</v>
      </c>
      <c r="D749" t="s">
        <v>74</v>
      </c>
      <c r="E749" t="s">
        <v>74</v>
      </c>
      <c r="F749" t="s">
        <v>13284</v>
      </c>
      <c r="G749" t="s">
        <v>74</v>
      </c>
      <c r="H749" t="s">
        <v>74</v>
      </c>
      <c r="I749" t="s">
        <v>13285</v>
      </c>
      <c r="J749" t="s">
        <v>13231</v>
      </c>
      <c r="K749" t="s">
        <v>74</v>
      </c>
      <c r="L749" t="s">
        <v>74</v>
      </c>
      <c r="M749" t="s">
        <v>78</v>
      </c>
      <c r="N749" t="s">
        <v>79</v>
      </c>
      <c r="O749" t="s">
        <v>74</v>
      </c>
      <c r="P749" t="s">
        <v>74</v>
      </c>
      <c r="Q749" t="s">
        <v>74</v>
      </c>
      <c r="R749" t="s">
        <v>74</v>
      </c>
      <c r="S749" t="s">
        <v>74</v>
      </c>
      <c r="T749" t="s">
        <v>13286</v>
      </c>
      <c r="U749" t="s">
        <v>13287</v>
      </c>
      <c r="V749" t="s">
        <v>13288</v>
      </c>
      <c r="W749" t="s">
        <v>13289</v>
      </c>
      <c r="X749" t="s">
        <v>13290</v>
      </c>
      <c r="Y749" t="s">
        <v>13291</v>
      </c>
      <c r="Z749" t="s">
        <v>13292</v>
      </c>
      <c r="AA749" t="s">
        <v>13293</v>
      </c>
      <c r="AB749" t="s">
        <v>74</v>
      </c>
      <c r="AC749" t="s">
        <v>13294</v>
      </c>
      <c r="AD749" t="s">
        <v>10179</v>
      </c>
      <c r="AE749" t="s">
        <v>74</v>
      </c>
      <c r="AF749" t="s">
        <v>74</v>
      </c>
      <c r="AG749">
        <v>25</v>
      </c>
      <c r="AH749">
        <v>30</v>
      </c>
      <c r="AI749">
        <v>33</v>
      </c>
      <c r="AJ749">
        <v>1</v>
      </c>
      <c r="AK749">
        <v>8</v>
      </c>
      <c r="AL749" t="s">
        <v>13240</v>
      </c>
      <c r="AM749" t="s">
        <v>13241</v>
      </c>
      <c r="AN749" t="s">
        <v>13242</v>
      </c>
      <c r="AO749" t="s">
        <v>13243</v>
      </c>
      <c r="AP749" t="s">
        <v>74</v>
      </c>
      <c r="AQ749" t="s">
        <v>74</v>
      </c>
      <c r="AR749" t="s">
        <v>13244</v>
      </c>
      <c r="AS749" t="s">
        <v>13245</v>
      </c>
      <c r="AT749" t="s">
        <v>74</v>
      </c>
      <c r="AU749">
        <v>2009</v>
      </c>
      <c r="AV749">
        <v>16</v>
      </c>
      <c r="AW749" t="s">
        <v>74</v>
      </c>
      <c r="AX749" t="s">
        <v>74</v>
      </c>
      <c r="AY749" t="s">
        <v>74</v>
      </c>
      <c r="AZ749" t="s">
        <v>74</v>
      </c>
      <c r="BA749" t="s">
        <v>74</v>
      </c>
      <c r="BB749">
        <v>149</v>
      </c>
      <c r="BC749">
        <v>165</v>
      </c>
      <c r="BD749" t="s">
        <v>74</v>
      </c>
      <c r="BE749" t="s">
        <v>74</v>
      </c>
      <c r="BF749" t="s">
        <v>74</v>
      </c>
      <c r="BG749" t="s">
        <v>74</v>
      </c>
      <c r="BH749" t="s">
        <v>74</v>
      </c>
      <c r="BI749">
        <v>17</v>
      </c>
      <c r="BJ749" t="s">
        <v>6525</v>
      </c>
      <c r="BK749" t="s">
        <v>100</v>
      </c>
      <c r="BL749" t="s">
        <v>6525</v>
      </c>
      <c r="BM749" t="s">
        <v>13246</v>
      </c>
      <c r="BN749" t="s">
        <v>74</v>
      </c>
      <c r="BO749" t="s">
        <v>74</v>
      </c>
      <c r="BP749" t="s">
        <v>74</v>
      </c>
      <c r="BQ749" t="s">
        <v>74</v>
      </c>
      <c r="BR749" t="s">
        <v>103</v>
      </c>
      <c r="BS749" t="s">
        <v>13295</v>
      </c>
      <c r="BT749" t="str">
        <f>HYPERLINK("https%3A%2F%2Fwww.webofscience.com%2Fwos%2Fwoscc%2Ffull-record%2FWOS:000272364100007","View Full Record in Web of Science")</f>
        <v>View Full Record in Web of Science</v>
      </c>
    </row>
    <row r="750" spans="1:72" x14ac:dyDescent="0.15">
      <c r="A750" t="s">
        <v>72</v>
      </c>
      <c r="B750" t="s">
        <v>13296</v>
      </c>
      <c r="C750" t="s">
        <v>74</v>
      </c>
      <c r="D750" t="s">
        <v>74</v>
      </c>
      <c r="E750" t="s">
        <v>74</v>
      </c>
      <c r="F750" t="s">
        <v>13297</v>
      </c>
      <c r="G750" t="s">
        <v>74</v>
      </c>
      <c r="H750" t="s">
        <v>74</v>
      </c>
      <c r="I750" t="s">
        <v>13298</v>
      </c>
      <c r="J750" t="s">
        <v>13231</v>
      </c>
      <c r="K750" t="s">
        <v>74</v>
      </c>
      <c r="L750" t="s">
        <v>74</v>
      </c>
      <c r="M750" t="s">
        <v>78</v>
      </c>
      <c r="N750" t="s">
        <v>79</v>
      </c>
      <c r="O750" t="s">
        <v>74</v>
      </c>
      <c r="P750" t="s">
        <v>74</v>
      </c>
      <c r="Q750" t="s">
        <v>74</v>
      </c>
      <c r="R750" t="s">
        <v>74</v>
      </c>
      <c r="S750" t="s">
        <v>74</v>
      </c>
      <c r="T750" t="s">
        <v>13299</v>
      </c>
      <c r="U750" t="s">
        <v>74</v>
      </c>
      <c r="V750" t="s">
        <v>13300</v>
      </c>
      <c r="W750" t="s">
        <v>13301</v>
      </c>
      <c r="X750" t="s">
        <v>824</v>
      </c>
      <c r="Y750" t="s">
        <v>13302</v>
      </c>
      <c r="Z750" t="s">
        <v>13303</v>
      </c>
      <c r="AA750" t="s">
        <v>74</v>
      </c>
      <c r="AB750" t="s">
        <v>74</v>
      </c>
      <c r="AC750" t="s">
        <v>74</v>
      </c>
      <c r="AD750" t="s">
        <v>74</v>
      </c>
      <c r="AE750" t="s">
        <v>74</v>
      </c>
      <c r="AF750" t="s">
        <v>74</v>
      </c>
      <c r="AG750">
        <v>4</v>
      </c>
      <c r="AH750">
        <v>0</v>
      </c>
      <c r="AI750">
        <v>0</v>
      </c>
      <c r="AJ750">
        <v>0</v>
      </c>
      <c r="AK750">
        <v>6</v>
      </c>
      <c r="AL750" t="s">
        <v>13240</v>
      </c>
      <c r="AM750" t="s">
        <v>13241</v>
      </c>
      <c r="AN750" t="s">
        <v>13242</v>
      </c>
      <c r="AO750" t="s">
        <v>13243</v>
      </c>
      <c r="AP750" t="s">
        <v>74</v>
      </c>
      <c r="AQ750" t="s">
        <v>74</v>
      </c>
      <c r="AR750" t="s">
        <v>13244</v>
      </c>
      <c r="AS750" t="s">
        <v>13245</v>
      </c>
      <c r="AT750" t="s">
        <v>74</v>
      </c>
      <c r="AU750">
        <v>2009</v>
      </c>
      <c r="AV750">
        <v>16</v>
      </c>
      <c r="AW750" t="s">
        <v>74</v>
      </c>
      <c r="AX750" t="s">
        <v>74</v>
      </c>
      <c r="AY750" t="s">
        <v>74</v>
      </c>
      <c r="AZ750" t="s">
        <v>74</v>
      </c>
      <c r="BA750" t="s">
        <v>74</v>
      </c>
      <c r="BB750">
        <v>167</v>
      </c>
      <c r="BC750">
        <v>175</v>
      </c>
      <c r="BD750" t="s">
        <v>74</v>
      </c>
      <c r="BE750" t="s">
        <v>74</v>
      </c>
      <c r="BF750" t="s">
        <v>74</v>
      </c>
      <c r="BG750" t="s">
        <v>74</v>
      </c>
      <c r="BH750" t="s">
        <v>74</v>
      </c>
      <c r="BI750">
        <v>9</v>
      </c>
      <c r="BJ750" t="s">
        <v>6525</v>
      </c>
      <c r="BK750" t="s">
        <v>100</v>
      </c>
      <c r="BL750" t="s">
        <v>6525</v>
      </c>
      <c r="BM750" t="s">
        <v>13246</v>
      </c>
      <c r="BN750" t="s">
        <v>74</v>
      </c>
      <c r="BO750" t="s">
        <v>74</v>
      </c>
      <c r="BP750" t="s">
        <v>74</v>
      </c>
      <c r="BQ750" t="s">
        <v>74</v>
      </c>
      <c r="BR750" t="s">
        <v>103</v>
      </c>
      <c r="BS750" t="s">
        <v>13304</v>
      </c>
      <c r="BT750" t="str">
        <f>HYPERLINK("https%3A%2F%2Fwww.webofscience.com%2Fwos%2Fwoscc%2Ffull-record%2FWOS:000272364100008","View Full Record in Web of Science")</f>
        <v>View Full Record in Web of Science</v>
      </c>
    </row>
    <row r="751" spans="1:72" x14ac:dyDescent="0.15">
      <c r="A751" t="s">
        <v>72</v>
      </c>
      <c r="B751" t="s">
        <v>13305</v>
      </c>
      <c r="C751" t="s">
        <v>74</v>
      </c>
      <c r="D751" t="s">
        <v>74</v>
      </c>
      <c r="E751" t="s">
        <v>74</v>
      </c>
      <c r="F751" t="s">
        <v>13306</v>
      </c>
      <c r="G751" t="s">
        <v>74</v>
      </c>
      <c r="H751" t="s">
        <v>74</v>
      </c>
      <c r="I751" t="s">
        <v>13307</v>
      </c>
      <c r="J751" t="s">
        <v>13231</v>
      </c>
      <c r="K751" t="s">
        <v>74</v>
      </c>
      <c r="L751" t="s">
        <v>74</v>
      </c>
      <c r="M751" t="s">
        <v>78</v>
      </c>
      <c r="N751" t="s">
        <v>79</v>
      </c>
      <c r="O751" t="s">
        <v>74</v>
      </c>
      <c r="P751" t="s">
        <v>74</v>
      </c>
      <c r="Q751" t="s">
        <v>74</v>
      </c>
      <c r="R751" t="s">
        <v>74</v>
      </c>
      <c r="S751" t="s">
        <v>74</v>
      </c>
      <c r="T751" t="s">
        <v>13308</v>
      </c>
      <c r="U751" t="s">
        <v>13309</v>
      </c>
      <c r="V751" t="s">
        <v>13310</v>
      </c>
      <c r="W751" t="s">
        <v>13311</v>
      </c>
      <c r="X751" t="s">
        <v>2357</v>
      </c>
      <c r="Y751" t="s">
        <v>13312</v>
      </c>
      <c r="Z751" t="s">
        <v>6809</v>
      </c>
      <c r="AA751" t="s">
        <v>74</v>
      </c>
      <c r="AB751" t="s">
        <v>74</v>
      </c>
      <c r="AC751" t="s">
        <v>74</v>
      </c>
      <c r="AD751" t="s">
        <v>74</v>
      </c>
      <c r="AE751" t="s">
        <v>74</v>
      </c>
      <c r="AF751" t="s">
        <v>74</v>
      </c>
      <c r="AG751">
        <v>63</v>
      </c>
      <c r="AH751">
        <v>7</v>
      </c>
      <c r="AI751">
        <v>7</v>
      </c>
      <c r="AJ751">
        <v>0</v>
      </c>
      <c r="AK751">
        <v>7</v>
      </c>
      <c r="AL751" t="s">
        <v>13240</v>
      </c>
      <c r="AM751" t="s">
        <v>13241</v>
      </c>
      <c r="AN751" t="s">
        <v>13242</v>
      </c>
      <c r="AO751" t="s">
        <v>13243</v>
      </c>
      <c r="AP751" t="s">
        <v>74</v>
      </c>
      <c r="AQ751" t="s">
        <v>74</v>
      </c>
      <c r="AR751" t="s">
        <v>13244</v>
      </c>
      <c r="AS751" t="s">
        <v>13245</v>
      </c>
      <c r="AT751" t="s">
        <v>74</v>
      </c>
      <c r="AU751">
        <v>2009</v>
      </c>
      <c r="AV751">
        <v>16</v>
      </c>
      <c r="AW751" t="s">
        <v>74</v>
      </c>
      <c r="AX751" t="s">
        <v>74</v>
      </c>
      <c r="AY751" t="s">
        <v>74</v>
      </c>
      <c r="AZ751" t="s">
        <v>74</v>
      </c>
      <c r="BA751" t="s">
        <v>74</v>
      </c>
      <c r="BB751">
        <v>177</v>
      </c>
      <c r="BC751">
        <v>193</v>
      </c>
      <c r="BD751" t="s">
        <v>74</v>
      </c>
      <c r="BE751" t="s">
        <v>74</v>
      </c>
      <c r="BF751" t="s">
        <v>74</v>
      </c>
      <c r="BG751" t="s">
        <v>74</v>
      </c>
      <c r="BH751" t="s">
        <v>74</v>
      </c>
      <c r="BI751">
        <v>17</v>
      </c>
      <c r="BJ751" t="s">
        <v>6525</v>
      </c>
      <c r="BK751" t="s">
        <v>100</v>
      </c>
      <c r="BL751" t="s">
        <v>6525</v>
      </c>
      <c r="BM751" t="s">
        <v>13246</v>
      </c>
      <c r="BN751" t="s">
        <v>74</v>
      </c>
      <c r="BO751" t="s">
        <v>74</v>
      </c>
      <c r="BP751" t="s">
        <v>74</v>
      </c>
      <c r="BQ751" t="s">
        <v>74</v>
      </c>
      <c r="BR751" t="s">
        <v>103</v>
      </c>
      <c r="BS751" t="s">
        <v>13313</v>
      </c>
      <c r="BT751" t="str">
        <f>HYPERLINK("https%3A%2F%2Fwww.webofscience.com%2Fwos%2Fwoscc%2Ffull-record%2FWOS:000272364100009","View Full Record in Web of Science")</f>
        <v>View Full Record in Web of Science</v>
      </c>
    </row>
    <row r="752" spans="1:72" x14ac:dyDescent="0.15">
      <c r="A752" t="s">
        <v>72</v>
      </c>
      <c r="B752" t="s">
        <v>13314</v>
      </c>
      <c r="C752" t="s">
        <v>74</v>
      </c>
      <c r="D752" t="s">
        <v>74</v>
      </c>
      <c r="E752" t="s">
        <v>74</v>
      </c>
      <c r="F752" t="s">
        <v>13315</v>
      </c>
      <c r="G752" t="s">
        <v>74</v>
      </c>
      <c r="H752" t="s">
        <v>74</v>
      </c>
      <c r="I752" t="s">
        <v>13316</v>
      </c>
      <c r="J752" t="s">
        <v>13231</v>
      </c>
      <c r="K752" t="s">
        <v>74</v>
      </c>
      <c r="L752" t="s">
        <v>74</v>
      </c>
      <c r="M752" t="s">
        <v>78</v>
      </c>
      <c r="N752" t="s">
        <v>79</v>
      </c>
      <c r="O752" t="s">
        <v>74</v>
      </c>
      <c r="P752" t="s">
        <v>74</v>
      </c>
      <c r="Q752" t="s">
        <v>74</v>
      </c>
      <c r="R752" t="s">
        <v>74</v>
      </c>
      <c r="S752" t="s">
        <v>74</v>
      </c>
      <c r="T752" t="s">
        <v>13317</v>
      </c>
      <c r="U752" t="s">
        <v>13318</v>
      </c>
      <c r="V752" t="s">
        <v>13319</v>
      </c>
      <c r="W752" t="s">
        <v>13320</v>
      </c>
      <c r="X752" t="s">
        <v>8354</v>
      </c>
      <c r="Y752" t="s">
        <v>13321</v>
      </c>
      <c r="Z752" t="s">
        <v>13322</v>
      </c>
      <c r="AA752" t="s">
        <v>74</v>
      </c>
      <c r="AB752" t="s">
        <v>74</v>
      </c>
      <c r="AC752" t="s">
        <v>74</v>
      </c>
      <c r="AD752" t="s">
        <v>74</v>
      </c>
      <c r="AE752" t="s">
        <v>74</v>
      </c>
      <c r="AF752" t="s">
        <v>74</v>
      </c>
      <c r="AG752">
        <v>18</v>
      </c>
      <c r="AH752">
        <v>0</v>
      </c>
      <c r="AI752">
        <v>1</v>
      </c>
      <c r="AJ752">
        <v>0</v>
      </c>
      <c r="AK752">
        <v>7</v>
      </c>
      <c r="AL752" t="s">
        <v>13240</v>
      </c>
      <c r="AM752" t="s">
        <v>13241</v>
      </c>
      <c r="AN752" t="s">
        <v>13242</v>
      </c>
      <c r="AO752" t="s">
        <v>13243</v>
      </c>
      <c r="AP752" t="s">
        <v>74</v>
      </c>
      <c r="AQ752" t="s">
        <v>74</v>
      </c>
      <c r="AR752" t="s">
        <v>13244</v>
      </c>
      <c r="AS752" t="s">
        <v>13245</v>
      </c>
      <c r="AT752" t="s">
        <v>74</v>
      </c>
      <c r="AU752">
        <v>2009</v>
      </c>
      <c r="AV752">
        <v>16</v>
      </c>
      <c r="AW752" t="s">
        <v>74</v>
      </c>
      <c r="AX752" t="s">
        <v>74</v>
      </c>
      <c r="AY752" t="s">
        <v>74</v>
      </c>
      <c r="AZ752" t="s">
        <v>74</v>
      </c>
      <c r="BA752" t="s">
        <v>74</v>
      </c>
      <c r="BB752">
        <v>211</v>
      </c>
      <c r="BC752">
        <v>220</v>
      </c>
      <c r="BD752" t="s">
        <v>74</v>
      </c>
      <c r="BE752" t="s">
        <v>74</v>
      </c>
      <c r="BF752" t="s">
        <v>74</v>
      </c>
      <c r="BG752" t="s">
        <v>74</v>
      </c>
      <c r="BH752" t="s">
        <v>74</v>
      </c>
      <c r="BI752">
        <v>10</v>
      </c>
      <c r="BJ752" t="s">
        <v>6525</v>
      </c>
      <c r="BK752" t="s">
        <v>100</v>
      </c>
      <c r="BL752" t="s">
        <v>6525</v>
      </c>
      <c r="BM752" t="s">
        <v>13246</v>
      </c>
      <c r="BN752" t="s">
        <v>74</v>
      </c>
      <c r="BO752" t="s">
        <v>74</v>
      </c>
      <c r="BP752" t="s">
        <v>74</v>
      </c>
      <c r="BQ752" t="s">
        <v>74</v>
      </c>
      <c r="BR752" t="s">
        <v>103</v>
      </c>
      <c r="BS752" t="s">
        <v>13323</v>
      </c>
      <c r="BT752" t="str">
        <f>HYPERLINK("https%3A%2F%2Fwww.webofscience.com%2Fwos%2Fwoscc%2Ffull-record%2FWOS:000272364100011","View Full Record in Web of Science")</f>
        <v>View Full Record in Web of Science</v>
      </c>
    </row>
    <row r="753" spans="1:72" x14ac:dyDescent="0.15">
      <c r="A753" t="s">
        <v>72</v>
      </c>
      <c r="B753" t="s">
        <v>13324</v>
      </c>
      <c r="C753" t="s">
        <v>74</v>
      </c>
      <c r="D753" t="s">
        <v>74</v>
      </c>
      <c r="E753" t="s">
        <v>74</v>
      </c>
      <c r="F753" t="s">
        <v>13325</v>
      </c>
      <c r="G753" t="s">
        <v>74</v>
      </c>
      <c r="H753" t="s">
        <v>74</v>
      </c>
      <c r="I753" t="s">
        <v>13326</v>
      </c>
      <c r="J753" t="s">
        <v>13231</v>
      </c>
      <c r="K753" t="s">
        <v>74</v>
      </c>
      <c r="L753" t="s">
        <v>74</v>
      </c>
      <c r="M753" t="s">
        <v>78</v>
      </c>
      <c r="N753" t="s">
        <v>4464</v>
      </c>
      <c r="O753" t="s">
        <v>74</v>
      </c>
      <c r="P753" t="s">
        <v>74</v>
      </c>
      <c r="Q753" t="s">
        <v>74</v>
      </c>
      <c r="R753" t="s">
        <v>74</v>
      </c>
      <c r="S753" t="s">
        <v>74</v>
      </c>
      <c r="T753" t="s">
        <v>74</v>
      </c>
      <c r="U753" t="s">
        <v>74</v>
      </c>
      <c r="V753" t="s">
        <v>74</v>
      </c>
      <c r="W753" t="s">
        <v>13311</v>
      </c>
      <c r="X753" t="s">
        <v>2357</v>
      </c>
      <c r="Y753" t="s">
        <v>13327</v>
      </c>
      <c r="Z753" t="s">
        <v>13328</v>
      </c>
      <c r="AA753" t="s">
        <v>74</v>
      </c>
      <c r="AB753" t="s">
        <v>74</v>
      </c>
      <c r="AC753" t="s">
        <v>74</v>
      </c>
      <c r="AD753" t="s">
        <v>74</v>
      </c>
      <c r="AE753" t="s">
        <v>74</v>
      </c>
      <c r="AF753" t="s">
        <v>74</v>
      </c>
      <c r="AG753">
        <v>3</v>
      </c>
      <c r="AH753">
        <v>0</v>
      </c>
      <c r="AI753">
        <v>0</v>
      </c>
      <c r="AJ753">
        <v>0</v>
      </c>
      <c r="AK753">
        <v>1</v>
      </c>
      <c r="AL753" t="s">
        <v>13240</v>
      </c>
      <c r="AM753" t="s">
        <v>13241</v>
      </c>
      <c r="AN753" t="s">
        <v>13242</v>
      </c>
      <c r="AO753" t="s">
        <v>13243</v>
      </c>
      <c r="AP753" t="s">
        <v>74</v>
      </c>
      <c r="AQ753" t="s">
        <v>74</v>
      </c>
      <c r="AR753" t="s">
        <v>13244</v>
      </c>
      <c r="AS753" t="s">
        <v>13245</v>
      </c>
      <c r="AT753" t="s">
        <v>74</v>
      </c>
      <c r="AU753">
        <v>2009</v>
      </c>
      <c r="AV753">
        <v>16</v>
      </c>
      <c r="AW753" t="s">
        <v>74</v>
      </c>
      <c r="AX753" t="s">
        <v>74</v>
      </c>
      <c r="AY753" t="s">
        <v>74</v>
      </c>
      <c r="AZ753" t="s">
        <v>74</v>
      </c>
      <c r="BA753" t="s">
        <v>74</v>
      </c>
      <c r="BB753">
        <v>221</v>
      </c>
      <c r="BC753">
        <v>222</v>
      </c>
      <c r="BD753" t="s">
        <v>74</v>
      </c>
      <c r="BE753" t="s">
        <v>74</v>
      </c>
      <c r="BF753" t="s">
        <v>74</v>
      </c>
      <c r="BG753" t="s">
        <v>74</v>
      </c>
      <c r="BH753" t="s">
        <v>74</v>
      </c>
      <c r="BI753">
        <v>2</v>
      </c>
      <c r="BJ753" t="s">
        <v>6525</v>
      </c>
      <c r="BK753" t="s">
        <v>100</v>
      </c>
      <c r="BL753" t="s">
        <v>6525</v>
      </c>
      <c r="BM753" t="s">
        <v>13246</v>
      </c>
      <c r="BN753" t="s">
        <v>74</v>
      </c>
      <c r="BO753" t="s">
        <v>74</v>
      </c>
      <c r="BP753" t="s">
        <v>74</v>
      </c>
      <c r="BQ753" t="s">
        <v>74</v>
      </c>
      <c r="BR753" t="s">
        <v>103</v>
      </c>
      <c r="BS753" t="s">
        <v>13329</v>
      </c>
      <c r="BT753" t="str">
        <f>HYPERLINK("https%3A%2F%2Fwww.webofscience.com%2Fwos%2Fwoscc%2Ffull-record%2FWOS:000272364100012","View Full Record in Web of Science")</f>
        <v>View Full Record in Web of Science</v>
      </c>
    </row>
    <row r="754" spans="1:72" x14ac:dyDescent="0.15">
      <c r="A754" t="s">
        <v>2434</v>
      </c>
      <c r="B754" t="s">
        <v>13330</v>
      </c>
      <c r="C754" t="s">
        <v>74</v>
      </c>
      <c r="D754" t="s">
        <v>13331</v>
      </c>
      <c r="E754" t="s">
        <v>74</v>
      </c>
      <c r="F754" t="s">
        <v>13332</v>
      </c>
      <c r="G754" t="s">
        <v>74</v>
      </c>
      <c r="H754" t="s">
        <v>74</v>
      </c>
      <c r="I754" t="s">
        <v>13333</v>
      </c>
      <c r="J754" t="s">
        <v>13334</v>
      </c>
      <c r="K754" t="s">
        <v>13335</v>
      </c>
      <c r="L754" t="s">
        <v>74</v>
      </c>
      <c r="M754" t="s">
        <v>78</v>
      </c>
      <c r="N754" t="s">
        <v>2440</v>
      </c>
      <c r="O754" t="s">
        <v>13336</v>
      </c>
      <c r="P754" t="s">
        <v>13337</v>
      </c>
      <c r="Q754" t="s">
        <v>13338</v>
      </c>
      <c r="R754" t="s">
        <v>74</v>
      </c>
      <c r="S754" t="s">
        <v>74</v>
      </c>
      <c r="T754" t="s">
        <v>74</v>
      </c>
      <c r="U754" t="s">
        <v>13339</v>
      </c>
      <c r="V754" t="s">
        <v>13340</v>
      </c>
      <c r="W754" t="s">
        <v>13341</v>
      </c>
      <c r="X754" t="s">
        <v>13342</v>
      </c>
      <c r="Y754" t="s">
        <v>13343</v>
      </c>
      <c r="Z754" t="s">
        <v>13344</v>
      </c>
      <c r="AA754" t="s">
        <v>13345</v>
      </c>
      <c r="AB754" t="s">
        <v>13346</v>
      </c>
      <c r="AC754" t="s">
        <v>74</v>
      </c>
      <c r="AD754" t="s">
        <v>74</v>
      </c>
      <c r="AE754" t="s">
        <v>74</v>
      </c>
      <c r="AF754" t="s">
        <v>74</v>
      </c>
      <c r="AG754">
        <v>60</v>
      </c>
      <c r="AH754">
        <v>11</v>
      </c>
      <c r="AI754">
        <v>11</v>
      </c>
      <c r="AJ754">
        <v>0</v>
      </c>
      <c r="AK754">
        <v>9</v>
      </c>
      <c r="AL754" t="s">
        <v>13347</v>
      </c>
      <c r="AM754" t="s">
        <v>3694</v>
      </c>
      <c r="AN754" t="s">
        <v>13348</v>
      </c>
      <c r="AO754" t="s">
        <v>13349</v>
      </c>
      <c r="AP754" t="s">
        <v>74</v>
      </c>
      <c r="AQ754" t="s">
        <v>13350</v>
      </c>
      <c r="AR754" t="s">
        <v>13351</v>
      </c>
      <c r="AS754" t="s">
        <v>13352</v>
      </c>
      <c r="AT754" t="s">
        <v>74</v>
      </c>
      <c r="AU754">
        <v>2009</v>
      </c>
      <c r="AV754">
        <v>69</v>
      </c>
      <c r="AW754" t="s">
        <v>74</v>
      </c>
      <c r="AX754" t="s">
        <v>74</v>
      </c>
      <c r="AY754" t="s">
        <v>74</v>
      </c>
      <c r="AZ754" t="s">
        <v>74</v>
      </c>
      <c r="BA754" t="s">
        <v>74</v>
      </c>
      <c r="BB754">
        <v>311</v>
      </c>
      <c r="BC754" t="s">
        <v>10944</v>
      </c>
      <c r="BD754" t="s">
        <v>74</v>
      </c>
      <c r="BE754" t="s">
        <v>74</v>
      </c>
      <c r="BF754" t="s">
        <v>74</v>
      </c>
      <c r="BG754" t="s">
        <v>74</v>
      </c>
      <c r="BH754" t="s">
        <v>74</v>
      </c>
      <c r="BI754">
        <v>4</v>
      </c>
      <c r="BJ754" t="s">
        <v>13353</v>
      </c>
      <c r="BK754" t="s">
        <v>2457</v>
      </c>
      <c r="BL754" t="s">
        <v>13354</v>
      </c>
      <c r="BM754" t="s">
        <v>13355</v>
      </c>
      <c r="BN754" t="s">
        <v>74</v>
      </c>
      <c r="BO754" t="s">
        <v>74</v>
      </c>
      <c r="BP754" t="s">
        <v>74</v>
      </c>
      <c r="BQ754" t="s">
        <v>74</v>
      </c>
      <c r="BR754" t="s">
        <v>103</v>
      </c>
      <c r="BS754" t="s">
        <v>13356</v>
      </c>
      <c r="BT754" t="str">
        <f>HYPERLINK("https%3A%2F%2Fwww.webofscience.com%2Fwos%2Fwoscc%2Ffull-record%2FWOS:000270598800020","View Full Record in Web of Science")</f>
        <v>View Full Record in Web of Science</v>
      </c>
    </row>
    <row r="755" spans="1:72" x14ac:dyDescent="0.15">
      <c r="A755" t="s">
        <v>2434</v>
      </c>
      <c r="B755" t="s">
        <v>13357</v>
      </c>
      <c r="C755" t="s">
        <v>74</v>
      </c>
      <c r="D755" t="s">
        <v>13331</v>
      </c>
      <c r="E755" t="s">
        <v>74</v>
      </c>
      <c r="F755" t="s">
        <v>13358</v>
      </c>
      <c r="G755" t="s">
        <v>74</v>
      </c>
      <c r="H755" t="s">
        <v>74</v>
      </c>
      <c r="I755" t="s">
        <v>13359</v>
      </c>
      <c r="J755" t="s">
        <v>13334</v>
      </c>
      <c r="K755" t="s">
        <v>13335</v>
      </c>
      <c r="L755" t="s">
        <v>74</v>
      </c>
      <c r="M755" t="s">
        <v>78</v>
      </c>
      <c r="N755" t="s">
        <v>2440</v>
      </c>
      <c r="O755" t="s">
        <v>13336</v>
      </c>
      <c r="P755" t="s">
        <v>13337</v>
      </c>
      <c r="Q755" t="s">
        <v>13338</v>
      </c>
      <c r="R755" t="s">
        <v>74</v>
      </c>
      <c r="S755" t="s">
        <v>74</v>
      </c>
      <c r="T755" t="s">
        <v>74</v>
      </c>
      <c r="U755" t="s">
        <v>13360</v>
      </c>
      <c r="V755" t="s">
        <v>13361</v>
      </c>
      <c r="W755" t="s">
        <v>13362</v>
      </c>
      <c r="X755" t="s">
        <v>13363</v>
      </c>
      <c r="Y755" t="s">
        <v>13364</v>
      </c>
      <c r="Z755" t="s">
        <v>13365</v>
      </c>
      <c r="AA755" t="s">
        <v>74</v>
      </c>
      <c r="AB755" t="s">
        <v>74</v>
      </c>
      <c r="AC755" t="s">
        <v>74</v>
      </c>
      <c r="AD755" t="s">
        <v>74</v>
      </c>
      <c r="AE755" t="s">
        <v>74</v>
      </c>
      <c r="AF755" t="s">
        <v>74</v>
      </c>
      <c r="AG755">
        <v>92</v>
      </c>
      <c r="AH755">
        <v>4</v>
      </c>
      <c r="AI755">
        <v>4</v>
      </c>
      <c r="AJ755">
        <v>0</v>
      </c>
      <c r="AK755">
        <v>9</v>
      </c>
      <c r="AL755" t="s">
        <v>13347</v>
      </c>
      <c r="AM755" t="s">
        <v>3694</v>
      </c>
      <c r="AN755" t="s">
        <v>13348</v>
      </c>
      <c r="AO755" t="s">
        <v>13349</v>
      </c>
      <c r="AP755" t="s">
        <v>74</v>
      </c>
      <c r="AQ755" t="s">
        <v>13350</v>
      </c>
      <c r="AR755" t="s">
        <v>13351</v>
      </c>
      <c r="AS755" t="s">
        <v>13352</v>
      </c>
      <c r="AT755" t="s">
        <v>74</v>
      </c>
      <c r="AU755">
        <v>2009</v>
      </c>
      <c r="AV755">
        <v>69</v>
      </c>
      <c r="AW755" t="s">
        <v>74</v>
      </c>
      <c r="AX755" t="s">
        <v>74</v>
      </c>
      <c r="AY755" t="s">
        <v>74</v>
      </c>
      <c r="AZ755" t="s">
        <v>74</v>
      </c>
      <c r="BA755" t="s">
        <v>74</v>
      </c>
      <c r="BB755">
        <v>619</v>
      </c>
      <c r="BC755" t="s">
        <v>10944</v>
      </c>
      <c r="BD755" t="s">
        <v>74</v>
      </c>
      <c r="BE755" t="s">
        <v>74</v>
      </c>
      <c r="BF755" t="s">
        <v>74</v>
      </c>
      <c r="BG755" t="s">
        <v>74</v>
      </c>
      <c r="BH755" t="s">
        <v>74</v>
      </c>
      <c r="BI755">
        <v>6</v>
      </c>
      <c r="BJ755" t="s">
        <v>13353</v>
      </c>
      <c r="BK755" t="s">
        <v>2457</v>
      </c>
      <c r="BL755" t="s">
        <v>13354</v>
      </c>
      <c r="BM755" t="s">
        <v>13355</v>
      </c>
      <c r="BN755" t="s">
        <v>74</v>
      </c>
      <c r="BO755" t="s">
        <v>74</v>
      </c>
      <c r="BP755" t="s">
        <v>74</v>
      </c>
      <c r="BQ755" t="s">
        <v>74</v>
      </c>
      <c r="BR755" t="s">
        <v>103</v>
      </c>
      <c r="BS755" t="s">
        <v>13366</v>
      </c>
      <c r="BT755" t="str">
        <f>HYPERLINK("https%3A%2F%2Fwww.webofscience.com%2Fwos%2Fwoscc%2Ffull-record%2FWOS:000270598800039","View Full Record in Web of Science")</f>
        <v>View Full Record in Web of Science</v>
      </c>
    </row>
    <row r="756" spans="1:72" x14ac:dyDescent="0.15">
      <c r="A756" t="s">
        <v>72</v>
      </c>
      <c r="B756" t="s">
        <v>13367</v>
      </c>
      <c r="C756" t="s">
        <v>74</v>
      </c>
      <c r="D756" t="s">
        <v>74</v>
      </c>
      <c r="E756" t="s">
        <v>74</v>
      </c>
      <c r="F756" t="s">
        <v>13368</v>
      </c>
      <c r="G756" t="s">
        <v>74</v>
      </c>
      <c r="H756" t="s">
        <v>74</v>
      </c>
      <c r="I756" t="s">
        <v>13369</v>
      </c>
      <c r="J756" t="s">
        <v>13370</v>
      </c>
      <c r="K756" t="s">
        <v>74</v>
      </c>
      <c r="L756" t="s">
        <v>74</v>
      </c>
      <c r="M756" t="s">
        <v>78</v>
      </c>
      <c r="N756" t="s">
        <v>172</v>
      </c>
      <c r="O756" t="s">
        <v>74</v>
      </c>
      <c r="P756" t="s">
        <v>74</v>
      </c>
      <c r="Q756" t="s">
        <v>74</v>
      </c>
      <c r="R756" t="s">
        <v>74</v>
      </c>
      <c r="S756" t="s">
        <v>74</v>
      </c>
      <c r="T756" t="s">
        <v>13371</v>
      </c>
      <c r="U756" t="s">
        <v>13372</v>
      </c>
      <c r="V756" t="s">
        <v>13373</v>
      </c>
      <c r="W756" t="s">
        <v>13374</v>
      </c>
      <c r="X756" t="s">
        <v>13375</v>
      </c>
      <c r="Y756" t="s">
        <v>13376</v>
      </c>
      <c r="Z756" t="s">
        <v>13377</v>
      </c>
      <c r="AA756" t="s">
        <v>13378</v>
      </c>
      <c r="AB756" t="s">
        <v>13379</v>
      </c>
      <c r="AC756" t="s">
        <v>13380</v>
      </c>
      <c r="AD756" t="s">
        <v>13381</v>
      </c>
      <c r="AE756" t="s">
        <v>13382</v>
      </c>
      <c r="AF756" t="s">
        <v>74</v>
      </c>
      <c r="AG756">
        <v>27</v>
      </c>
      <c r="AH756">
        <v>19</v>
      </c>
      <c r="AI756">
        <v>19</v>
      </c>
      <c r="AJ756">
        <v>2</v>
      </c>
      <c r="AK756">
        <v>13</v>
      </c>
      <c r="AL756" t="s">
        <v>2742</v>
      </c>
      <c r="AM756" t="s">
        <v>2743</v>
      </c>
      <c r="AN756" t="s">
        <v>2744</v>
      </c>
      <c r="AO756" t="s">
        <v>74</v>
      </c>
      <c r="AP756" t="s">
        <v>13383</v>
      </c>
      <c r="AQ756" t="s">
        <v>74</v>
      </c>
      <c r="AR756" t="s">
        <v>13384</v>
      </c>
      <c r="AS756" t="s">
        <v>13385</v>
      </c>
      <c r="AT756" t="s">
        <v>74</v>
      </c>
      <c r="AU756">
        <v>2009</v>
      </c>
      <c r="AV756">
        <v>69</v>
      </c>
      <c r="AW756">
        <v>2</v>
      </c>
      <c r="AX756" t="s">
        <v>74</v>
      </c>
      <c r="AY756" t="s">
        <v>74</v>
      </c>
      <c r="AZ756" t="s">
        <v>74</v>
      </c>
      <c r="BA756" t="s">
        <v>74</v>
      </c>
      <c r="BB756">
        <v>161</v>
      </c>
      <c r="BC756">
        <v>168</v>
      </c>
      <c r="BD756" t="s">
        <v>74</v>
      </c>
      <c r="BE756" t="s">
        <v>13386</v>
      </c>
      <c r="BF756" t="str">
        <f>HYPERLINK("http://dx.doi.org/10.1016/j.chemer.2008.12.002","http://dx.doi.org/10.1016/j.chemer.2008.12.002")</f>
        <v>http://dx.doi.org/10.1016/j.chemer.2008.12.002</v>
      </c>
      <c r="BG756" t="s">
        <v>74</v>
      </c>
      <c r="BH756" t="s">
        <v>74</v>
      </c>
      <c r="BI756">
        <v>8</v>
      </c>
      <c r="BJ756" t="s">
        <v>534</v>
      </c>
      <c r="BK756" t="s">
        <v>100</v>
      </c>
      <c r="BL756" t="s">
        <v>534</v>
      </c>
      <c r="BM756" t="s">
        <v>13387</v>
      </c>
      <c r="BN756" t="s">
        <v>74</v>
      </c>
      <c r="BO756" t="s">
        <v>74</v>
      </c>
      <c r="BP756" t="s">
        <v>74</v>
      </c>
      <c r="BQ756" t="s">
        <v>74</v>
      </c>
      <c r="BR756" t="s">
        <v>103</v>
      </c>
      <c r="BS756" t="s">
        <v>13388</v>
      </c>
      <c r="BT756" t="str">
        <f>HYPERLINK("https%3A%2F%2Fwww.webofscience.com%2Fwos%2Fwoscc%2Ffull-record%2FWOS:000267254200004","View Full Record in Web of Science")</f>
        <v>View Full Record in Web of Science</v>
      </c>
    </row>
    <row r="757" spans="1:72" x14ac:dyDescent="0.15">
      <c r="A757" t="s">
        <v>72</v>
      </c>
      <c r="B757" t="s">
        <v>13389</v>
      </c>
      <c r="C757" t="s">
        <v>74</v>
      </c>
      <c r="D757" t="s">
        <v>74</v>
      </c>
      <c r="E757" t="s">
        <v>74</v>
      </c>
      <c r="F757" t="s">
        <v>13390</v>
      </c>
      <c r="G757" t="s">
        <v>74</v>
      </c>
      <c r="H757" t="s">
        <v>74</v>
      </c>
      <c r="I757" t="s">
        <v>13391</v>
      </c>
      <c r="J757" t="s">
        <v>13370</v>
      </c>
      <c r="K757" t="s">
        <v>74</v>
      </c>
      <c r="L757" t="s">
        <v>74</v>
      </c>
      <c r="M757" t="s">
        <v>78</v>
      </c>
      <c r="N757" t="s">
        <v>172</v>
      </c>
      <c r="O757" t="s">
        <v>74</v>
      </c>
      <c r="P757" t="s">
        <v>74</v>
      </c>
      <c r="Q757" t="s">
        <v>74</v>
      </c>
      <c r="R757" t="s">
        <v>74</v>
      </c>
      <c r="S757" t="s">
        <v>74</v>
      </c>
      <c r="T757" t="s">
        <v>13392</v>
      </c>
      <c r="U757" t="s">
        <v>13393</v>
      </c>
      <c r="V757" t="s">
        <v>13394</v>
      </c>
      <c r="W757" t="s">
        <v>13395</v>
      </c>
      <c r="X757" t="s">
        <v>13396</v>
      </c>
      <c r="Y757" t="s">
        <v>13397</v>
      </c>
      <c r="Z757" t="s">
        <v>13398</v>
      </c>
      <c r="AA757" t="s">
        <v>13399</v>
      </c>
      <c r="AB757" t="s">
        <v>13400</v>
      </c>
      <c r="AC757" t="s">
        <v>13401</v>
      </c>
      <c r="AD757" t="s">
        <v>13402</v>
      </c>
      <c r="AE757" t="s">
        <v>13403</v>
      </c>
      <c r="AF757" t="s">
        <v>74</v>
      </c>
      <c r="AG757">
        <v>49</v>
      </c>
      <c r="AH757">
        <v>23</v>
      </c>
      <c r="AI757">
        <v>28</v>
      </c>
      <c r="AJ757">
        <v>1</v>
      </c>
      <c r="AK757">
        <v>59</v>
      </c>
      <c r="AL757" t="s">
        <v>2742</v>
      </c>
      <c r="AM757" t="s">
        <v>2743</v>
      </c>
      <c r="AN757" t="s">
        <v>2744</v>
      </c>
      <c r="AO757" t="s">
        <v>74</v>
      </c>
      <c r="AP757" t="s">
        <v>13383</v>
      </c>
      <c r="AQ757" t="s">
        <v>74</v>
      </c>
      <c r="AR757" t="s">
        <v>13384</v>
      </c>
      <c r="AS757" t="s">
        <v>13385</v>
      </c>
      <c r="AT757" t="s">
        <v>74</v>
      </c>
      <c r="AU757">
        <v>2009</v>
      </c>
      <c r="AV757">
        <v>69</v>
      </c>
      <c r="AW757">
        <v>2</v>
      </c>
      <c r="AX757" t="s">
        <v>74</v>
      </c>
      <c r="AY757" t="s">
        <v>74</v>
      </c>
      <c r="AZ757" t="s">
        <v>74</v>
      </c>
      <c r="BA757" t="s">
        <v>74</v>
      </c>
      <c r="BB757">
        <v>169</v>
      </c>
      <c r="BC757">
        <v>182</v>
      </c>
      <c r="BD757" t="s">
        <v>74</v>
      </c>
      <c r="BE757" t="s">
        <v>13404</v>
      </c>
      <c r="BF757" t="str">
        <f>HYPERLINK("http://dx.doi.org/10.1016/j.chemer.2009.02.001","http://dx.doi.org/10.1016/j.chemer.2009.02.001")</f>
        <v>http://dx.doi.org/10.1016/j.chemer.2009.02.001</v>
      </c>
      <c r="BG757" t="s">
        <v>74</v>
      </c>
      <c r="BH757" t="s">
        <v>74</v>
      </c>
      <c r="BI757">
        <v>14</v>
      </c>
      <c r="BJ757" t="s">
        <v>534</v>
      </c>
      <c r="BK757" t="s">
        <v>100</v>
      </c>
      <c r="BL757" t="s">
        <v>534</v>
      </c>
      <c r="BM757" t="s">
        <v>13387</v>
      </c>
      <c r="BN757" t="s">
        <v>74</v>
      </c>
      <c r="BO757" t="s">
        <v>1106</v>
      </c>
      <c r="BP757" t="s">
        <v>74</v>
      </c>
      <c r="BQ757" t="s">
        <v>74</v>
      </c>
      <c r="BR757" t="s">
        <v>103</v>
      </c>
      <c r="BS757" t="s">
        <v>13405</v>
      </c>
      <c r="BT757" t="str">
        <f>HYPERLINK("https%3A%2F%2Fwww.webofscience.com%2Fwos%2Fwoscc%2Ffull-record%2FWOS:000267254200005","View Full Record in Web of Science")</f>
        <v>View Full Record in Web of Science</v>
      </c>
    </row>
    <row r="758" spans="1:72" x14ac:dyDescent="0.15">
      <c r="A758" t="s">
        <v>72</v>
      </c>
      <c r="B758" t="s">
        <v>13406</v>
      </c>
      <c r="C758" t="s">
        <v>74</v>
      </c>
      <c r="D758" t="s">
        <v>74</v>
      </c>
      <c r="E758" t="s">
        <v>74</v>
      </c>
      <c r="F758" t="s">
        <v>13407</v>
      </c>
      <c r="G758" t="s">
        <v>74</v>
      </c>
      <c r="H758" t="s">
        <v>74</v>
      </c>
      <c r="I758" t="s">
        <v>13408</v>
      </c>
      <c r="J758" t="s">
        <v>3927</v>
      </c>
      <c r="K758" t="s">
        <v>74</v>
      </c>
      <c r="L758" t="s">
        <v>74</v>
      </c>
      <c r="M758" t="s">
        <v>1061</v>
      </c>
      <c r="N758" t="s">
        <v>79</v>
      </c>
      <c r="O758" t="s">
        <v>74</v>
      </c>
      <c r="P758" t="s">
        <v>74</v>
      </c>
      <c r="Q758" t="s">
        <v>74</v>
      </c>
      <c r="R758" t="s">
        <v>74</v>
      </c>
      <c r="S758" t="s">
        <v>74</v>
      </c>
      <c r="T758" t="s">
        <v>13409</v>
      </c>
      <c r="U758" t="s">
        <v>13410</v>
      </c>
      <c r="V758" t="s">
        <v>13411</v>
      </c>
      <c r="W758" t="s">
        <v>13412</v>
      </c>
      <c r="X758" t="s">
        <v>13413</v>
      </c>
      <c r="Y758" t="s">
        <v>13414</v>
      </c>
      <c r="Z758" t="s">
        <v>13415</v>
      </c>
      <c r="AA758" t="s">
        <v>13416</v>
      </c>
      <c r="AB758" t="s">
        <v>13417</v>
      </c>
      <c r="AC758" t="s">
        <v>74</v>
      </c>
      <c r="AD758" t="s">
        <v>74</v>
      </c>
      <c r="AE758" t="s">
        <v>74</v>
      </c>
      <c r="AF758" t="s">
        <v>74</v>
      </c>
      <c r="AG758">
        <v>29</v>
      </c>
      <c r="AH758">
        <v>14</v>
      </c>
      <c r="AI758">
        <v>23</v>
      </c>
      <c r="AJ758">
        <v>0</v>
      </c>
      <c r="AK758">
        <v>9</v>
      </c>
      <c r="AL758" t="s">
        <v>1070</v>
      </c>
      <c r="AM758" t="s">
        <v>1071</v>
      </c>
      <c r="AN758" t="s">
        <v>1072</v>
      </c>
      <c r="AO758" t="s">
        <v>3936</v>
      </c>
      <c r="AP758" t="s">
        <v>74</v>
      </c>
      <c r="AQ758" t="s">
        <v>74</v>
      </c>
      <c r="AR758" t="s">
        <v>3937</v>
      </c>
      <c r="AS758" t="s">
        <v>3938</v>
      </c>
      <c r="AT758" t="s">
        <v>11480</v>
      </c>
      <c r="AU758">
        <v>2009</v>
      </c>
      <c r="AV758">
        <v>52</v>
      </c>
      <c r="AW758">
        <v>1</v>
      </c>
      <c r="AX758" t="s">
        <v>74</v>
      </c>
      <c r="AY758" t="s">
        <v>74</v>
      </c>
      <c r="AZ758" t="s">
        <v>74</v>
      </c>
      <c r="BA758" t="s">
        <v>74</v>
      </c>
      <c r="BB758">
        <v>41</v>
      </c>
      <c r="BC758">
        <v>49</v>
      </c>
      <c r="BD758" t="s">
        <v>74</v>
      </c>
      <c r="BE758" t="s">
        <v>74</v>
      </c>
      <c r="BF758" t="s">
        <v>74</v>
      </c>
      <c r="BG758" t="s">
        <v>74</v>
      </c>
      <c r="BH758" t="s">
        <v>74</v>
      </c>
      <c r="BI758">
        <v>9</v>
      </c>
      <c r="BJ758" t="s">
        <v>534</v>
      </c>
      <c r="BK758" t="s">
        <v>100</v>
      </c>
      <c r="BL758" t="s">
        <v>534</v>
      </c>
      <c r="BM758" t="s">
        <v>13418</v>
      </c>
      <c r="BN758" t="s">
        <v>74</v>
      </c>
      <c r="BO758" t="s">
        <v>74</v>
      </c>
      <c r="BP758" t="s">
        <v>74</v>
      </c>
      <c r="BQ758" t="s">
        <v>74</v>
      </c>
      <c r="BR758" t="s">
        <v>103</v>
      </c>
      <c r="BS758" t="s">
        <v>13419</v>
      </c>
      <c r="BT758" t="str">
        <f>HYPERLINK("https%3A%2F%2Fwww.webofscience.com%2Fwos%2Fwoscc%2Ffull-record%2FWOS:000262974800005","View Full Record in Web of Science")</f>
        <v>View Full Record in Web of Science</v>
      </c>
    </row>
    <row r="759" spans="1:72" x14ac:dyDescent="0.15">
      <c r="A759" t="s">
        <v>5277</v>
      </c>
      <c r="B759" t="s">
        <v>13420</v>
      </c>
      <c r="C759" t="s">
        <v>74</v>
      </c>
      <c r="D759" t="s">
        <v>13421</v>
      </c>
      <c r="E759" t="s">
        <v>74</v>
      </c>
      <c r="F759" t="s">
        <v>13422</v>
      </c>
      <c r="G759" t="s">
        <v>74</v>
      </c>
      <c r="H759" t="s">
        <v>74</v>
      </c>
      <c r="I759" t="s">
        <v>13423</v>
      </c>
      <c r="J759" t="s">
        <v>13424</v>
      </c>
      <c r="K759" t="s">
        <v>74</v>
      </c>
      <c r="L759" t="s">
        <v>74</v>
      </c>
      <c r="M759" t="s">
        <v>78</v>
      </c>
      <c r="N759" t="s">
        <v>11976</v>
      </c>
      <c r="O759" t="s">
        <v>74</v>
      </c>
      <c r="P759" t="s">
        <v>74</v>
      </c>
      <c r="Q759" t="s">
        <v>74</v>
      </c>
      <c r="R759" t="s">
        <v>74</v>
      </c>
      <c r="S759" t="s">
        <v>74</v>
      </c>
      <c r="T759" t="s">
        <v>74</v>
      </c>
      <c r="U759" t="s">
        <v>13425</v>
      </c>
      <c r="V759" t="s">
        <v>74</v>
      </c>
      <c r="W759" t="s">
        <v>13426</v>
      </c>
      <c r="X759" t="s">
        <v>13427</v>
      </c>
      <c r="Y759" t="s">
        <v>13428</v>
      </c>
      <c r="Z759" t="s">
        <v>74</v>
      </c>
      <c r="AA759" t="s">
        <v>13429</v>
      </c>
      <c r="AB759" t="s">
        <v>13430</v>
      </c>
      <c r="AC759" t="s">
        <v>74</v>
      </c>
      <c r="AD759" t="s">
        <v>74</v>
      </c>
      <c r="AE759" t="s">
        <v>74</v>
      </c>
      <c r="AF759" t="s">
        <v>74</v>
      </c>
      <c r="AG759">
        <v>98</v>
      </c>
      <c r="AH759">
        <v>7</v>
      </c>
      <c r="AI759">
        <v>7</v>
      </c>
      <c r="AJ759">
        <v>0</v>
      </c>
      <c r="AK759">
        <v>10</v>
      </c>
      <c r="AL759" t="s">
        <v>553</v>
      </c>
      <c r="AM759" t="s">
        <v>252</v>
      </c>
      <c r="AN759" t="s">
        <v>11984</v>
      </c>
      <c r="AO759" t="s">
        <v>74</v>
      </c>
      <c r="AP759" t="s">
        <v>74</v>
      </c>
      <c r="AQ759" t="s">
        <v>13431</v>
      </c>
      <c r="AR759" t="s">
        <v>74</v>
      </c>
      <c r="AS759" t="s">
        <v>74</v>
      </c>
      <c r="AT759" t="s">
        <v>74</v>
      </c>
      <c r="AU759">
        <v>2009</v>
      </c>
      <c r="AV759" t="s">
        <v>74</v>
      </c>
      <c r="AW759" t="s">
        <v>74</v>
      </c>
      <c r="AX759" t="s">
        <v>74</v>
      </c>
      <c r="AY759" t="s">
        <v>74</v>
      </c>
      <c r="AZ759" t="s">
        <v>74</v>
      </c>
      <c r="BA759" t="s">
        <v>74</v>
      </c>
      <c r="BB759">
        <v>127</v>
      </c>
      <c r="BC759">
        <v>142</v>
      </c>
      <c r="BD759" t="s">
        <v>74</v>
      </c>
      <c r="BE759" t="s">
        <v>13432</v>
      </c>
      <c r="BF759" t="str">
        <f>HYPERLINK("http://dx.doi.org/10.1016/B978-0-444-53301-2.00006-3","http://dx.doi.org/10.1016/B978-0-444-53301-2.00006-3")</f>
        <v>http://dx.doi.org/10.1016/B978-0-444-53301-2.00006-3</v>
      </c>
      <c r="BG759" t="s">
        <v>74</v>
      </c>
      <c r="BH759" t="s">
        <v>74</v>
      </c>
      <c r="BI759">
        <v>16</v>
      </c>
      <c r="BJ759" t="s">
        <v>1321</v>
      </c>
      <c r="BK759" t="s">
        <v>11989</v>
      </c>
      <c r="BL759" t="s">
        <v>1322</v>
      </c>
      <c r="BM759" t="s">
        <v>13433</v>
      </c>
      <c r="BN759" t="s">
        <v>74</v>
      </c>
      <c r="BO759" t="s">
        <v>74</v>
      </c>
      <c r="BP759" t="s">
        <v>74</v>
      </c>
      <c r="BQ759" t="s">
        <v>74</v>
      </c>
      <c r="BR759" t="s">
        <v>103</v>
      </c>
      <c r="BS759" t="s">
        <v>13434</v>
      </c>
      <c r="BT759" t="str">
        <f>HYPERLINK("https%3A%2F%2Fwww.webofscience.com%2Fwos%2Fwoscc%2Ffull-record%2FWOS:000311226000009","View Full Record in Web of Science")</f>
        <v>View Full Record in Web of Science</v>
      </c>
    </row>
    <row r="760" spans="1:72" x14ac:dyDescent="0.15">
      <c r="A760" t="s">
        <v>5277</v>
      </c>
      <c r="B760" t="s">
        <v>13435</v>
      </c>
      <c r="C760" t="s">
        <v>74</v>
      </c>
      <c r="D760" t="s">
        <v>13421</v>
      </c>
      <c r="E760" t="s">
        <v>74</v>
      </c>
      <c r="F760" t="s">
        <v>13436</v>
      </c>
      <c r="G760" t="s">
        <v>74</v>
      </c>
      <c r="H760" t="s">
        <v>74</v>
      </c>
      <c r="I760" t="s">
        <v>13437</v>
      </c>
      <c r="J760" t="s">
        <v>13424</v>
      </c>
      <c r="K760" t="s">
        <v>74</v>
      </c>
      <c r="L760" t="s">
        <v>74</v>
      </c>
      <c r="M760" t="s">
        <v>78</v>
      </c>
      <c r="N760" t="s">
        <v>11976</v>
      </c>
      <c r="O760" t="s">
        <v>74</v>
      </c>
      <c r="P760" t="s">
        <v>74</v>
      </c>
      <c r="Q760" t="s">
        <v>74</v>
      </c>
      <c r="R760" t="s">
        <v>74</v>
      </c>
      <c r="S760" t="s">
        <v>74</v>
      </c>
      <c r="T760" t="s">
        <v>74</v>
      </c>
      <c r="U760" t="s">
        <v>13438</v>
      </c>
      <c r="V760" t="s">
        <v>74</v>
      </c>
      <c r="W760" t="s">
        <v>11798</v>
      </c>
      <c r="X760" t="s">
        <v>824</v>
      </c>
      <c r="Y760" t="s">
        <v>13439</v>
      </c>
      <c r="Z760" t="s">
        <v>74</v>
      </c>
      <c r="AA760" t="s">
        <v>10372</v>
      </c>
      <c r="AB760" t="s">
        <v>13440</v>
      </c>
      <c r="AC760" t="s">
        <v>74</v>
      </c>
      <c r="AD760" t="s">
        <v>74</v>
      </c>
      <c r="AE760" t="s">
        <v>74</v>
      </c>
      <c r="AF760" t="s">
        <v>74</v>
      </c>
      <c r="AG760">
        <v>19</v>
      </c>
      <c r="AH760">
        <v>0</v>
      </c>
      <c r="AI760">
        <v>0</v>
      </c>
      <c r="AJ760">
        <v>0</v>
      </c>
      <c r="AK760">
        <v>0</v>
      </c>
      <c r="AL760" t="s">
        <v>553</v>
      </c>
      <c r="AM760" t="s">
        <v>252</v>
      </c>
      <c r="AN760" t="s">
        <v>11984</v>
      </c>
      <c r="AO760" t="s">
        <v>74</v>
      </c>
      <c r="AP760" t="s">
        <v>74</v>
      </c>
      <c r="AQ760" t="s">
        <v>13431</v>
      </c>
      <c r="AR760" t="s">
        <v>74</v>
      </c>
      <c r="AS760" t="s">
        <v>74</v>
      </c>
      <c r="AT760" t="s">
        <v>74</v>
      </c>
      <c r="AU760">
        <v>2009</v>
      </c>
      <c r="AV760" t="s">
        <v>74</v>
      </c>
      <c r="AW760" t="s">
        <v>74</v>
      </c>
      <c r="AX760" t="s">
        <v>74</v>
      </c>
      <c r="AY760" t="s">
        <v>74</v>
      </c>
      <c r="AZ760" t="s">
        <v>74</v>
      </c>
      <c r="BA760" t="s">
        <v>74</v>
      </c>
      <c r="BB760">
        <v>391</v>
      </c>
      <c r="BC760">
        <v>400</v>
      </c>
      <c r="BD760" t="s">
        <v>74</v>
      </c>
      <c r="BE760" t="s">
        <v>13441</v>
      </c>
      <c r="BF760" t="str">
        <f>HYPERLINK("http://dx.doi.org/10.1016/B978-0-444-53301-2.00022-1","http://dx.doi.org/10.1016/B978-0-444-53301-2.00022-1")</f>
        <v>http://dx.doi.org/10.1016/B978-0-444-53301-2.00022-1</v>
      </c>
      <c r="BG760" t="s">
        <v>74</v>
      </c>
      <c r="BH760" t="s">
        <v>74</v>
      </c>
      <c r="BI760">
        <v>10</v>
      </c>
      <c r="BJ760" t="s">
        <v>1321</v>
      </c>
      <c r="BK760" t="s">
        <v>11989</v>
      </c>
      <c r="BL760" t="s">
        <v>1322</v>
      </c>
      <c r="BM760" t="s">
        <v>13433</v>
      </c>
      <c r="BN760" t="s">
        <v>74</v>
      </c>
      <c r="BO760" t="s">
        <v>74</v>
      </c>
      <c r="BP760" t="s">
        <v>74</v>
      </c>
      <c r="BQ760" t="s">
        <v>74</v>
      </c>
      <c r="BR760" t="s">
        <v>103</v>
      </c>
      <c r="BS760" t="s">
        <v>13442</v>
      </c>
      <c r="BT760" t="str">
        <f>HYPERLINK("https%3A%2F%2Fwww.webofscience.com%2Fwos%2Fwoscc%2Ffull-record%2FWOS:000311226000025","View Full Record in Web of Science")</f>
        <v>View Full Record in Web of Science</v>
      </c>
    </row>
    <row r="761" spans="1:72" x14ac:dyDescent="0.15">
      <c r="A761" t="s">
        <v>72</v>
      </c>
      <c r="B761" t="s">
        <v>13443</v>
      </c>
      <c r="C761" t="s">
        <v>74</v>
      </c>
      <c r="D761" t="s">
        <v>74</v>
      </c>
      <c r="E761" t="s">
        <v>74</v>
      </c>
      <c r="F761" t="s">
        <v>13444</v>
      </c>
      <c r="G761" t="s">
        <v>74</v>
      </c>
      <c r="H761" t="s">
        <v>74</v>
      </c>
      <c r="I761" t="s">
        <v>13445</v>
      </c>
      <c r="J761" t="s">
        <v>13446</v>
      </c>
      <c r="K761" t="s">
        <v>74</v>
      </c>
      <c r="L761" t="s">
        <v>74</v>
      </c>
      <c r="M761" t="s">
        <v>78</v>
      </c>
      <c r="N761" t="s">
        <v>79</v>
      </c>
      <c r="O761" t="s">
        <v>74</v>
      </c>
      <c r="P761" t="s">
        <v>74</v>
      </c>
      <c r="Q761" t="s">
        <v>74</v>
      </c>
      <c r="R761" t="s">
        <v>74</v>
      </c>
      <c r="S761" t="s">
        <v>74</v>
      </c>
      <c r="T761" t="s">
        <v>74</v>
      </c>
      <c r="U761" t="s">
        <v>13447</v>
      </c>
      <c r="V761" t="s">
        <v>13448</v>
      </c>
      <c r="W761" t="s">
        <v>13449</v>
      </c>
      <c r="X761" t="s">
        <v>13450</v>
      </c>
      <c r="Y761" t="s">
        <v>13451</v>
      </c>
      <c r="Z761" t="s">
        <v>13452</v>
      </c>
      <c r="AA761" t="s">
        <v>13453</v>
      </c>
      <c r="AB761" t="s">
        <v>13454</v>
      </c>
      <c r="AC761" t="s">
        <v>13455</v>
      </c>
      <c r="AD761" t="s">
        <v>13456</v>
      </c>
      <c r="AE761" t="s">
        <v>13457</v>
      </c>
      <c r="AF761" t="s">
        <v>74</v>
      </c>
      <c r="AG761">
        <v>68</v>
      </c>
      <c r="AH761">
        <v>159</v>
      </c>
      <c r="AI761">
        <v>193</v>
      </c>
      <c r="AJ761">
        <v>4</v>
      </c>
      <c r="AK761">
        <v>55</v>
      </c>
      <c r="AL761" t="s">
        <v>7730</v>
      </c>
      <c r="AM761" t="s">
        <v>7731</v>
      </c>
      <c r="AN761" t="s">
        <v>7732</v>
      </c>
      <c r="AO761" t="s">
        <v>13458</v>
      </c>
      <c r="AP761" t="s">
        <v>13459</v>
      </c>
      <c r="AQ761" t="s">
        <v>74</v>
      </c>
      <c r="AR761" t="s">
        <v>13460</v>
      </c>
      <c r="AS761" t="s">
        <v>13461</v>
      </c>
      <c r="AT761" t="s">
        <v>74</v>
      </c>
      <c r="AU761">
        <v>2009</v>
      </c>
      <c r="AV761">
        <v>5</v>
      </c>
      <c r="AW761">
        <v>1</v>
      </c>
      <c r="AX761" t="s">
        <v>74</v>
      </c>
      <c r="AY761" t="s">
        <v>74</v>
      </c>
      <c r="AZ761" t="s">
        <v>74</v>
      </c>
      <c r="BA761" t="s">
        <v>74</v>
      </c>
      <c r="BB761">
        <v>21</v>
      </c>
      <c r="BC761">
        <v>31</v>
      </c>
      <c r="BD761" t="s">
        <v>74</v>
      </c>
      <c r="BE761" t="s">
        <v>13462</v>
      </c>
      <c r="BF761" t="str">
        <f>HYPERLINK("http://dx.doi.org/10.5194/cp-5-21-2009","http://dx.doi.org/10.5194/cp-5-21-2009")</f>
        <v>http://dx.doi.org/10.5194/cp-5-21-2009</v>
      </c>
      <c r="BG761" t="s">
        <v>74</v>
      </c>
      <c r="BH761" t="s">
        <v>74</v>
      </c>
      <c r="BI761">
        <v>11</v>
      </c>
      <c r="BJ761" t="s">
        <v>13463</v>
      </c>
      <c r="BK761" t="s">
        <v>100</v>
      </c>
      <c r="BL761" t="s">
        <v>13464</v>
      </c>
      <c r="BM761" t="s">
        <v>13465</v>
      </c>
      <c r="BN761" t="s">
        <v>74</v>
      </c>
      <c r="BO761" t="s">
        <v>8401</v>
      </c>
      <c r="BP761" t="s">
        <v>74</v>
      </c>
      <c r="BQ761" t="s">
        <v>74</v>
      </c>
      <c r="BR761" t="s">
        <v>103</v>
      </c>
      <c r="BS761" t="s">
        <v>13466</v>
      </c>
      <c r="BT761" t="str">
        <f>HYPERLINK("https%3A%2F%2Fwww.webofscience.com%2Fwos%2Fwoscc%2Ffull-record%2FWOS:000264740800003","View Full Record in Web of Science")</f>
        <v>View Full Record in Web of Science</v>
      </c>
    </row>
    <row r="762" spans="1:72" x14ac:dyDescent="0.15">
      <c r="A762" t="s">
        <v>72</v>
      </c>
      <c r="B762" t="s">
        <v>13467</v>
      </c>
      <c r="C762" t="s">
        <v>74</v>
      </c>
      <c r="D762" t="s">
        <v>74</v>
      </c>
      <c r="E762" t="s">
        <v>74</v>
      </c>
      <c r="F762" t="s">
        <v>13468</v>
      </c>
      <c r="G762" t="s">
        <v>74</v>
      </c>
      <c r="H762" t="s">
        <v>74</v>
      </c>
      <c r="I762" t="s">
        <v>13469</v>
      </c>
      <c r="J762" t="s">
        <v>13446</v>
      </c>
      <c r="K762" t="s">
        <v>74</v>
      </c>
      <c r="L762" t="s">
        <v>74</v>
      </c>
      <c r="M762" t="s">
        <v>78</v>
      </c>
      <c r="N762" t="s">
        <v>79</v>
      </c>
      <c r="O762" t="s">
        <v>74</v>
      </c>
      <c r="P762" t="s">
        <v>74</v>
      </c>
      <c r="Q762" t="s">
        <v>74</v>
      </c>
      <c r="R762" t="s">
        <v>74</v>
      </c>
      <c r="S762" t="s">
        <v>74</v>
      </c>
      <c r="T762" t="s">
        <v>74</v>
      </c>
      <c r="U762" t="s">
        <v>13470</v>
      </c>
      <c r="V762" t="s">
        <v>13471</v>
      </c>
      <c r="W762" t="s">
        <v>13472</v>
      </c>
      <c r="X762" t="s">
        <v>1500</v>
      </c>
      <c r="Y762" t="s">
        <v>13473</v>
      </c>
      <c r="Z762" t="s">
        <v>13474</v>
      </c>
      <c r="AA762" t="s">
        <v>13475</v>
      </c>
      <c r="AB762" t="s">
        <v>13476</v>
      </c>
      <c r="AC762" t="s">
        <v>13477</v>
      </c>
      <c r="AD762" t="s">
        <v>13478</v>
      </c>
      <c r="AE762" t="s">
        <v>13479</v>
      </c>
      <c r="AF762" t="s">
        <v>74</v>
      </c>
      <c r="AG762">
        <v>51</v>
      </c>
      <c r="AH762">
        <v>39</v>
      </c>
      <c r="AI762">
        <v>41</v>
      </c>
      <c r="AJ762">
        <v>0</v>
      </c>
      <c r="AK762">
        <v>12</v>
      </c>
      <c r="AL762" t="s">
        <v>7730</v>
      </c>
      <c r="AM762" t="s">
        <v>7731</v>
      </c>
      <c r="AN762" t="s">
        <v>7732</v>
      </c>
      <c r="AO762" t="s">
        <v>13458</v>
      </c>
      <c r="AP762" t="s">
        <v>13459</v>
      </c>
      <c r="AQ762" t="s">
        <v>74</v>
      </c>
      <c r="AR762" t="s">
        <v>13460</v>
      </c>
      <c r="AS762" t="s">
        <v>13461</v>
      </c>
      <c r="AT762" t="s">
        <v>74</v>
      </c>
      <c r="AU762">
        <v>2009</v>
      </c>
      <c r="AV762">
        <v>5</v>
      </c>
      <c r="AW762">
        <v>4</v>
      </c>
      <c r="AX762" t="s">
        <v>74</v>
      </c>
      <c r="AY762" t="s">
        <v>74</v>
      </c>
      <c r="AZ762" t="s">
        <v>74</v>
      </c>
      <c r="BA762" t="s">
        <v>74</v>
      </c>
      <c r="BB762">
        <v>633</v>
      </c>
      <c r="BC762">
        <v>646</v>
      </c>
      <c r="BD762" t="s">
        <v>74</v>
      </c>
      <c r="BE762" t="s">
        <v>13480</v>
      </c>
      <c r="BF762" t="str">
        <f>HYPERLINK("http://dx.doi.org/10.5194/cp-5-633-2009","http://dx.doi.org/10.5194/cp-5-633-2009")</f>
        <v>http://dx.doi.org/10.5194/cp-5-633-2009</v>
      </c>
      <c r="BG762" t="s">
        <v>74</v>
      </c>
      <c r="BH762" t="s">
        <v>74</v>
      </c>
      <c r="BI762">
        <v>14</v>
      </c>
      <c r="BJ762" t="s">
        <v>13463</v>
      </c>
      <c r="BK762" t="s">
        <v>100</v>
      </c>
      <c r="BL762" t="s">
        <v>13464</v>
      </c>
      <c r="BM762" t="s">
        <v>13481</v>
      </c>
      <c r="BN762" t="s">
        <v>74</v>
      </c>
      <c r="BO762" t="s">
        <v>450</v>
      </c>
      <c r="BP762" t="s">
        <v>74</v>
      </c>
      <c r="BQ762" t="s">
        <v>74</v>
      </c>
      <c r="BR762" t="s">
        <v>103</v>
      </c>
      <c r="BS762" t="s">
        <v>13482</v>
      </c>
      <c r="BT762" t="str">
        <f>HYPERLINK("https%3A%2F%2Fwww.webofscience.com%2Fwos%2Fwoscc%2Ffull-record%2FWOS:000273060000005","View Full Record in Web of Science")</f>
        <v>View Full Record in Web of Science</v>
      </c>
    </row>
    <row r="763" spans="1:72" x14ac:dyDescent="0.15">
      <c r="A763" t="s">
        <v>72</v>
      </c>
      <c r="B763" t="s">
        <v>13483</v>
      </c>
      <c r="C763" t="s">
        <v>74</v>
      </c>
      <c r="D763" t="s">
        <v>74</v>
      </c>
      <c r="E763" t="s">
        <v>74</v>
      </c>
      <c r="F763" t="s">
        <v>13484</v>
      </c>
      <c r="G763" t="s">
        <v>74</v>
      </c>
      <c r="H763" t="s">
        <v>74</v>
      </c>
      <c r="I763" t="s">
        <v>13485</v>
      </c>
      <c r="J763" t="s">
        <v>13446</v>
      </c>
      <c r="K763" t="s">
        <v>74</v>
      </c>
      <c r="L763" t="s">
        <v>74</v>
      </c>
      <c r="M763" t="s">
        <v>78</v>
      </c>
      <c r="N763" t="s">
        <v>79</v>
      </c>
      <c r="O763" t="s">
        <v>74</v>
      </c>
      <c r="P763" t="s">
        <v>74</v>
      </c>
      <c r="Q763" t="s">
        <v>74</v>
      </c>
      <c r="R763" t="s">
        <v>74</v>
      </c>
      <c r="S763" t="s">
        <v>74</v>
      </c>
      <c r="T763" t="s">
        <v>74</v>
      </c>
      <c r="U763" t="s">
        <v>13486</v>
      </c>
      <c r="V763" t="s">
        <v>13487</v>
      </c>
      <c r="W763" t="s">
        <v>13488</v>
      </c>
      <c r="X763" t="s">
        <v>13489</v>
      </c>
      <c r="Y763" t="s">
        <v>13490</v>
      </c>
      <c r="Z763" t="s">
        <v>13491</v>
      </c>
      <c r="AA763" t="s">
        <v>13492</v>
      </c>
      <c r="AB763" t="s">
        <v>13493</v>
      </c>
      <c r="AC763" t="s">
        <v>74</v>
      </c>
      <c r="AD763" t="s">
        <v>74</v>
      </c>
      <c r="AE763" t="s">
        <v>74</v>
      </c>
      <c r="AF763" t="s">
        <v>74</v>
      </c>
      <c r="AG763">
        <v>66</v>
      </c>
      <c r="AH763">
        <v>13</v>
      </c>
      <c r="AI763">
        <v>15</v>
      </c>
      <c r="AJ763">
        <v>1</v>
      </c>
      <c r="AK763">
        <v>20</v>
      </c>
      <c r="AL763" t="s">
        <v>7730</v>
      </c>
      <c r="AM763" t="s">
        <v>7731</v>
      </c>
      <c r="AN763" t="s">
        <v>7732</v>
      </c>
      <c r="AO763" t="s">
        <v>13458</v>
      </c>
      <c r="AP763" t="s">
        <v>13459</v>
      </c>
      <c r="AQ763" t="s">
        <v>74</v>
      </c>
      <c r="AR763" t="s">
        <v>13460</v>
      </c>
      <c r="AS763" t="s">
        <v>13461</v>
      </c>
      <c r="AT763" t="s">
        <v>74</v>
      </c>
      <c r="AU763">
        <v>2009</v>
      </c>
      <c r="AV763">
        <v>5</v>
      </c>
      <c r="AW763">
        <v>4</v>
      </c>
      <c r="AX763" t="s">
        <v>74</v>
      </c>
      <c r="AY763" t="s">
        <v>74</v>
      </c>
      <c r="AZ763" t="s">
        <v>74</v>
      </c>
      <c r="BA763" t="s">
        <v>74</v>
      </c>
      <c r="BB763">
        <v>683</v>
      </c>
      <c r="BC763">
        <v>693</v>
      </c>
      <c r="BD763" t="s">
        <v>74</v>
      </c>
      <c r="BE763" t="s">
        <v>13494</v>
      </c>
      <c r="BF763" t="str">
        <f>HYPERLINK("http://dx.doi.org/10.5194/cp-5-683-2009","http://dx.doi.org/10.5194/cp-5-683-2009")</f>
        <v>http://dx.doi.org/10.5194/cp-5-683-2009</v>
      </c>
      <c r="BG763" t="s">
        <v>74</v>
      </c>
      <c r="BH763" t="s">
        <v>74</v>
      </c>
      <c r="BI763">
        <v>11</v>
      </c>
      <c r="BJ763" t="s">
        <v>13463</v>
      </c>
      <c r="BK763" t="s">
        <v>100</v>
      </c>
      <c r="BL763" t="s">
        <v>13464</v>
      </c>
      <c r="BM763" t="s">
        <v>13481</v>
      </c>
      <c r="BN763" t="s">
        <v>74</v>
      </c>
      <c r="BO763" t="s">
        <v>11694</v>
      </c>
      <c r="BP763" t="s">
        <v>74</v>
      </c>
      <c r="BQ763" t="s">
        <v>74</v>
      </c>
      <c r="BR763" t="s">
        <v>103</v>
      </c>
      <c r="BS763" t="s">
        <v>13495</v>
      </c>
      <c r="BT763" t="str">
        <f>HYPERLINK("https%3A%2F%2Fwww.webofscience.com%2Fwos%2Fwoscc%2Ffull-record%2FWOS:000273060000009","View Full Record in Web of Science")</f>
        <v>View Full Record in Web of Science</v>
      </c>
    </row>
    <row r="764" spans="1:72" x14ac:dyDescent="0.15">
      <c r="A764" t="s">
        <v>72</v>
      </c>
      <c r="B764" t="s">
        <v>13496</v>
      </c>
      <c r="C764" t="s">
        <v>74</v>
      </c>
      <c r="D764" t="s">
        <v>74</v>
      </c>
      <c r="E764" t="s">
        <v>74</v>
      </c>
      <c r="F764" t="s">
        <v>13497</v>
      </c>
      <c r="G764" t="s">
        <v>74</v>
      </c>
      <c r="H764" t="s">
        <v>74</v>
      </c>
      <c r="I764" t="s">
        <v>13498</v>
      </c>
      <c r="J764" t="s">
        <v>13446</v>
      </c>
      <c r="K764" t="s">
        <v>74</v>
      </c>
      <c r="L764" t="s">
        <v>74</v>
      </c>
      <c r="M764" t="s">
        <v>78</v>
      </c>
      <c r="N764" t="s">
        <v>934</v>
      </c>
      <c r="O764" t="s">
        <v>74</v>
      </c>
      <c r="P764" t="s">
        <v>74</v>
      </c>
      <c r="Q764" t="s">
        <v>74</v>
      </c>
      <c r="R764" t="s">
        <v>74</v>
      </c>
      <c r="S764" t="s">
        <v>74</v>
      </c>
      <c r="T764" t="s">
        <v>74</v>
      </c>
      <c r="U764" t="s">
        <v>74</v>
      </c>
      <c r="V764" t="s">
        <v>13499</v>
      </c>
      <c r="W764" t="s">
        <v>13500</v>
      </c>
      <c r="X764" t="s">
        <v>13501</v>
      </c>
      <c r="Y764" t="s">
        <v>13502</v>
      </c>
      <c r="Z764" t="s">
        <v>13503</v>
      </c>
      <c r="AA764" t="s">
        <v>13504</v>
      </c>
      <c r="AB764" t="s">
        <v>13505</v>
      </c>
      <c r="AC764" t="s">
        <v>13506</v>
      </c>
      <c r="AD764" t="s">
        <v>1593</v>
      </c>
      <c r="AE764" t="s">
        <v>74</v>
      </c>
      <c r="AF764" t="s">
        <v>74</v>
      </c>
      <c r="AG764">
        <v>56</v>
      </c>
      <c r="AH764">
        <v>2</v>
      </c>
      <c r="AI764">
        <v>2</v>
      </c>
      <c r="AJ764">
        <v>0</v>
      </c>
      <c r="AK764">
        <v>8</v>
      </c>
      <c r="AL764" t="s">
        <v>7730</v>
      </c>
      <c r="AM764" t="s">
        <v>7731</v>
      </c>
      <c r="AN764" t="s">
        <v>7732</v>
      </c>
      <c r="AO764" t="s">
        <v>13458</v>
      </c>
      <c r="AP764" t="s">
        <v>13459</v>
      </c>
      <c r="AQ764" t="s">
        <v>74</v>
      </c>
      <c r="AR764" t="s">
        <v>13460</v>
      </c>
      <c r="AS764" t="s">
        <v>13461</v>
      </c>
      <c r="AT764" t="s">
        <v>74</v>
      </c>
      <c r="AU764">
        <v>2009</v>
      </c>
      <c r="AV764">
        <v>5</v>
      </c>
      <c r="AW764">
        <v>4</v>
      </c>
      <c r="AX764" t="s">
        <v>74</v>
      </c>
      <c r="AY764" t="s">
        <v>74</v>
      </c>
      <c r="AZ764" t="s">
        <v>74</v>
      </c>
      <c r="BA764" t="s">
        <v>74</v>
      </c>
      <c r="BB764">
        <v>707</v>
      </c>
      <c r="BC764">
        <v>711</v>
      </c>
      <c r="BD764" t="s">
        <v>74</v>
      </c>
      <c r="BE764" t="s">
        <v>13507</v>
      </c>
      <c r="BF764" t="str">
        <f>HYPERLINK("http://dx.doi.org/10.5194/cp-5-707-2009","http://dx.doi.org/10.5194/cp-5-707-2009")</f>
        <v>http://dx.doi.org/10.5194/cp-5-707-2009</v>
      </c>
      <c r="BG764" t="s">
        <v>74</v>
      </c>
      <c r="BH764" t="s">
        <v>74</v>
      </c>
      <c r="BI764">
        <v>5</v>
      </c>
      <c r="BJ764" t="s">
        <v>13463</v>
      </c>
      <c r="BK764" t="s">
        <v>100</v>
      </c>
      <c r="BL764" t="s">
        <v>13464</v>
      </c>
      <c r="BM764" t="s">
        <v>13481</v>
      </c>
      <c r="BN764" t="s">
        <v>74</v>
      </c>
      <c r="BO764" t="s">
        <v>450</v>
      </c>
      <c r="BP764" t="s">
        <v>74</v>
      </c>
      <c r="BQ764" t="s">
        <v>74</v>
      </c>
      <c r="BR764" t="s">
        <v>103</v>
      </c>
      <c r="BS764" t="s">
        <v>13508</v>
      </c>
      <c r="BT764" t="str">
        <f>HYPERLINK("https%3A%2F%2Fwww.webofscience.com%2Fwos%2Fwoscc%2Ffull-record%2FWOS:000273060000011","View Full Record in Web of Science")</f>
        <v>View Full Record in Web of Science</v>
      </c>
    </row>
    <row r="765" spans="1:72" x14ac:dyDescent="0.15">
      <c r="A765" t="s">
        <v>72</v>
      </c>
      <c r="B765" t="s">
        <v>13509</v>
      </c>
      <c r="C765" t="s">
        <v>74</v>
      </c>
      <c r="D765" t="s">
        <v>74</v>
      </c>
      <c r="E765" t="s">
        <v>74</v>
      </c>
      <c r="F765" t="s">
        <v>13510</v>
      </c>
      <c r="G765" t="s">
        <v>74</v>
      </c>
      <c r="H765" t="s">
        <v>74</v>
      </c>
      <c r="I765" t="s">
        <v>13511</v>
      </c>
      <c r="J765" t="s">
        <v>13446</v>
      </c>
      <c r="K765" t="s">
        <v>74</v>
      </c>
      <c r="L765" t="s">
        <v>74</v>
      </c>
      <c r="M765" t="s">
        <v>78</v>
      </c>
      <c r="N765" t="s">
        <v>79</v>
      </c>
      <c r="O765" t="s">
        <v>74</v>
      </c>
      <c r="P765" t="s">
        <v>74</v>
      </c>
      <c r="Q765" t="s">
        <v>74</v>
      </c>
      <c r="R765" t="s">
        <v>74</v>
      </c>
      <c r="S765" t="s">
        <v>74</v>
      </c>
      <c r="T765" t="s">
        <v>74</v>
      </c>
      <c r="U765" t="s">
        <v>13512</v>
      </c>
      <c r="V765" t="s">
        <v>13513</v>
      </c>
      <c r="W765" t="s">
        <v>13514</v>
      </c>
      <c r="X765" t="s">
        <v>13515</v>
      </c>
      <c r="Y765" t="s">
        <v>13516</v>
      </c>
      <c r="Z765" t="s">
        <v>13517</v>
      </c>
      <c r="AA765" t="s">
        <v>74</v>
      </c>
      <c r="AB765" t="s">
        <v>13518</v>
      </c>
      <c r="AC765" t="s">
        <v>13519</v>
      </c>
      <c r="AD765" t="s">
        <v>13520</v>
      </c>
      <c r="AE765" t="s">
        <v>13521</v>
      </c>
      <c r="AF765" t="s">
        <v>74</v>
      </c>
      <c r="AG765">
        <v>58</v>
      </c>
      <c r="AH765">
        <v>111</v>
      </c>
      <c r="AI765">
        <v>129</v>
      </c>
      <c r="AJ765">
        <v>2</v>
      </c>
      <c r="AK765">
        <v>26</v>
      </c>
      <c r="AL765" t="s">
        <v>7730</v>
      </c>
      <c r="AM765" t="s">
        <v>7731</v>
      </c>
      <c r="AN765" t="s">
        <v>7732</v>
      </c>
      <c r="AO765" t="s">
        <v>13458</v>
      </c>
      <c r="AP765" t="s">
        <v>13459</v>
      </c>
      <c r="AQ765" t="s">
        <v>74</v>
      </c>
      <c r="AR765" t="s">
        <v>13460</v>
      </c>
      <c r="AS765" t="s">
        <v>13461</v>
      </c>
      <c r="AT765" t="s">
        <v>74</v>
      </c>
      <c r="AU765">
        <v>2009</v>
      </c>
      <c r="AV765">
        <v>5</v>
      </c>
      <c r="AW765">
        <v>4</v>
      </c>
      <c r="AX765" t="s">
        <v>74</v>
      </c>
      <c r="AY765" t="s">
        <v>74</v>
      </c>
      <c r="AZ765" t="s">
        <v>74</v>
      </c>
      <c r="BA765" t="s">
        <v>74</v>
      </c>
      <c r="BB765">
        <v>769</v>
      </c>
      <c r="BC765">
        <v>783</v>
      </c>
      <c r="BD765" t="s">
        <v>74</v>
      </c>
      <c r="BE765" t="s">
        <v>13522</v>
      </c>
      <c r="BF765" t="str">
        <f>HYPERLINK("http://dx.doi.org/10.5194/cp-5-769-2009","http://dx.doi.org/10.5194/cp-5-769-2009")</f>
        <v>http://dx.doi.org/10.5194/cp-5-769-2009</v>
      </c>
      <c r="BG765" t="s">
        <v>74</v>
      </c>
      <c r="BH765" t="s">
        <v>74</v>
      </c>
      <c r="BI765">
        <v>15</v>
      </c>
      <c r="BJ765" t="s">
        <v>13463</v>
      </c>
      <c r="BK765" t="s">
        <v>100</v>
      </c>
      <c r="BL765" t="s">
        <v>13464</v>
      </c>
      <c r="BM765" t="s">
        <v>13481</v>
      </c>
      <c r="BN765" t="s">
        <v>74</v>
      </c>
      <c r="BO765" t="s">
        <v>450</v>
      </c>
      <c r="BP765" t="s">
        <v>74</v>
      </c>
      <c r="BQ765" t="s">
        <v>74</v>
      </c>
      <c r="BR765" t="s">
        <v>103</v>
      </c>
      <c r="BS765" t="s">
        <v>13523</v>
      </c>
      <c r="BT765" t="str">
        <f>HYPERLINK("https%3A%2F%2Fwww.webofscience.com%2Fwos%2Fwoscc%2Ffull-record%2FWOS:000273060000014","View Full Record in Web of Science")</f>
        <v>View Full Record in Web of Science</v>
      </c>
    </row>
    <row r="766" spans="1:72" x14ac:dyDescent="0.15">
      <c r="A766" t="s">
        <v>72</v>
      </c>
      <c r="B766" t="s">
        <v>13524</v>
      </c>
      <c r="C766" t="s">
        <v>74</v>
      </c>
      <c r="D766" t="s">
        <v>74</v>
      </c>
      <c r="E766" t="s">
        <v>74</v>
      </c>
      <c r="F766" t="s">
        <v>13525</v>
      </c>
      <c r="G766" t="s">
        <v>74</v>
      </c>
      <c r="H766" t="s">
        <v>74</v>
      </c>
      <c r="I766" t="s">
        <v>13526</v>
      </c>
      <c r="J766" t="s">
        <v>13446</v>
      </c>
      <c r="K766" t="s">
        <v>74</v>
      </c>
      <c r="L766" t="s">
        <v>74</v>
      </c>
      <c r="M766" t="s">
        <v>78</v>
      </c>
      <c r="N766" t="s">
        <v>79</v>
      </c>
      <c r="O766" t="s">
        <v>74</v>
      </c>
      <c r="P766" t="s">
        <v>74</v>
      </c>
      <c r="Q766" t="s">
        <v>74</v>
      </c>
      <c r="R766" t="s">
        <v>74</v>
      </c>
      <c r="S766" t="s">
        <v>74</v>
      </c>
      <c r="T766" t="s">
        <v>74</v>
      </c>
      <c r="U766" t="s">
        <v>13527</v>
      </c>
      <c r="V766" t="s">
        <v>13528</v>
      </c>
      <c r="W766" t="s">
        <v>13529</v>
      </c>
      <c r="X766" t="s">
        <v>13530</v>
      </c>
      <c r="Y766" t="s">
        <v>13531</v>
      </c>
      <c r="Z766" t="s">
        <v>13532</v>
      </c>
      <c r="AA766" t="s">
        <v>74</v>
      </c>
      <c r="AB766" t="s">
        <v>74</v>
      </c>
      <c r="AC766" t="s">
        <v>13533</v>
      </c>
      <c r="AD766" t="s">
        <v>13533</v>
      </c>
      <c r="AE766" t="s">
        <v>13534</v>
      </c>
      <c r="AF766" t="s">
        <v>74</v>
      </c>
      <c r="AG766">
        <v>62</v>
      </c>
      <c r="AH766">
        <v>73</v>
      </c>
      <c r="AI766">
        <v>81</v>
      </c>
      <c r="AJ766">
        <v>1</v>
      </c>
      <c r="AK766">
        <v>17</v>
      </c>
      <c r="AL766" t="s">
        <v>7730</v>
      </c>
      <c r="AM766" t="s">
        <v>7731</v>
      </c>
      <c r="AN766" t="s">
        <v>7732</v>
      </c>
      <c r="AO766" t="s">
        <v>13458</v>
      </c>
      <c r="AP766" t="s">
        <v>13459</v>
      </c>
      <c r="AQ766" t="s">
        <v>74</v>
      </c>
      <c r="AR766" t="s">
        <v>13460</v>
      </c>
      <c r="AS766" t="s">
        <v>13461</v>
      </c>
      <c r="AT766" t="s">
        <v>74</v>
      </c>
      <c r="AU766">
        <v>2009</v>
      </c>
      <c r="AV766">
        <v>5</v>
      </c>
      <c r="AW766">
        <v>4</v>
      </c>
      <c r="AX766" t="s">
        <v>74</v>
      </c>
      <c r="AY766" t="s">
        <v>74</v>
      </c>
      <c r="AZ766" t="s">
        <v>74</v>
      </c>
      <c r="BA766" t="s">
        <v>74</v>
      </c>
      <c r="BB766">
        <v>785</v>
      </c>
      <c r="BC766">
        <v>802</v>
      </c>
      <c r="BD766" t="s">
        <v>74</v>
      </c>
      <c r="BE766" t="s">
        <v>13535</v>
      </c>
      <c r="BF766" t="str">
        <f>HYPERLINK("http://dx.doi.org/10.5194/cp-5-785-2009","http://dx.doi.org/10.5194/cp-5-785-2009")</f>
        <v>http://dx.doi.org/10.5194/cp-5-785-2009</v>
      </c>
      <c r="BG766" t="s">
        <v>74</v>
      </c>
      <c r="BH766" t="s">
        <v>74</v>
      </c>
      <c r="BI766">
        <v>18</v>
      </c>
      <c r="BJ766" t="s">
        <v>13463</v>
      </c>
      <c r="BK766" t="s">
        <v>100</v>
      </c>
      <c r="BL766" t="s">
        <v>13464</v>
      </c>
      <c r="BM766" t="s">
        <v>13481</v>
      </c>
      <c r="BN766" t="s">
        <v>74</v>
      </c>
      <c r="BO766" t="s">
        <v>11694</v>
      </c>
      <c r="BP766" t="s">
        <v>74</v>
      </c>
      <c r="BQ766" t="s">
        <v>74</v>
      </c>
      <c r="BR766" t="s">
        <v>103</v>
      </c>
      <c r="BS766" t="s">
        <v>13536</v>
      </c>
      <c r="BT766" t="str">
        <f>HYPERLINK("https%3A%2F%2Fwww.webofscience.com%2Fwos%2Fwoscc%2Ffull-record%2FWOS:000273060000015","View Full Record in Web of Science")</f>
        <v>View Full Record in Web of Science</v>
      </c>
    </row>
    <row r="767" spans="1:72" x14ac:dyDescent="0.15">
      <c r="A767" t="s">
        <v>72</v>
      </c>
      <c r="B767" t="s">
        <v>13537</v>
      </c>
      <c r="C767" t="s">
        <v>74</v>
      </c>
      <c r="D767" t="s">
        <v>74</v>
      </c>
      <c r="E767" t="s">
        <v>74</v>
      </c>
      <c r="F767" t="s">
        <v>13538</v>
      </c>
      <c r="G767" t="s">
        <v>74</v>
      </c>
      <c r="H767" t="s">
        <v>74</v>
      </c>
      <c r="I767" t="s">
        <v>13539</v>
      </c>
      <c r="J767" t="s">
        <v>13540</v>
      </c>
      <c r="K767" t="s">
        <v>74</v>
      </c>
      <c r="L767" t="s">
        <v>74</v>
      </c>
      <c r="M767" t="s">
        <v>78</v>
      </c>
      <c r="N767" t="s">
        <v>79</v>
      </c>
      <c r="O767" t="s">
        <v>74</v>
      </c>
      <c r="P767" t="s">
        <v>74</v>
      </c>
      <c r="Q767" t="s">
        <v>74</v>
      </c>
      <c r="R767" t="s">
        <v>74</v>
      </c>
      <c r="S767" t="s">
        <v>74</v>
      </c>
      <c r="T767" t="s">
        <v>13541</v>
      </c>
      <c r="U767" t="s">
        <v>13542</v>
      </c>
      <c r="V767" t="s">
        <v>13543</v>
      </c>
      <c r="W767" t="s">
        <v>13544</v>
      </c>
      <c r="X767" t="s">
        <v>13545</v>
      </c>
      <c r="Y767" t="s">
        <v>13546</v>
      </c>
      <c r="Z767" t="s">
        <v>13547</v>
      </c>
      <c r="AA767" t="s">
        <v>74</v>
      </c>
      <c r="AB767" t="s">
        <v>13548</v>
      </c>
      <c r="AC767" t="s">
        <v>13549</v>
      </c>
      <c r="AD767" t="s">
        <v>13549</v>
      </c>
      <c r="AE767" t="s">
        <v>13550</v>
      </c>
      <c r="AF767" t="s">
        <v>74</v>
      </c>
      <c r="AG767">
        <v>31</v>
      </c>
      <c r="AH767">
        <v>70</v>
      </c>
      <c r="AI767">
        <v>83</v>
      </c>
      <c r="AJ767">
        <v>2</v>
      </c>
      <c r="AK767">
        <v>31</v>
      </c>
      <c r="AL767" t="s">
        <v>577</v>
      </c>
      <c r="AM767" t="s">
        <v>578</v>
      </c>
      <c r="AN767" t="s">
        <v>579</v>
      </c>
      <c r="AO767" t="s">
        <v>13551</v>
      </c>
      <c r="AP767" t="s">
        <v>13552</v>
      </c>
      <c r="AQ767" t="s">
        <v>74</v>
      </c>
      <c r="AR767" t="s">
        <v>13553</v>
      </c>
      <c r="AS767" t="s">
        <v>13554</v>
      </c>
      <c r="AT767" t="s">
        <v>74</v>
      </c>
      <c r="AU767">
        <v>2009</v>
      </c>
      <c r="AV767">
        <v>40</v>
      </c>
      <c r="AW767" t="s">
        <v>6579</v>
      </c>
      <c r="AX767" t="s">
        <v>74</v>
      </c>
      <c r="AY767" t="s">
        <v>74</v>
      </c>
      <c r="AZ767" t="s">
        <v>74</v>
      </c>
      <c r="BA767" t="s">
        <v>74</v>
      </c>
      <c r="BB767">
        <v>147</v>
      </c>
      <c r="BC767">
        <v>161</v>
      </c>
      <c r="BD767" t="s">
        <v>74</v>
      </c>
      <c r="BE767" t="s">
        <v>13555</v>
      </c>
      <c r="BF767" t="str">
        <f>HYPERLINK("http://dx.doi.org/10.3354/cr00821","http://dx.doi.org/10.3354/cr00821")</f>
        <v>http://dx.doi.org/10.3354/cr00821</v>
      </c>
      <c r="BG767" t="s">
        <v>74</v>
      </c>
      <c r="BH767" t="s">
        <v>74</v>
      </c>
      <c r="BI767">
        <v>15</v>
      </c>
      <c r="BJ767" t="s">
        <v>1321</v>
      </c>
      <c r="BK767" t="s">
        <v>100</v>
      </c>
      <c r="BL767" t="s">
        <v>1322</v>
      </c>
      <c r="BM767" t="s">
        <v>13556</v>
      </c>
      <c r="BN767" t="s">
        <v>74</v>
      </c>
      <c r="BO767" t="s">
        <v>499</v>
      </c>
      <c r="BP767" t="s">
        <v>74</v>
      </c>
      <c r="BQ767" t="s">
        <v>74</v>
      </c>
      <c r="BR767" t="s">
        <v>103</v>
      </c>
      <c r="BS767" t="s">
        <v>13557</v>
      </c>
      <c r="BT767" t="str">
        <f>HYPERLINK("https%3A%2F%2Fwww.webofscience.com%2Fwos%2Fwoscc%2Ffull-record%2FWOS:000273582100003","View Full Record in Web of Science")</f>
        <v>View Full Record in Web of Science</v>
      </c>
    </row>
    <row r="768" spans="1:72" x14ac:dyDescent="0.15">
      <c r="A768" t="s">
        <v>72</v>
      </c>
      <c r="B768" t="s">
        <v>13558</v>
      </c>
      <c r="C768" t="s">
        <v>74</v>
      </c>
      <c r="D768" t="s">
        <v>74</v>
      </c>
      <c r="E768" t="s">
        <v>74</v>
      </c>
      <c r="F768" t="s">
        <v>13559</v>
      </c>
      <c r="G768" t="s">
        <v>74</v>
      </c>
      <c r="H768" t="s">
        <v>74</v>
      </c>
      <c r="I768" t="s">
        <v>13560</v>
      </c>
      <c r="J768" t="s">
        <v>1436</v>
      </c>
      <c r="K768" t="s">
        <v>74</v>
      </c>
      <c r="L768" t="s">
        <v>74</v>
      </c>
      <c r="M768" t="s">
        <v>78</v>
      </c>
      <c r="N768" t="s">
        <v>79</v>
      </c>
      <c r="O768" t="s">
        <v>74</v>
      </c>
      <c r="P768" t="s">
        <v>74</v>
      </c>
      <c r="Q768" t="s">
        <v>74</v>
      </c>
      <c r="R768" t="s">
        <v>74</v>
      </c>
      <c r="S768" t="s">
        <v>74</v>
      </c>
      <c r="T768" t="s">
        <v>74</v>
      </c>
      <c r="U768" t="s">
        <v>13561</v>
      </c>
      <c r="V768" t="s">
        <v>13562</v>
      </c>
      <c r="W768" t="s">
        <v>13563</v>
      </c>
      <c r="X768" t="s">
        <v>13564</v>
      </c>
      <c r="Y768" t="s">
        <v>13565</v>
      </c>
      <c r="Z768" t="s">
        <v>13566</v>
      </c>
      <c r="AA768" t="s">
        <v>13567</v>
      </c>
      <c r="AB768" t="s">
        <v>13568</v>
      </c>
      <c r="AC768" t="s">
        <v>74</v>
      </c>
      <c r="AD768" t="s">
        <v>74</v>
      </c>
      <c r="AE768" t="s">
        <v>74</v>
      </c>
      <c r="AF768" t="s">
        <v>74</v>
      </c>
      <c r="AG768">
        <v>34</v>
      </c>
      <c r="AH768">
        <v>11</v>
      </c>
      <c r="AI768">
        <v>15</v>
      </c>
      <c r="AJ768">
        <v>1</v>
      </c>
      <c r="AK768">
        <v>23</v>
      </c>
      <c r="AL768" t="s">
        <v>91</v>
      </c>
      <c r="AM768" t="s">
        <v>374</v>
      </c>
      <c r="AN768" t="s">
        <v>375</v>
      </c>
      <c r="AO768" t="s">
        <v>1449</v>
      </c>
      <c r="AP768" t="s">
        <v>1450</v>
      </c>
      <c r="AQ768" t="s">
        <v>74</v>
      </c>
      <c r="AR768" t="s">
        <v>1436</v>
      </c>
      <c r="AS768" t="s">
        <v>1451</v>
      </c>
      <c r="AT768" t="s">
        <v>11480</v>
      </c>
      <c r="AU768">
        <v>2009</v>
      </c>
      <c r="AV768">
        <v>92</v>
      </c>
      <c r="AW768" t="s">
        <v>972</v>
      </c>
      <c r="AX768" t="s">
        <v>74</v>
      </c>
      <c r="AY768" t="s">
        <v>74</v>
      </c>
      <c r="AZ768" t="s">
        <v>74</v>
      </c>
      <c r="BA768" t="s">
        <v>74</v>
      </c>
      <c r="BB768">
        <v>191</v>
      </c>
      <c r="BC768">
        <v>211</v>
      </c>
      <c r="BD768" t="s">
        <v>74</v>
      </c>
      <c r="BE768" t="s">
        <v>13569</v>
      </c>
      <c r="BF768" t="str">
        <f>HYPERLINK("http://dx.doi.org/10.1007/s10584-008-9456-3","http://dx.doi.org/10.1007/s10584-008-9456-3")</f>
        <v>http://dx.doi.org/10.1007/s10584-008-9456-3</v>
      </c>
      <c r="BG768" t="s">
        <v>74</v>
      </c>
      <c r="BH768" t="s">
        <v>74</v>
      </c>
      <c r="BI768">
        <v>21</v>
      </c>
      <c r="BJ768" t="s">
        <v>1321</v>
      </c>
      <c r="BK768" t="s">
        <v>100</v>
      </c>
      <c r="BL768" t="s">
        <v>1322</v>
      </c>
      <c r="BM768" t="s">
        <v>13570</v>
      </c>
      <c r="BN768" t="s">
        <v>74</v>
      </c>
      <c r="BO768" t="s">
        <v>74</v>
      </c>
      <c r="BP768" t="s">
        <v>74</v>
      </c>
      <c r="BQ768" t="s">
        <v>74</v>
      </c>
      <c r="BR768" t="s">
        <v>103</v>
      </c>
      <c r="BS768" t="s">
        <v>13571</v>
      </c>
      <c r="BT768" t="str">
        <f>HYPERLINK("https%3A%2F%2Fwww.webofscience.com%2Fwos%2Fwoscc%2Ffull-record%2FWOS:000262392900012","View Full Record in Web of Science")</f>
        <v>View Full Record in Web of Science</v>
      </c>
    </row>
    <row r="769" spans="1:72" x14ac:dyDescent="0.15">
      <c r="A769" t="s">
        <v>72</v>
      </c>
      <c r="B769" t="s">
        <v>13572</v>
      </c>
      <c r="C769" t="s">
        <v>74</v>
      </c>
      <c r="D769" t="s">
        <v>74</v>
      </c>
      <c r="E769" t="s">
        <v>74</v>
      </c>
      <c r="F769" t="s">
        <v>13573</v>
      </c>
      <c r="G769" t="s">
        <v>74</v>
      </c>
      <c r="H769" t="s">
        <v>74</v>
      </c>
      <c r="I769" t="s">
        <v>13574</v>
      </c>
      <c r="J769" t="s">
        <v>13575</v>
      </c>
      <c r="K769" t="s">
        <v>74</v>
      </c>
      <c r="L769" t="s">
        <v>74</v>
      </c>
      <c r="M769" t="s">
        <v>78</v>
      </c>
      <c r="N769" t="s">
        <v>1437</v>
      </c>
      <c r="O769" t="s">
        <v>13576</v>
      </c>
      <c r="P769">
        <v>2006</v>
      </c>
      <c r="Q769" t="s">
        <v>13577</v>
      </c>
      <c r="R769" t="s">
        <v>74</v>
      </c>
      <c r="S769" t="s">
        <v>13578</v>
      </c>
      <c r="T769" t="s">
        <v>13579</v>
      </c>
      <c r="U769" t="s">
        <v>13580</v>
      </c>
      <c r="V769" t="s">
        <v>13581</v>
      </c>
      <c r="W769" t="s">
        <v>13582</v>
      </c>
      <c r="X769" t="s">
        <v>13583</v>
      </c>
      <c r="Y769" t="s">
        <v>13584</v>
      </c>
      <c r="Z769" t="s">
        <v>13585</v>
      </c>
      <c r="AA769" t="s">
        <v>13586</v>
      </c>
      <c r="AB769" t="s">
        <v>13587</v>
      </c>
      <c r="AC769" t="s">
        <v>74</v>
      </c>
      <c r="AD769" t="s">
        <v>74</v>
      </c>
      <c r="AE769" t="s">
        <v>74</v>
      </c>
      <c r="AF769" t="s">
        <v>74</v>
      </c>
      <c r="AG769">
        <v>59</v>
      </c>
      <c r="AH769">
        <v>13</v>
      </c>
      <c r="AI769">
        <v>13</v>
      </c>
      <c r="AJ769">
        <v>1</v>
      </c>
      <c r="AK769">
        <v>21</v>
      </c>
      <c r="AL769" t="s">
        <v>13588</v>
      </c>
      <c r="AM769" t="s">
        <v>13589</v>
      </c>
      <c r="AN769" t="s">
        <v>13590</v>
      </c>
      <c r="AO769" t="s">
        <v>13591</v>
      </c>
      <c r="AP769" t="s">
        <v>13592</v>
      </c>
      <c r="AQ769" t="s">
        <v>74</v>
      </c>
      <c r="AR769" t="s">
        <v>13593</v>
      </c>
      <c r="AS769" t="s">
        <v>13594</v>
      </c>
      <c r="AT769" t="s">
        <v>74</v>
      </c>
      <c r="AU769">
        <v>2009</v>
      </c>
      <c r="AV769">
        <v>37</v>
      </c>
      <c r="AW769">
        <v>1</v>
      </c>
      <c r="AX769" t="s">
        <v>74</v>
      </c>
      <c r="AY769" t="s">
        <v>74</v>
      </c>
      <c r="AZ769" t="s">
        <v>74</v>
      </c>
      <c r="BA769" t="s">
        <v>74</v>
      </c>
      <c r="BB769">
        <v>1</v>
      </c>
      <c r="BC769">
        <v>16</v>
      </c>
      <c r="BD769" t="s">
        <v>74</v>
      </c>
      <c r="BE769" t="s">
        <v>13595</v>
      </c>
      <c r="BF769" t="str">
        <f>HYPERLINK("http://dx.doi.org/10.1080/08920750802475368","http://dx.doi.org/10.1080/08920750802475368")</f>
        <v>http://dx.doi.org/10.1080/08920750802475368</v>
      </c>
      <c r="BG769" t="s">
        <v>74</v>
      </c>
      <c r="BH769" t="s">
        <v>74</v>
      </c>
      <c r="BI769">
        <v>16</v>
      </c>
      <c r="BJ769" t="s">
        <v>13596</v>
      </c>
      <c r="BK769" t="s">
        <v>13597</v>
      </c>
      <c r="BL769" t="s">
        <v>424</v>
      </c>
      <c r="BM769" t="s">
        <v>13598</v>
      </c>
      <c r="BN769" t="s">
        <v>74</v>
      </c>
      <c r="BO769" t="s">
        <v>74</v>
      </c>
      <c r="BP769" t="s">
        <v>74</v>
      </c>
      <c r="BQ769" t="s">
        <v>74</v>
      </c>
      <c r="BR769" t="s">
        <v>103</v>
      </c>
      <c r="BS769" t="s">
        <v>13599</v>
      </c>
      <c r="BT769" t="str">
        <f>HYPERLINK("https%3A%2F%2Fwww.webofscience.com%2Fwos%2Fwoscc%2Ffull-record%2FWOS:000262107300001","View Full Record in Web of Science")</f>
        <v>View Full Record in Web of Science</v>
      </c>
    </row>
    <row r="770" spans="1:72" x14ac:dyDescent="0.15">
      <c r="A770" t="s">
        <v>72</v>
      </c>
      <c r="B770" t="s">
        <v>13600</v>
      </c>
      <c r="C770" t="s">
        <v>74</v>
      </c>
      <c r="D770" t="s">
        <v>74</v>
      </c>
      <c r="E770" t="s">
        <v>74</v>
      </c>
      <c r="F770" t="s">
        <v>13601</v>
      </c>
      <c r="G770" t="s">
        <v>74</v>
      </c>
      <c r="H770" t="s">
        <v>74</v>
      </c>
      <c r="I770" t="s">
        <v>13602</v>
      </c>
      <c r="J770" t="s">
        <v>13603</v>
      </c>
      <c r="K770" t="s">
        <v>74</v>
      </c>
      <c r="L770" t="s">
        <v>74</v>
      </c>
      <c r="M770" t="s">
        <v>78</v>
      </c>
      <c r="N770" t="s">
        <v>79</v>
      </c>
      <c r="O770" t="s">
        <v>74</v>
      </c>
      <c r="P770" t="s">
        <v>74</v>
      </c>
      <c r="Q770" t="s">
        <v>74</v>
      </c>
      <c r="R770" t="s">
        <v>74</v>
      </c>
      <c r="S770" t="s">
        <v>74</v>
      </c>
      <c r="T770" t="s">
        <v>13604</v>
      </c>
      <c r="U770" t="s">
        <v>13605</v>
      </c>
      <c r="V770" t="s">
        <v>13606</v>
      </c>
      <c r="W770" t="s">
        <v>13607</v>
      </c>
      <c r="X770" t="s">
        <v>2357</v>
      </c>
      <c r="Y770" t="s">
        <v>13608</v>
      </c>
      <c r="Z770" t="s">
        <v>13609</v>
      </c>
      <c r="AA770" t="s">
        <v>74</v>
      </c>
      <c r="AB770" t="s">
        <v>74</v>
      </c>
      <c r="AC770" t="s">
        <v>74</v>
      </c>
      <c r="AD770" t="s">
        <v>74</v>
      </c>
      <c r="AE770" t="s">
        <v>74</v>
      </c>
      <c r="AF770" t="s">
        <v>74</v>
      </c>
      <c r="AG770">
        <v>8</v>
      </c>
      <c r="AH770">
        <v>39</v>
      </c>
      <c r="AI770">
        <v>44</v>
      </c>
      <c r="AJ770">
        <v>0</v>
      </c>
      <c r="AK770">
        <v>10</v>
      </c>
      <c r="AL770" t="s">
        <v>553</v>
      </c>
      <c r="AM770" t="s">
        <v>252</v>
      </c>
      <c r="AN770" t="s">
        <v>554</v>
      </c>
      <c r="AO770" t="s">
        <v>13610</v>
      </c>
      <c r="AP770" t="s">
        <v>74</v>
      </c>
      <c r="AQ770" t="s">
        <v>74</v>
      </c>
      <c r="AR770" t="s">
        <v>13611</v>
      </c>
      <c r="AS770" t="s">
        <v>13612</v>
      </c>
      <c r="AT770" t="s">
        <v>11480</v>
      </c>
      <c r="AU770">
        <v>2009</v>
      </c>
      <c r="AV770">
        <v>55</v>
      </c>
      <c r="AW770">
        <v>1</v>
      </c>
      <c r="AX770" t="s">
        <v>74</v>
      </c>
      <c r="AY770" t="s">
        <v>74</v>
      </c>
      <c r="AZ770" t="s">
        <v>74</v>
      </c>
      <c r="BA770" t="s">
        <v>74</v>
      </c>
      <c r="BB770">
        <v>47</v>
      </c>
      <c r="BC770">
        <v>51</v>
      </c>
      <c r="BD770" t="s">
        <v>74</v>
      </c>
      <c r="BE770" t="s">
        <v>13613</v>
      </c>
      <c r="BF770" t="str">
        <f>HYPERLINK("http://dx.doi.org/10.1016/j.coldregions.2008.06.001","http://dx.doi.org/10.1016/j.coldregions.2008.06.001")</f>
        <v>http://dx.doi.org/10.1016/j.coldregions.2008.06.001</v>
      </c>
      <c r="BG770" t="s">
        <v>74</v>
      </c>
      <c r="BH770" t="s">
        <v>74</v>
      </c>
      <c r="BI770">
        <v>5</v>
      </c>
      <c r="BJ770" t="s">
        <v>13614</v>
      </c>
      <c r="BK770" t="s">
        <v>100</v>
      </c>
      <c r="BL770" t="s">
        <v>13615</v>
      </c>
      <c r="BM770" t="s">
        <v>13616</v>
      </c>
      <c r="BN770" t="s">
        <v>74</v>
      </c>
      <c r="BO770" t="s">
        <v>74</v>
      </c>
      <c r="BP770" t="s">
        <v>74</v>
      </c>
      <c r="BQ770" t="s">
        <v>74</v>
      </c>
      <c r="BR770" t="s">
        <v>103</v>
      </c>
      <c r="BS770" t="s">
        <v>13617</v>
      </c>
      <c r="BT770" t="str">
        <f>HYPERLINK("https%3A%2F%2Fwww.webofscience.com%2Fwos%2Fwoscc%2Ffull-record%2FWOS:000261563900006","View Full Record in Web of Science")</f>
        <v>View Full Record in Web of Science</v>
      </c>
    </row>
    <row r="771" spans="1:72" x14ac:dyDescent="0.15">
      <c r="A771" t="s">
        <v>72</v>
      </c>
      <c r="B771" t="s">
        <v>13618</v>
      </c>
      <c r="C771" t="s">
        <v>74</v>
      </c>
      <c r="D771" t="s">
        <v>74</v>
      </c>
      <c r="E771" t="s">
        <v>74</v>
      </c>
      <c r="F771" t="s">
        <v>13619</v>
      </c>
      <c r="G771" t="s">
        <v>74</v>
      </c>
      <c r="H771" t="s">
        <v>74</v>
      </c>
      <c r="I771" t="s">
        <v>13620</v>
      </c>
      <c r="J771" t="s">
        <v>13603</v>
      </c>
      <c r="K771" t="s">
        <v>74</v>
      </c>
      <c r="L771" t="s">
        <v>74</v>
      </c>
      <c r="M771" t="s">
        <v>78</v>
      </c>
      <c r="N771" t="s">
        <v>79</v>
      </c>
      <c r="O771" t="s">
        <v>74</v>
      </c>
      <c r="P771" t="s">
        <v>74</v>
      </c>
      <c r="Q771" t="s">
        <v>74</v>
      </c>
      <c r="R771" t="s">
        <v>74</v>
      </c>
      <c r="S771" t="s">
        <v>74</v>
      </c>
      <c r="T771" t="s">
        <v>13621</v>
      </c>
      <c r="U771" t="s">
        <v>13622</v>
      </c>
      <c r="V771" t="s">
        <v>13623</v>
      </c>
      <c r="W771" t="s">
        <v>13624</v>
      </c>
      <c r="X771" t="s">
        <v>13625</v>
      </c>
      <c r="Y771" t="s">
        <v>13626</v>
      </c>
      <c r="Z771" t="s">
        <v>13627</v>
      </c>
      <c r="AA771" t="s">
        <v>13628</v>
      </c>
      <c r="AB771" t="s">
        <v>13629</v>
      </c>
      <c r="AC771" t="s">
        <v>13630</v>
      </c>
      <c r="AD771" t="s">
        <v>13631</v>
      </c>
      <c r="AE771" t="s">
        <v>13632</v>
      </c>
      <c r="AF771" t="s">
        <v>74</v>
      </c>
      <c r="AG771">
        <v>24</v>
      </c>
      <c r="AH771">
        <v>8</v>
      </c>
      <c r="AI771">
        <v>9</v>
      </c>
      <c r="AJ771">
        <v>2</v>
      </c>
      <c r="AK771">
        <v>11</v>
      </c>
      <c r="AL771" t="s">
        <v>553</v>
      </c>
      <c r="AM771" t="s">
        <v>252</v>
      </c>
      <c r="AN771" t="s">
        <v>554</v>
      </c>
      <c r="AO771" t="s">
        <v>13610</v>
      </c>
      <c r="AP771" t="s">
        <v>74</v>
      </c>
      <c r="AQ771" t="s">
        <v>74</v>
      </c>
      <c r="AR771" t="s">
        <v>13611</v>
      </c>
      <c r="AS771" t="s">
        <v>13612</v>
      </c>
      <c r="AT771" t="s">
        <v>11480</v>
      </c>
      <c r="AU771">
        <v>2009</v>
      </c>
      <c r="AV771">
        <v>55</v>
      </c>
      <c r="AW771">
        <v>1</v>
      </c>
      <c r="AX771" t="s">
        <v>74</v>
      </c>
      <c r="AY771" t="s">
        <v>74</v>
      </c>
      <c r="AZ771" t="s">
        <v>74</v>
      </c>
      <c r="BA771" t="s">
        <v>74</v>
      </c>
      <c r="BB771">
        <v>111</v>
      </c>
      <c r="BC771">
        <v>119</v>
      </c>
      <c r="BD771" t="s">
        <v>74</v>
      </c>
      <c r="BE771" t="s">
        <v>13633</v>
      </c>
      <c r="BF771" t="str">
        <f>HYPERLINK("http://dx.doi.org/10.1016/j.coldregions.2008.06.002","http://dx.doi.org/10.1016/j.coldregions.2008.06.002")</f>
        <v>http://dx.doi.org/10.1016/j.coldregions.2008.06.002</v>
      </c>
      <c r="BG771" t="s">
        <v>74</v>
      </c>
      <c r="BH771" t="s">
        <v>74</v>
      </c>
      <c r="BI771">
        <v>9</v>
      </c>
      <c r="BJ771" t="s">
        <v>13614</v>
      </c>
      <c r="BK771" t="s">
        <v>100</v>
      </c>
      <c r="BL771" t="s">
        <v>13615</v>
      </c>
      <c r="BM771" t="s">
        <v>13616</v>
      </c>
      <c r="BN771" t="s">
        <v>74</v>
      </c>
      <c r="BO771" t="s">
        <v>74</v>
      </c>
      <c r="BP771" t="s">
        <v>74</v>
      </c>
      <c r="BQ771" t="s">
        <v>74</v>
      </c>
      <c r="BR771" t="s">
        <v>103</v>
      </c>
      <c r="BS771" t="s">
        <v>13634</v>
      </c>
      <c r="BT771" t="str">
        <f>HYPERLINK("https%3A%2F%2Fwww.webofscience.com%2Fwos%2Fwoscc%2Ffull-record%2FWOS:000261563900012","View Full Record in Web of Science")</f>
        <v>View Full Record in Web of Science</v>
      </c>
    </row>
    <row r="772" spans="1:72" x14ac:dyDescent="0.15">
      <c r="A772" t="s">
        <v>72</v>
      </c>
      <c r="B772" t="s">
        <v>13635</v>
      </c>
      <c r="C772" t="s">
        <v>74</v>
      </c>
      <c r="D772" t="s">
        <v>74</v>
      </c>
      <c r="E772" t="s">
        <v>74</v>
      </c>
      <c r="F772" t="s">
        <v>13636</v>
      </c>
      <c r="G772" t="s">
        <v>74</v>
      </c>
      <c r="H772" t="s">
        <v>74</v>
      </c>
      <c r="I772" t="s">
        <v>13637</v>
      </c>
      <c r="J772" t="s">
        <v>13638</v>
      </c>
      <c r="K772" t="s">
        <v>74</v>
      </c>
      <c r="L772" t="s">
        <v>74</v>
      </c>
      <c r="M772" t="s">
        <v>78</v>
      </c>
      <c r="N772" t="s">
        <v>79</v>
      </c>
      <c r="O772" t="s">
        <v>74</v>
      </c>
      <c r="P772" t="s">
        <v>74</v>
      </c>
      <c r="Q772" t="s">
        <v>74</v>
      </c>
      <c r="R772" t="s">
        <v>74</v>
      </c>
      <c r="S772" t="s">
        <v>74</v>
      </c>
      <c r="T772" t="s">
        <v>13639</v>
      </c>
      <c r="U772" t="s">
        <v>13640</v>
      </c>
      <c r="V772" t="s">
        <v>13641</v>
      </c>
      <c r="W772" t="s">
        <v>13642</v>
      </c>
      <c r="X772" t="s">
        <v>13643</v>
      </c>
      <c r="Y772" t="s">
        <v>13644</v>
      </c>
      <c r="Z772" t="s">
        <v>13645</v>
      </c>
      <c r="AA772" t="s">
        <v>74</v>
      </c>
      <c r="AB772" t="s">
        <v>74</v>
      </c>
      <c r="AC772" t="s">
        <v>13646</v>
      </c>
      <c r="AD772" t="s">
        <v>13647</v>
      </c>
      <c r="AE772" t="s">
        <v>13648</v>
      </c>
      <c r="AF772" t="s">
        <v>74</v>
      </c>
      <c r="AG772">
        <v>20</v>
      </c>
      <c r="AH772">
        <v>4</v>
      </c>
      <c r="AI772">
        <v>7</v>
      </c>
      <c r="AJ772">
        <v>0</v>
      </c>
      <c r="AK772">
        <v>7</v>
      </c>
      <c r="AL772" t="s">
        <v>303</v>
      </c>
      <c r="AM772" t="s">
        <v>304</v>
      </c>
      <c r="AN772" t="s">
        <v>305</v>
      </c>
      <c r="AO772" t="s">
        <v>13649</v>
      </c>
      <c r="AP772" t="s">
        <v>13650</v>
      </c>
      <c r="AQ772" t="s">
        <v>74</v>
      </c>
      <c r="AR772" t="s">
        <v>13651</v>
      </c>
      <c r="AS772" t="s">
        <v>13652</v>
      </c>
      <c r="AT772" t="s">
        <v>11480</v>
      </c>
      <c r="AU772">
        <v>2009</v>
      </c>
      <c r="AV772">
        <v>35</v>
      </c>
      <c r="AW772">
        <v>1</v>
      </c>
      <c r="AX772" t="s">
        <v>74</v>
      </c>
      <c r="AY772" t="s">
        <v>74</v>
      </c>
      <c r="AZ772" t="s">
        <v>74</v>
      </c>
      <c r="BA772" t="s">
        <v>74</v>
      </c>
      <c r="BB772">
        <v>83</v>
      </c>
      <c r="BC772">
        <v>91</v>
      </c>
      <c r="BD772" t="s">
        <v>74</v>
      </c>
      <c r="BE772" t="s">
        <v>13653</v>
      </c>
      <c r="BF772" t="str">
        <f>HYPERLINK("http://dx.doi.org/10.1016/j.cageo.2007.09.011","http://dx.doi.org/10.1016/j.cageo.2007.09.011")</f>
        <v>http://dx.doi.org/10.1016/j.cageo.2007.09.011</v>
      </c>
      <c r="BG772" t="s">
        <v>74</v>
      </c>
      <c r="BH772" t="s">
        <v>74</v>
      </c>
      <c r="BI772">
        <v>9</v>
      </c>
      <c r="BJ772" t="s">
        <v>13654</v>
      </c>
      <c r="BK772" t="s">
        <v>100</v>
      </c>
      <c r="BL772" t="s">
        <v>13655</v>
      </c>
      <c r="BM772" t="s">
        <v>13656</v>
      </c>
      <c r="BN772" t="s">
        <v>74</v>
      </c>
      <c r="BO772" t="s">
        <v>74</v>
      </c>
      <c r="BP772" t="s">
        <v>74</v>
      </c>
      <c r="BQ772" t="s">
        <v>74</v>
      </c>
      <c r="BR772" t="s">
        <v>103</v>
      </c>
      <c r="BS772" t="s">
        <v>13657</v>
      </c>
      <c r="BT772" t="str">
        <f>HYPERLINK("https%3A%2F%2Fwww.webofscience.com%2Fwos%2Fwoscc%2Ffull-record%2FWOS:000261722900007","View Full Record in Web of Science")</f>
        <v>View Full Record in Web of Science</v>
      </c>
    </row>
    <row r="773" spans="1:72" x14ac:dyDescent="0.15">
      <c r="A773" t="s">
        <v>11414</v>
      </c>
      <c r="B773" t="s">
        <v>13658</v>
      </c>
      <c r="C773" t="s">
        <v>74</v>
      </c>
      <c r="D773" t="s">
        <v>13659</v>
      </c>
      <c r="E773" t="s">
        <v>74</v>
      </c>
      <c r="F773" t="s">
        <v>13660</v>
      </c>
      <c r="G773" t="s">
        <v>74</v>
      </c>
      <c r="H773" t="s">
        <v>74</v>
      </c>
      <c r="I773" t="s">
        <v>13661</v>
      </c>
      <c r="J773" t="s">
        <v>13662</v>
      </c>
      <c r="K773" t="s">
        <v>13663</v>
      </c>
      <c r="L773" t="s">
        <v>74</v>
      </c>
      <c r="M773" t="s">
        <v>78</v>
      </c>
      <c r="N773" t="s">
        <v>11976</v>
      </c>
      <c r="O773" t="s">
        <v>74</v>
      </c>
      <c r="P773" t="s">
        <v>74</v>
      </c>
      <c r="Q773" t="s">
        <v>74</v>
      </c>
      <c r="R773" t="s">
        <v>74</v>
      </c>
      <c r="S773" t="s">
        <v>74</v>
      </c>
      <c r="T773" t="s">
        <v>13664</v>
      </c>
      <c r="U773" t="s">
        <v>13665</v>
      </c>
      <c r="V773" t="s">
        <v>13666</v>
      </c>
      <c r="W773" t="s">
        <v>13667</v>
      </c>
      <c r="X773" t="s">
        <v>13668</v>
      </c>
      <c r="Y773" t="s">
        <v>13669</v>
      </c>
      <c r="Z773" t="s">
        <v>13670</v>
      </c>
      <c r="AA773" t="s">
        <v>13671</v>
      </c>
      <c r="AB773" t="s">
        <v>13672</v>
      </c>
      <c r="AC773" t="s">
        <v>74</v>
      </c>
      <c r="AD773" t="s">
        <v>74</v>
      </c>
      <c r="AE773" t="s">
        <v>74</v>
      </c>
      <c r="AF773" t="s">
        <v>74</v>
      </c>
      <c r="AG773">
        <v>12</v>
      </c>
      <c r="AH773">
        <v>7</v>
      </c>
      <c r="AI773">
        <v>7</v>
      </c>
      <c r="AJ773">
        <v>0</v>
      </c>
      <c r="AK773">
        <v>0</v>
      </c>
      <c r="AL773" t="s">
        <v>900</v>
      </c>
      <c r="AM773" t="s">
        <v>901</v>
      </c>
      <c r="AN773" t="s">
        <v>13673</v>
      </c>
      <c r="AO773" t="s">
        <v>13674</v>
      </c>
      <c r="AP773" t="s">
        <v>74</v>
      </c>
      <c r="AQ773" t="s">
        <v>13675</v>
      </c>
      <c r="AR773" t="s">
        <v>13676</v>
      </c>
      <c r="AS773" t="s">
        <v>13663</v>
      </c>
      <c r="AT773" t="s">
        <v>74</v>
      </c>
      <c r="AU773">
        <v>2009</v>
      </c>
      <c r="AV773">
        <v>3</v>
      </c>
      <c r="AW773" t="s">
        <v>74</v>
      </c>
      <c r="AX773" t="s">
        <v>74</v>
      </c>
      <c r="AY773" t="s">
        <v>74</v>
      </c>
      <c r="AZ773" t="s">
        <v>74</v>
      </c>
      <c r="BA773" t="s">
        <v>74</v>
      </c>
      <c r="BB773">
        <v>103</v>
      </c>
      <c r="BC773">
        <v>110</v>
      </c>
      <c r="BD773" t="s">
        <v>74</v>
      </c>
      <c r="BE773" t="s">
        <v>13677</v>
      </c>
      <c r="BF773" t="str">
        <f>HYPERLINK("http://dx.doi.org/10.11646/zoosymposia.3.1.9","http://dx.doi.org/10.11646/zoosymposia.3.1.9")</f>
        <v>http://dx.doi.org/10.11646/zoosymposia.3.1.9</v>
      </c>
      <c r="BG773" t="s">
        <v>74</v>
      </c>
      <c r="BH773" t="s">
        <v>74</v>
      </c>
      <c r="BI773">
        <v>8</v>
      </c>
      <c r="BJ773" t="s">
        <v>13678</v>
      </c>
      <c r="BK773" t="s">
        <v>11989</v>
      </c>
      <c r="BL773" t="s">
        <v>13678</v>
      </c>
      <c r="BM773" t="s">
        <v>13679</v>
      </c>
      <c r="BN773" t="s">
        <v>74</v>
      </c>
      <c r="BO773" t="s">
        <v>74</v>
      </c>
      <c r="BP773" t="s">
        <v>74</v>
      </c>
      <c r="BQ773" t="s">
        <v>74</v>
      </c>
      <c r="BR773" t="s">
        <v>103</v>
      </c>
      <c r="BS773" t="s">
        <v>13680</v>
      </c>
      <c r="BT773" t="str">
        <f>HYPERLINK("https%3A%2F%2Fwww.webofscience.com%2Fwos%2Fwoscc%2Ffull-record%2FWOS:000277094500010","View Full Record in Web of Science")</f>
        <v>View Full Record in Web of Science</v>
      </c>
    </row>
    <row r="774" spans="1:72" x14ac:dyDescent="0.15">
      <c r="A774" t="s">
        <v>72</v>
      </c>
      <c r="B774" t="s">
        <v>13681</v>
      </c>
      <c r="C774" t="s">
        <v>74</v>
      </c>
      <c r="D774" t="s">
        <v>74</v>
      </c>
      <c r="E774" t="s">
        <v>74</v>
      </c>
      <c r="F774" t="s">
        <v>13682</v>
      </c>
      <c r="G774" t="s">
        <v>74</v>
      </c>
      <c r="H774" t="s">
        <v>74</v>
      </c>
      <c r="I774" t="s">
        <v>13683</v>
      </c>
      <c r="J774" t="s">
        <v>13684</v>
      </c>
      <c r="K774" t="s">
        <v>74</v>
      </c>
      <c r="L774" t="s">
        <v>74</v>
      </c>
      <c r="M774" t="s">
        <v>78</v>
      </c>
      <c r="N774" t="s">
        <v>172</v>
      </c>
      <c r="O774" t="s">
        <v>74</v>
      </c>
      <c r="P774" t="s">
        <v>74</v>
      </c>
      <c r="Q774" t="s">
        <v>74</v>
      </c>
      <c r="R774" t="s">
        <v>74</v>
      </c>
      <c r="S774" t="s">
        <v>74</v>
      </c>
      <c r="T774" t="s">
        <v>13685</v>
      </c>
      <c r="U774" t="s">
        <v>13686</v>
      </c>
      <c r="V774" t="s">
        <v>13687</v>
      </c>
      <c r="W774" t="s">
        <v>13688</v>
      </c>
      <c r="X774" t="s">
        <v>13689</v>
      </c>
      <c r="Y774" t="s">
        <v>13690</v>
      </c>
      <c r="Z774" t="s">
        <v>13691</v>
      </c>
      <c r="AA774" t="s">
        <v>13692</v>
      </c>
      <c r="AB774" t="s">
        <v>13693</v>
      </c>
      <c r="AC774" t="s">
        <v>13694</v>
      </c>
      <c r="AD774" t="s">
        <v>13695</v>
      </c>
      <c r="AE774" t="s">
        <v>13696</v>
      </c>
      <c r="AF774" t="s">
        <v>74</v>
      </c>
      <c r="AG774">
        <v>119</v>
      </c>
      <c r="AH774">
        <v>15</v>
      </c>
      <c r="AI774">
        <v>23</v>
      </c>
      <c r="AJ774">
        <v>5</v>
      </c>
      <c r="AK774">
        <v>56</v>
      </c>
      <c r="AL774" t="s">
        <v>13588</v>
      </c>
      <c r="AM774" t="s">
        <v>13589</v>
      </c>
      <c r="AN774" t="s">
        <v>13590</v>
      </c>
      <c r="AO774" t="s">
        <v>13697</v>
      </c>
      <c r="AP774" t="s">
        <v>13698</v>
      </c>
      <c r="AQ774" t="s">
        <v>74</v>
      </c>
      <c r="AR774" t="s">
        <v>13699</v>
      </c>
      <c r="AS774" t="s">
        <v>13700</v>
      </c>
      <c r="AT774" t="s">
        <v>74</v>
      </c>
      <c r="AU774">
        <v>2009</v>
      </c>
      <c r="AV774">
        <v>39</v>
      </c>
      <c r="AW774">
        <v>7</v>
      </c>
      <c r="AX774" t="s">
        <v>74</v>
      </c>
      <c r="AY774" t="s">
        <v>74</v>
      </c>
      <c r="AZ774" t="s">
        <v>74</v>
      </c>
      <c r="BA774" t="s">
        <v>74</v>
      </c>
      <c r="BB774">
        <v>552</v>
      </c>
      <c r="BC774">
        <v>584</v>
      </c>
      <c r="BD774" t="s">
        <v>13701</v>
      </c>
      <c r="BE774" t="s">
        <v>13702</v>
      </c>
      <c r="BF774" t="str">
        <f>HYPERLINK("http://dx.doi.org/10.1080/10643380701764308","http://dx.doi.org/10.1080/10643380701764308")</f>
        <v>http://dx.doi.org/10.1080/10643380701764308</v>
      </c>
      <c r="BG774" t="s">
        <v>74</v>
      </c>
      <c r="BH774" t="s">
        <v>74</v>
      </c>
      <c r="BI774">
        <v>33</v>
      </c>
      <c r="BJ774" t="s">
        <v>423</v>
      </c>
      <c r="BK774" t="s">
        <v>100</v>
      </c>
      <c r="BL774" t="s">
        <v>424</v>
      </c>
      <c r="BM774" t="s">
        <v>13703</v>
      </c>
      <c r="BN774" t="s">
        <v>74</v>
      </c>
      <c r="BO774" t="s">
        <v>74</v>
      </c>
      <c r="BP774" t="s">
        <v>74</v>
      </c>
      <c r="BQ774" t="s">
        <v>74</v>
      </c>
      <c r="BR774" t="s">
        <v>103</v>
      </c>
      <c r="BS774" t="s">
        <v>13704</v>
      </c>
      <c r="BT774" t="str">
        <f>HYPERLINK("https%3A%2F%2Fwww.webofscience.com%2Fwos%2Fwoscc%2Ffull-record%2FWOS:000267667400002","View Full Record in Web of Science")</f>
        <v>View Full Record in Web of Science</v>
      </c>
    </row>
    <row r="775" spans="1:72" x14ac:dyDescent="0.15">
      <c r="A775" t="s">
        <v>72</v>
      </c>
      <c r="B775" t="s">
        <v>13705</v>
      </c>
      <c r="C775" t="s">
        <v>74</v>
      </c>
      <c r="D775" t="s">
        <v>74</v>
      </c>
      <c r="E775" t="s">
        <v>74</v>
      </c>
      <c r="F775" t="s">
        <v>13706</v>
      </c>
      <c r="G775" t="s">
        <v>74</v>
      </c>
      <c r="H775" t="s">
        <v>74</v>
      </c>
      <c r="I775" t="s">
        <v>13707</v>
      </c>
      <c r="J775" t="s">
        <v>13708</v>
      </c>
      <c r="K775" t="s">
        <v>74</v>
      </c>
      <c r="L775" t="s">
        <v>74</v>
      </c>
      <c r="M775" t="s">
        <v>78</v>
      </c>
      <c r="N775" t="s">
        <v>79</v>
      </c>
      <c r="O775" t="s">
        <v>74</v>
      </c>
      <c r="P775" t="s">
        <v>74</v>
      </c>
      <c r="Q775" t="s">
        <v>74</v>
      </c>
      <c r="R775" t="s">
        <v>74</v>
      </c>
      <c r="S775" t="s">
        <v>74</v>
      </c>
      <c r="T775" t="s">
        <v>74</v>
      </c>
      <c r="U775" t="s">
        <v>13709</v>
      </c>
      <c r="V775" t="s">
        <v>13710</v>
      </c>
      <c r="W775" t="s">
        <v>13711</v>
      </c>
      <c r="X775" t="s">
        <v>13712</v>
      </c>
      <c r="Y775" t="s">
        <v>13713</v>
      </c>
      <c r="Z775" t="s">
        <v>13714</v>
      </c>
      <c r="AA775" t="s">
        <v>13715</v>
      </c>
      <c r="AB775" t="s">
        <v>13716</v>
      </c>
      <c r="AC775" t="s">
        <v>13717</v>
      </c>
      <c r="AD775" t="s">
        <v>13718</v>
      </c>
      <c r="AE775" t="s">
        <v>13719</v>
      </c>
      <c r="AF775" t="s">
        <v>74</v>
      </c>
      <c r="AG775">
        <v>18</v>
      </c>
      <c r="AH775">
        <v>22</v>
      </c>
      <c r="AI775">
        <v>26</v>
      </c>
      <c r="AJ775">
        <v>1</v>
      </c>
      <c r="AK775">
        <v>21</v>
      </c>
      <c r="AL775" t="s">
        <v>7730</v>
      </c>
      <c r="AM775" t="s">
        <v>7731</v>
      </c>
      <c r="AN775" t="s">
        <v>7732</v>
      </c>
      <c r="AO775" t="s">
        <v>13720</v>
      </c>
      <c r="AP775" t="s">
        <v>13721</v>
      </c>
      <c r="AQ775" t="s">
        <v>74</v>
      </c>
      <c r="AR775" t="s">
        <v>13708</v>
      </c>
      <c r="AS775" t="s">
        <v>13722</v>
      </c>
      <c r="AT775" t="s">
        <v>74</v>
      </c>
      <c r="AU775">
        <v>2009</v>
      </c>
      <c r="AV775">
        <v>3</v>
      </c>
      <c r="AW775">
        <v>1</v>
      </c>
      <c r="AX775" t="s">
        <v>74</v>
      </c>
      <c r="AY775" t="s">
        <v>74</v>
      </c>
      <c r="AZ775" t="s">
        <v>74</v>
      </c>
      <c r="BA775" t="s">
        <v>74</v>
      </c>
      <c r="BB775">
        <v>1</v>
      </c>
      <c r="BC775">
        <v>9</v>
      </c>
      <c r="BD775" t="s">
        <v>74</v>
      </c>
      <c r="BE775" t="s">
        <v>13723</v>
      </c>
      <c r="BF775" t="str">
        <f>HYPERLINK("http://dx.doi.org/10.5194/tc-3-1-2009","http://dx.doi.org/10.5194/tc-3-1-2009")</f>
        <v>http://dx.doi.org/10.5194/tc-3-1-2009</v>
      </c>
      <c r="BG775" t="s">
        <v>74</v>
      </c>
      <c r="BH775" t="s">
        <v>74</v>
      </c>
      <c r="BI775">
        <v>9</v>
      </c>
      <c r="BJ775" t="s">
        <v>312</v>
      </c>
      <c r="BK775" t="s">
        <v>100</v>
      </c>
      <c r="BL775" t="s">
        <v>313</v>
      </c>
      <c r="BM775" t="s">
        <v>13724</v>
      </c>
      <c r="BN775" t="s">
        <v>74</v>
      </c>
      <c r="BO775" t="s">
        <v>450</v>
      </c>
      <c r="BP775" t="s">
        <v>74</v>
      </c>
      <c r="BQ775" t="s">
        <v>74</v>
      </c>
      <c r="BR775" t="s">
        <v>103</v>
      </c>
      <c r="BS775" t="s">
        <v>13725</v>
      </c>
      <c r="BT775" t="str">
        <f>HYPERLINK("https%3A%2F%2Fwww.webofscience.com%2Fwos%2Fwoscc%2Ffull-record%2FWOS:000276161100001","View Full Record in Web of Science")</f>
        <v>View Full Record in Web of Science</v>
      </c>
    </row>
    <row r="776" spans="1:72" x14ac:dyDescent="0.15">
      <c r="A776" t="s">
        <v>72</v>
      </c>
      <c r="B776" t="s">
        <v>13726</v>
      </c>
      <c r="C776" t="s">
        <v>74</v>
      </c>
      <c r="D776" t="s">
        <v>74</v>
      </c>
      <c r="E776" t="s">
        <v>74</v>
      </c>
      <c r="F776" t="s">
        <v>13727</v>
      </c>
      <c r="G776" t="s">
        <v>74</v>
      </c>
      <c r="H776" t="s">
        <v>74</v>
      </c>
      <c r="I776" t="s">
        <v>13728</v>
      </c>
      <c r="J776" t="s">
        <v>13708</v>
      </c>
      <c r="K776" t="s">
        <v>74</v>
      </c>
      <c r="L776" t="s">
        <v>74</v>
      </c>
      <c r="M776" t="s">
        <v>78</v>
      </c>
      <c r="N776" t="s">
        <v>79</v>
      </c>
      <c r="O776" t="s">
        <v>74</v>
      </c>
      <c r="P776" t="s">
        <v>74</v>
      </c>
      <c r="Q776" t="s">
        <v>74</v>
      </c>
      <c r="R776" t="s">
        <v>74</v>
      </c>
      <c r="S776" t="s">
        <v>74</v>
      </c>
      <c r="T776" t="s">
        <v>74</v>
      </c>
      <c r="U776" t="s">
        <v>13729</v>
      </c>
      <c r="V776" t="s">
        <v>13730</v>
      </c>
      <c r="W776" t="s">
        <v>13731</v>
      </c>
      <c r="X776" t="s">
        <v>4315</v>
      </c>
      <c r="Y776" t="s">
        <v>13732</v>
      </c>
      <c r="Z776" t="s">
        <v>13733</v>
      </c>
      <c r="AA776" t="s">
        <v>13734</v>
      </c>
      <c r="AB776" t="s">
        <v>4319</v>
      </c>
      <c r="AC776" t="s">
        <v>13735</v>
      </c>
      <c r="AD776" t="s">
        <v>13736</v>
      </c>
      <c r="AE776" t="s">
        <v>13737</v>
      </c>
      <c r="AF776" t="s">
        <v>74</v>
      </c>
      <c r="AG776">
        <v>71</v>
      </c>
      <c r="AH776">
        <v>53</v>
      </c>
      <c r="AI776">
        <v>58</v>
      </c>
      <c r="AJ776">
        <v>0</v>
      </c>
      <c r="AK776">
        <v>21</v>
      </c>
      <c r="AL776" t="s">
        <v>7730</v>
      </c>
      <c r="AM776" t="s">
        <v>7731</v>
      </c>
      <c r="AN776" t="s">
        <v>7732</v>
      </c>
      <c r="AO776" t="s">
        <v>13720</v>
      </c>
      <c r="AP776" t="s">
        <v>13721</v>
      </c>
      <c r="AQ776" t="s">
        <v>74</v>
      </c>
      <c r="AR776" t="s">
        <v>13708</v>
      </c>
      <c r="AS776" t="s">
        <v>13722</v>
      </c>
      <c r="AT776" t="s">
        <v>74</v>
      </c>
      <c r="AU776">
        <v>2009</v>
      </c>
      <c r="AV776">
        <v>3</v>
      </c>
      <c r="AW776">
        <v>1</v>
      </c>
      <c r="AX776" t="s">
        <v>74</v>
      </c>
      <c r="AY776" t="s">
        <v>74</v>
      </c>
      <c r="AZ776" t="s">
        <v>74</v>
      </c>
      <c r="BA776" t="s">
        <v>74</v>
      </c>
      <c r="BB776">
        <v>41</v>
      </c>
      <c r="BC776">
        <v>56</v>
      </c>
      <c r="BD776" t="s">
        <v>74</v>
      </c>
      <c r="BE776" t="s">
        <v>13738</v>
      </c>
      <c r="BF776" t="str">
        <f>HYPERLINK("http://dx.doi.org/10.5194/tc-3-41-2009","http://dx.doi.org/10.5194/tc-3-41-2009")</f>
        <v>http://dx.doi.org/10.5194/tc-3-41-2009</v>
      </c>
      <c r="BG776" t="s">
        <v>74</v>
      </c>
      <c r="BH776" t="s">
        <v>74</v>
      </c>
      <c r="BI776">
        <v>16</v>
      </c>
      <c r="BJ776" t="s">
        <v>312</v>
      </c>
      <c r="BK776" t="s">
        <v>100</v>
      </c>
      <c r="BL776" t="s">
        <v>313</v>
      </c>
      <c r="BM776" t="s">
        <v>13724</v>
      </c>
      <c r="BN776" t="s">
        <v>74</v>
      </c>
      <c r="BO776" t="s">
        <v>450</v>
      </c>
      <c r="BP776" t="s">
        <v>74</v>
      </c>
      <c r="BQ776" t="s">
        <v>74</v>
      </c>
      <c r="BR776" t="s">
        <v>103</v>
      </c>
      <c r="BS776" t="s">
        <v>13739</v>
      </c>
      <c r="BT776" t="str">
        <f>HYPERLINK("https%3A%2F%2Fwww.webofscience.com%2Fwos%2Fwoscc%2Ffull-record%2FWOS:000276161100005","View Full Record in Web of Science")</f>
        <v>View Full Record in Web of Science</v>
      </c>
    </row>
    <row r="777" spans="1:72" x14ac:dyDescent="0.15">
      <c r="A777" t="s">
        <v>72</v>
      </c>
      <c r="B777" t="s">
        <v>13740</v>
      </c>
      <c r="C777" t="s">
        <v>74</v>
      </c>
      <c r="D777" t="s">
        <v>74</v>
      </c>
      <c r="E777" t="s">
        <v>74</v>
      </c>
      <c r="F777" t="s">
        <v>13741</v>
      </c>
      <c r="G777" t="s">
        <v>74</v>
      </c>
      <c r="H777" t="s">
        <v>74</v>
      </c>
      <c r="I777" t="s">
        <v>13742</v>
      </c>
      <c r="J777" t="s">
        <v>13708</v>
      </c>
      <c r="K777" t="s">
        <v>74</v>
      </c>
      <c r="L777" t="s">
        <v>74</v>
      </c>
      <c r="M777" t="s">
        <v>78</v>
      </c>
      <c r="N777" t="s">
        <v>79</v>
      </c>
      <c r="O777" t="s">
        <v>74</v>
      </c>
      <c r="P777" t="s">
        <v>74</v>
      </c>
      <c r="Q777" t="s">
        <v>74</v>
      </c>
      <c r="R777" t="s">
        <v>74</v>
      </c>
      <c r="S777" t="s">
        <v>74</v>
      </c>
      <c r="T777" t="s">
        <v>74</v>
      </c>
      <c r="U777" t="s">
        <v>13743</v>
      </c>
      <c r="V777" t="s">
        <v>13744</v>
      </c>
      <c r="W777" t="s">
        <v>13745</v>
      </c>
      <c r="X777" t="s">
        <v>13746</v>
      </c>
      <c r="Y777" t="s">
        <v>13747</v>
      </c>
      <c r="Z777" t="s">
        <v>778</v>
      </c>
      <c r="AA777" t="s">
        <v>779</v>
      </c>
      <c r="AB777" t="s">
        <v>13748</v>
      </c>
      <c r="AC777" t="s">
        <v>13749</v>
      </c>
      <c r="AD777" t="s">
        <v>13750</v>
      </c>
      <c r="AE777" t="s">
        <v>13751</v>
      </c>
      <c r="AF777" t="s">
        <v>74</v>
      </c>
      <c r="AG777">
        <v>36</v>
      </c>
      <c r="AH777">
        <v>227</v>
      </c>
      <c r="AI777">
        <v>260</v>
      </c>
      <c r="AJ777">
        <v>0</v>
      </c>
      <c r="AK777">
        <v>57</v>
      </c>
      <c r="AL777" t="s">
        <v>7730</v>
      </c>
      <c r="AM777" t="s">
        <v>7731</v>
      </c>
      <c r="AN777" t="s">
        <v>7732</v>
      </c>
      <c r="AO777" t="s">
        <v>13720</v>
      </c>
      <c r="AP777" t="s">
        <v>13721</v>
      </c>
      <c r="AQ777" t="s">
        <v>74</v>
      </c>
      <c r="AR777" t="s">
        <v>13708</v>
      </c>
      <c r="AS777" t="s">
        <v>13722</v>
      </c>
      <c r="AT777" t="s">
        <v>74</v>
      </c>
      <c r="AU777">
        <v>2009</v>
      </c>
      <c r="AV777">
        <v>3</v>
      </c>
      <c r="AW777">
        <v>1</v>
      </c>
      <c r="AX777" t="s">
        <v>74</v>
      </c>
      <c r="AY777" t="s">
        <v>74</v>
      </c>
      <c r="AZ777" t="s">
        <v>74</v>
      </c>
      <c r="BA777" t="s">
        <v>74</v>
      </c>
      <c r="BB777">
        <v>101</v>
      </c>
      <c r="BC777">
        <v>111</v>
      </c>
      <c r="BD777" t="s">
        <v>74</v>
      </c>
      <c r="BE777" t="s">
        <v>13752</v>
      </c>
      <c r="BF777" t="str">
        <f>HYPERLINK("http://dx.doi.org/10.5194/tc-3-101-2009","http://dx.doi.org/10.5194/tc-3-101-2009")</f>
        <v>http://dx.doi.org/10.5194/tc-3-101-2009</v>
      </c>
      <c r="BG777" t="s">
        <v>74</v>
      </c>
      <c r="BH777" t="s">
        <v>74</v>
      </c>
      <c r="BI777">
        <v>11</v>
      </c>
      <c r="BJ777" t="s">
        <v>312</v>
      </c>
      <c r="BK777" t="s">
        <v>100</v>
      </c>
      <c r="BL777" t="s">
        <v>313</v>
      </c>
      <c r="BM777" t="s">
        <v>13724</v>
      </c>
      <c r="BN777" t="s">
        <v>74</v>
      </c>
      <c r="BO777" t="s">
        <v>11694</v>
      </c>
      <c r="BP777" t="s">
        <v>74</v>
      </c>
      <c r="BQ777" t="s">
        <v>74</v>
      </c>
      <c r="BR777" t="s">
        <v>103</v>
      </c>
      <c r="BS777" t="s">
        <v>13753</v>
      </c>
      <c r="BT777" t="str">
        <f>HYPERLINK("https%3A%2F%2Fwww.webofscience.com%2Fwos%2Fwoscc%2Ffull-record%2FWOS:000276161100009","View Full Record in Web of Science")</f>
        <v>View Full Record in Web of Science</v>
      </c>
    </row>
    <row r="778" spans="1:72" x14ac:dyDescent="0.15">
      <c r="A778" t="s">
        <v>72</v>
      </c>
      <c r="B778" t="s">
        <v>13754</v>
      </c>
      <c r="C778" t="s">
        <v>74</v>
      </c>
      <c r="D778" t="s">
        <v>74</v>
      </c>
      <c r="E778" t="s">
        <v>74</v>
      </c>
      <c r="F778" t="s">
        <v>13755</v>
      </c>
      <c r="G778" t="s">
        <v>74</v>
      </c>
      <c r="H778" t="s">
        <v>74</v>
      </c>
      <c r="I778" t="s">
        <v>13756</v>
      </c>
      <c r="J778" t="s">
        <v>13708</v>
      </c>
      <c r="K778" t="s">
        <v>74</v>
      </c>
      <c r="L778" t="s">
        <v>74</v>
      </c>
      <c r="M778" t="s">
        <v>78</v>
      </c>
      <c r="N778" t="s">
        <v>79</v>
      </c>
      <c r="O778" t="s">
        <v>74</v>
      </c>
      <c r="P778" t="s">
        <v>74</v>
      </c>
      <c r="Q778" t="s">
        <v>74</v>
      </c>
      <c r="R778" t="s">
        <v>74</v>
      </c>
      <c r="S778" t="s">
        <v>74</v>
      </c>
      <c r="T778" t="s">
        <v>74</v>
      </c>
      <c r="U778" t="s">
        <v>13757</v>
      </c>
      <c r="V778" t="s">
        <v>13758</v>
      </c>
      <c r="W778" t="s">
        <v>13759</v>
      </c>
      <c r="X778" t="s">
        <v>13760</v>
      </c>
      <c r="Y778" t="s">
        <v>13761</v>
      </c>
      <c r="Z778" t="s">
        <v>13762</v>
      </c>
      <c r="AA778" t="s">
        <v>779</v>
      </c>
      <c r="AB778" t="s">
        <v>13763</v>
      </c>
      <c r="AC778" t="s">
        <v>13764</v>
      </c>
      <c r="AD778" t="s">
        <v>13765</v>
      </c>
      <c r="AE778" t="s">
        <v>13766</v>
      </c>
      <c r="AF778" t="s">
        <v>74</v>
      </c>
      <c r="AG778">
        <v>24</v>
      </c>
      <c r="AH778">
        <v>37</v>
      </c>
      <c r="AI778">
        <v>53</v>
      </c>
      <c r="AJ778">
        <v>0</v>
      </c>
      <c r="AK778">
        <v>14</v>
      </c>
      <c r="AL778" t="s">
        <v>7730</v>
      </c>
      <c r="AM778" t="s">
        <v>7731</v>
      </c>
      <c r="AN778" t="s">
        <v>7732</v>
      </c>
      <c r="AO778" t="s">
        <v>13720</v>
      </c>
      <c r="AP778" t="s">
        <v>13721</v>
      </c>
      <c r="AQ778" t="s">
        <v>74</v>
      </c>
      <c r="AR778" t="s">
        <v>13708</v>
      </c>
      <c r="AS778" t="s">
        <v>13722</v>
      </c>
      <c r="AT778" t="s">
        <v>74</v>
      </c>
      <c r="AU778">
        <v>2009</v>
      </c>
      <c r="AV778">
        <v>3</v>
      </c>
      <c r="AW778">
        <v>1</v>
      </c>
      <c r="AX778" t="s">
        <v>74</v>
      </c>
      <c r="AY778" t="s">
        <v>74</v>
      </c>
      <c r="AZ778" t="s">
        <v>74</v>
      </c>
      <c r="BA778" t="s">
        <v>74</v>
      </c>
      <c r="BB778">
        <v>113</v>
      </c>
      <c r="BC778">
        <v>123</v>
      </c>
      <c r="BD778" t="s">
        <v>74</v>
      </c>
      <c r="BE778" t="s">
        <v>13767</v>
      </c>
      <c r="BF778" t="str">
        <f>HYPERLINK("http://dx.doi.org/10.5194/tc-3-113-2009","http://dx.doi.org/10.5194/tc-3-113-2009")</f>
        <v>http://dx.doi.org/10.5194/tc-3-113-2009</v>
      </c>
      <c r="BG778" t="s">
        <v>74</v>
      </c>
      <c r="BH778" t="s">
        <v>74</v>
      </c>
      <c r="BI778">
        <v>11</v>
      </c>
      <c r="BJ778" t="s">
        <v>312</v>
      </c>
      <c r="BK778" t="s">
        <v>100</v>
      </c>
      <c r="BL778" t="s">
        <v>313</v>
      </c>
      <c r="BM778" t="s">
        <v>13724</v>
      </c>
      <c r="BN778" t="s">
        <v>74</v>
      </c>
      <c r="BO778" t="s">
        <v>450</v>
      </c>
      <c r="BP778" t="s">
        <v>74</v>
      </c>
      <c r="BQ778" t="s">
        <v>74</v>
      </c>
      <c r="BR778" t="s">
        <v>103</v>
      </c>
      <c r="BS778" t="s">
        <v>13768</v>
      </c>
      <c r="BT778" t="str">
        <f>HYPERLINK("https%3A%2F%2Fwww.webofscience.com%2Fwos%2Fwoscc%2Ffull-record%2FWOS:000276161100010","View Full Record in Web of Science")</f>
        <v>View Full Record in Web of Science</v>
      </c>
    </row>
    <row r="779" spans="1:72" x14ac:dyDescent="0.15">
      <c r="A779" t="s">
        <v>72</v>
      </c>
      <c r="B779" t="s">
        <v>13769</v>
      </c>
      <c r="C779" t="s">
        <v>74</v>
      </c>
      <c r="D779" t="s">
        <v>74</v>
      </c>
      <c r="E779" t="s">
        <v>74</v>
      </c>
      <c r="F779" t="s">
        <v>13770</v>
      </c>
      <c r="G779" t="s">
        <v>74</v>
      </c>
      <c r="H779" t="s">
        <v>74</v>
      </c>
      <c r="I779" t="s">
        <v>13771</v>
      </c>
      <c r="J779" t="s">
        <v>13708</v>
      </c>
      <c r="K779" t="s">
        <v>74</v>
      </c>
      <c r="L779" t="s">
        <v>74</v>
      </c>
      <c r="M779" t="s">
        <v>78</v>
      </c>
      <c r="N779" t="s">
        <v>79</v>
      </c>
      <c r="O779" t="s">
        <v>74</v>
      </c>
      <c r="P779" t="s">
        <v>74</v>
      </c>
      <c r="Q779" t="s">
        <v>74</v>
      </c>
      <c r="R779" t="s">
        <v>74</v>
      </c>
      <c r="S779" t="s">
        <v>74</v>
      </c>
      <c r="T779" t="s">
        <v>74</v>
      </c>
      <c r="U779" t="s">
        <v>13772</v>
      </c>
      <c r="V779" t="s">
        <v>13773</v>
      </c>
      <c r="W779" t="s">
        <v>13774</v>
      </c>
      <c r="X779" t="s">
        <v>824</v>
      </c>
      <c r="Y779" t="s">
        <v>13775</v>
      </c>
      <c r="Z779" t="s">
        <v>13776</v>
      </c>
      <c r="AA779" t="s">
        <v>13777</v>
      </c>
      <c r="AB779" t="s">
        <v>13778</v>
      </c>
      <c r="AC779" t="s">
        <v>13779</v>
      </c>
      <c r="AD779" t="s">
        <v>13780</v>
      </c>
      <c r="AE779" t="s">
        <v>13781</v>
      </c>
      <c r="AF779" t="s">
        <v>74</v>
      </c>
      <c r="AG779">
        <v>17</v>
      </c>
      <c r="AH779">
        <v>56</v>
      </c>
      <c r="AI779">
        <v>62</v>
      </c>
      <c r="AJ779">
        <v>0</v>
      </c>
      <c r="AK779">
        <v>19</v>
      </c>
      <c r="AL779" t="s">
        <v>7730</v>
      </c>
      <c r="AM779" t="s">
        <v>7731</v>
      </c>
      <c r="AN779" t="s">
        <v>7732</v>
      </c>
      <c r="AO779" t="s">
        <v>13720</v>
      </c>
      <c r="AP779" t="s">
        <v>13721</v>
      </c>
      <c r="AQ779" t="s">
        <v>74</v>
      </c>
      <c r="AR779" t="s">
        <v>13708</v>
      </c>
      <c r="AS779" t="s">
        <v>13722</v>
      </c>
      <c r="AT779" t="s">
        <v>74</v>
      </c>
      <c r="AU779">
        <v>2009</v>
      </c>
      <c r="AV779">
        <v>3</v>
      </c>
      <c r="AW779">
        <v>1</v>
      </c>
      <c r="AX779" t="s">
        <v>74</v>
      </c>
      <c r="AY779" t="s">
        <v>74</v>
      </c>
      <c r="AZ779" t="s">
        <v>74</v>
      </c>
      <c r="BA779" t="s">
        <v>74</v>
      </c>
      <c r="BB779">
        <v>125</v>
      </c>
      <c r="BC779">
        <v>131</v>
      </c>
      <c r="BD779" t="s">
        <v>74</v>
      </c>
      <c r="BE779" t="s">
        <v>13782</v>
      </c>
      <c r="BF779" t="str">
        <f>HYPERLINK("http://dx.doi.org/10.5194/tc-3-125-2009","http://dx.doi.org/10.5194/tc-3-125-2009")</f>
        <v>http://dx.doi.org/10.5194/tc-3-125-2009</v>
      </c>
      <c r="BG779" t="s">
        <v>74</v>
      </c>
      <c r="BH779" t="s">
        <v>74</v>
      </c>
      <c r="BI779">
        <v>7</v>
      </c>
      <c r="BJ779" t="s">
        <v>312</v>
      </c>
      <c r="BK779" t="s">
        <v>100</v>
      </c>
      <c r="BL779" t="s">
        <v>313</v>
      </c>
      <c r="BM779" t="s">
        <v>13724</v>
      </c>
      <c r="BN779" t="s">
        <v>74</v>
      </c>
      <c r="BO779" t="s">
        <v>11623</v>
      </c>
      <c r="BP779" t="s">
        <v>74</v>
      </c>
      <c r="BQ779" t="s">
        <v>74</v>
      </c>
      <c r="BR779" t="s">
        <v>103</v>
      </c>
      <c r="BS779" t="s">
        <v>13783</v>
      </c>
      <c r="BT779" t="str">
        <f>HYPERLINK("https%3A%2F%2Fwww.webofscience.com%2Fwos%2Fwoscc%2Ffull-record%2FWOS:000276161100011","View Full Record in Web of Science")</f>
        <v>View Full Record in Web of Science</v>
      </c>
    </row>
    <row r="780" spans="1:72" x14ac:dyDescent="0.15">
      <c r="A780" t="s">
        <v>72</v>
      </c>
      <c r="B780" t="s">
        <v>13784</v>
      </c>
      <c r="C780" t="s">
        <v>74</v>
      </c>
      <c r="D780" t="s">
        <v>74</v>
      </c>
      <c r="E780" t="s">
        <v>74</v>
      </c>
      <c r="F780" t="s">
        <v>13785</v>
      </c>
      <c r="G780" t="s">
        <v>74</v>
      </c>
      <c r="H780" t="s">
        <v>74</v>
      </c>
      <c r="I780" t="s">
        <v>13786</v>
      </c>
      <c r="J780" t="s">
        <v>13708</v>
      </c>
      <c r="K780" t="s">
        <v>74</v>
      </c>
      <c r="L780" t="s">
        <v>74</v>
      </c>
      <c r="M780" t="s">
        <v>78</v>
      </c>
      <c r="N780" t="s">
        <v>79</v>
      </c>
      <c r="O780" t="s">
        <v>74</v>
      </c>
      <c r="P780" t="s">
        <v>74</v>
      </c>
      <c r="Q780" t="s">
        <v>74</v>
      </c>
      <c r="R780" t="s">
        <v>74</v>
      </c>
      <c r="S780" t="s">
        <v>74</v>
      </c>
      <c r="T780" t="s">
        <v>74</v>
      </c>
      <c r="U780" t="s">
        <v>13787</v>
      </c>
      <c r="V780" t="s">
        <v>13788</v>
      </c>
      <c r="W780" t="s">
        <v>13789</v>
      </c>
      <c r="X780" t="s">
        <v>13790</v>
      </c>
      <c r="Y780" t="s">
        <v>13791</v>
      </c>
      <c r="Z780" t="s">
        <v>13792</v>
      </c>
      <c r="AA780" t="s">
        <v>13793</v>
      </c>
      <c r="AB780" t="s">
        <v>13794</v>
      </c>
      <c r="AC780" t="s">
        <v>13795</v>
      </c>
      <c r="AD780" t="s">
        <v>13796</v>
      </c>
      <c r="AE780" t="s">
        <v>13797</v>
      </c>
      <c r="AF780" t="s">
        <v>74</v>
      </c>
      <c r="AG780">
        <v>46</v>
      </c>
      <c r="AH780">
        <v>22</v>
      </c>
      <c r="AI780">
        <v>24</v>
      </c>
      <c r="AJ780">
        <v>0</v>
      </c>
      <c r="AK780">
        <v>7</v>
      </c>
      <c r="AL780" t="s">
        <v>7730</v>
      </c>
      <c r="AM780" t="s">
        <v>7731</v>
      </c>
      <c r="AN780" t="s">
        <v>7732</v>
      </c>
      <c r="AO780" t="s">
        <v>13720</v>
      </c>
      <c r="AP780" t="s">
        <v>13721</v>
      </c>
      <c r="AQ780" t="s">
        <v>74</v>
      </c>
      <c r="AR780" t="s">
        <v>13708</v>
      </c>
      <c r="AS780" t="s">
        <v>13722</v>
      </c>
      <c r="AT780" t="s">
        <v>74</v>
      </c>
      <c r="AU780">
        <v>2009</v>
      </c>
      <c r="AV780">
        <v>3</v>
      </c>
      <c r="AW780">
        <v>1</v>
      </c>
      <c r="AX780" t="s">
        <v>74</v>
      </c>
      <c r="AY780" t="s">
        <v>74</v>
      </c>
      <c r="AZ780" t="s">
        <v>74</v>
      </c>
      <c r="BA780" t="s">
        <v>74</v>
      </c>
      <c r="BB780">
        <v>133</v>
      </c>
      <c r="BC780">
        <v>145</v>
      </c>
      <c r="BD780" t="s">
        <v>74</v>
      </c>
      <c r="BE780" t="s">
        <v>13798</v>
      </c>
      <c r="BF780" t="str">
        <f>HYPERLINK("http://dx.doi.org/10.5194/tc-3-133-2009","http://dx.doi.org/10.5194/tc-3-133-2009")</f>
        <v>http://dx.doi.org/10.5194/tc-3-133-2009</v>
      </c>
      <c r="BG780" t="s">
        <v>74</v>
      </c>
      <c r="BH780" t="s">
        <v>74</v>
      </c>
      <c r="BI780">
        <v>13</v>
      </c>
      <c r="BJ780" t="s">
        <v>312</v>
      </c>
      <c r="BK780" t="s">
        <v>100</v>
      </c>
      <c r="BL780" t="s">
        <v>313</v>
      </c>
      <c r="BM780" t="s">
        <v>13724</v>
      </c>
      <c r="BN780" t="s">
        <v>74</v>
      </c>
      <c r="BO780" t="s">
        <v>450</v>
      </c>
      <c r="BP780" t="s">
        <v>74</v>
      </c>
      <c r="BQ780" t="s">
        <v>74</v>
      </c>
      <c r="BR780" t="s">
        <v>103</v>
      </c>
      <c r="BS780" t="s">
        <v>13799</v>
      </c>
      <c r="BT780" t="str">
        <f>HYPERLINK("https%3A%2F%2Fwww.webofscience.com%2Fwos%2Fwoscc%2Ffull-record%2FWOS:000276161100012","View Full Record in Web of Science")</f>
        <v>View Full Record in Web of Science</v>
      </c>
    </row>
    <row r="781" spans="1:72" x14ac:dyDescent="0.15">
      <c r="A781" t="s">
        <v>72</v>
      </c>
      <c r="B781" t="s">
        <v>13800</v>
      </c>
      <c r="C781" t="s">
        <v>74</v>
      </c>
      <c r="D781" t="s">
        <v>74</v>
      </c>
      <c r="E781" t="s">
        <v>74</v>
      </c>
      <c r="F781" t="s">
        <v>13801</v>
      </c>
      <c r="G781" t="s">
        <v>74</v>
      </c>
      <c r="H781" t="s">
        <v>74</v>
      </c>
      <c r="I781" t="s">
        <v>13802</v>
      </c>
      <c r="J781" t="s">
        <v>13708</v>
      </c>
      <c r="K781" t="s">
        <v>74</v>
      </c>
      <c r="L781" t="s">
        <v>74</v>
      </c>
      <c r="M781" t="s">
        <v>78</v>
      </c>
      <c r="N781" t="s">
        <v>79</v>
      </c>
      <c r="O781" t="s">
        <v>74</v>
      </c>
      <c r="P781" t="s">
        <v>74</v>
      </c>
      <c r="Q781" t="s">
        <v>74</v>
      </c>
      <c r="R781" t="s">
        <v>74</v>
      </c>
      <c r="S781" t="s">
        <v>74</v>
      </c>
      <c r="T781" t="s">
        <v>74</v>
      </c>
      <c r="U781" t="s">
        <v>13803</v>
      </c>
      <c r="V781" t="s">
        <v>13804</v>
      </c>
      <c r="W781" t="s">
        <v>13805</v>
      </c>
      <c r="X781" t="s">
        <v>13806</v>
      </c>
      <c r="Y781" t="s">
        <v>13807</v>
      </c>
      <c r="Z781" t="s">
        <v>13808</v>
      </c>
      <c r="AA781" t="s">
        <v>13809</v>
      </c>
      <c r="AB781" t="s">
        <v>13810</v>
      </c>
      <c r="AC781" t="s">
        <v>74</v>
      </c>
      <c r="AD781" t="s">
        <v>74</v>
      </c>
      <c r="AE781" t="s">
        <v>74</v>
      </c>
      <c r="AF781" t="s">
        <v>74</v>
      </c>
      <c r="AG781">
        <v>29</v>
      </c>
      <c r="AH781">
        <v>54</v>
      </c>
      <c r="AI781">
        <v>58</v>
      </c>
      <c r="AJ781">
        <v>0</v>
      </c>
      <c r="AK781">
        <v>10</v>
      </c>
      <c r="AL781" t="s">
        <v>7730</v>
      </c>
      <c r="AM781" t="s">
        <v>7731</v>
      </c>
      <c r="AN781" t="s">
        <v>7732</v>
      </c>
      <c r="AO781" t="s">
        <v>13720</v>
      </c>
      <c r="AP781" t="s">
        <v>13721</v>
      </c>
      <c r="AQ781" t="s">
        <v>74</v>
      </c>
      <c r="AR781" t="s">
        <v>13708</v>
      </c>
      <c r="AS781" t="s">
        <v>13722</v>
      </c>
      <c r="AT781" t="s">
        <v>74</v>
      </c>
      <c r="AU781">
        <v>2009</v>
      </c>
      <c r="AV781">
        <v>3</v>
      </c>
      <c r="AW781">
        <v>2</v>
      </c>
      <c r="AX781" t="s">
        <v>74</v>
      </c>
      <c r="AY781" t="s">
        <v>74</v>
      </c>
      <c r="AZ781" t="s">
        <v>74</v>
      </c>
      <c r="BA781" t="s">
        <v>74</v>
      </c>
      <c r="BB781">
        <v>155</v>
      </c>
      <c r="BC781">
        <v>165</v>
      </c>
      <c r="BD781" t="s">
        <v>74</v>
      </c>
      <c r="BE781" t="s">
        <v>74</v>
      </c>
      <c r="BF781" t="s">
        <v>74</v>
      </c>
      <c r="BG781" t="s">
        <v>74</v>
      </c>
      <c r="BH781" t="s">
        <v>74</v>
      </c>
      <c r="BI781">
        <v>11</v>
      </c>
      <c r="BJ781" t="s">
        <v>312</v>
      </c>
      <c r="BK781" t="s">
        <v>100</v>
      </c>
      <c r="BL781" t="s">
        <v>313</v>
      </c>
      <c r="BM781" t="s">
        <v>13811</v>
      </c>
      <c r="BN781" t="s">
        <v>74</v>
      </c>
      <c r="BO781" t="s">
        <v>450</v>
      </c>
      <c r="BP781" t="s">
        <v>74</v>
      </c>
      <c r="BQ781" t="s">
        <v>74</v>
      </c>
      <c r="BR781" t="s">
        <v>103</v>
      </c>
      <c r="BS781" t="s">
        <v>13812</v>
      </c>
      <c r="BT781" t="str">
        <f>HYPERLINK("https%3A%2F%2Fwww.webofscience.com%2Fwos%2Fwoscc%2Ffull-record%2FWOS:000276162000002","View Full Record in Web of Science")</f>
        <v>View Full Record in Web of Science</v>
      </c>
    </row>
    <row r="782" spans="1:72" x14ac:dyDescent="0.15">
      <c r="A782" t="s">
        <v>72</v>
      </c>
      <c r="B782" t="s">
        <v>13813</v>
      </c>
      <c r="C782" t="s">
        <v>74</v>
      </c>
      <c r="D782" t="s">
        <v>74</v>
      </c>
      <c r="E782" t="s">
        <v>74</v>
      </c>
      <c r="F782" t="s">
        <v>13814</v>
      </c>
      <c r="G782" t="s">
        <v>74</v>
      </c>
      <c r="H782" t="s">
        <v>74</v>
      </c>
      <c r="I782" t="s">
        <v>13815</v>
      </c>
      <c r="J782" t="s">
        <v>13708</v>
      </c>
      <c r="K782" t="s">
        <v>74</v>
      </c>
      <c r="L782" t="s">
        <v>74</v>
      </c>
      <c r="M782" t="s">
        <v>78</v>
      </c>
      <c r="N782" t="s">
        <v>79</v>
      </c>
      <c r="O782" t="s">
        <v>74</v>
      </c>
      <c r="P782" t="s">
        <v>74</v>
      </c>
      <c r="Q782" t="s">
        <v>74</v>
      </c>
      <c r="R782" t="s">
        <v>74</v>
      </c>
      <c r="S782" t="s">
        <v>74</v>
      </c>
      <c r="T782" t="s">
        <v>74</v>
      </c>
      <c r="U782" t="s">
        <v>13816</v>
      </c>
      <c r="V782" t="s">
        <v>13817</v>
      </c>
      <c r="W782" t="s">
        <v>13818</v>
      </c>
      <c r="X782" t="s">
        <v>13819</v>
      </c>
      <c r="Y782" t="s">
        <v>13820</v>
      </c>
      <c r="Z782" t="s">
        <v>13821</v>
      </c>
      <c r="AA782" t="s">
        <v>13822</v>
      </c>
      <c r="AB782" t="s">
        <v>13823</v>
      </c>
      <c r="AC782" t="s">
        <v>13824</v>
      </c>
      <c r="AD782" t="s">
        <v>13825</v>
      </c>
      <c r="AE782" t="s">
        <v>13826</v>
      </c>
      <c r="AF782" t="s">
        <v>74</v>
      </c>
      <c r="AG782">
        <v>30</v>
      </c>
      <c r="AH782">
        <v>60</v>
      </c>
      <c r="AI782">
        <v>70</v>
      </c>
      <c r="AJ782">
        <v>0</v>
      </c>
      <c r="AK782">
        <v>22</v>
      </c>
      <c r="AL782" t="s">
        <v>7730</v>
      </c>
      <c r="AM782" t="s">
        <v>7731</v>
      </c>
      <c r="AN782" t="s">
        <v>7732</v>
      </c>
      <c r="AO782" t="s">
        <v>13720</v>
      </c>
      <c r="AP782" t="s">
        <v>13721</v>
      </c>
      <c r="AQ782" t="s">
        <v>74</v>
      </c>
      <c r="AR782" t="s">
        <v>13708</v>
      </c>
      <c r="AS782" t="s">
        <v>13722</v>
      </c>
      <c r="AT782" t="s">
        <v>74</v>
      </c>
      <c r="AU782">
        <v>2009</v>
      </c>
      <c r="AV782">
        <v>3</v>
      </c>
      <c r="AW782">
        <v>2</v>
      </c>
      <c r="AX782" t="s">
        <v>74</v>
      </c>
      <c r="AY782" t="s">
        <v>74</v>
      </c>
      <c r="AZ782" t="s">
        <v>74</v>
      </c>
      <c r="BA782" t="s">
        <v>74</v>
      </c>
      <c r="BB782">
        <v>195</v>
      </c>
      <c r="BC782">
        <v>203</v>
      </c>
      <c r="BD782" t="s">
        <v>74</v>
      </c>
      <c r="BE782" t="s">
        <v>13827</v>
      </c>
      <c r="BF782" t="str">
        <f>HYPERLINK("http://dx.doi.org/10.5194/tc-3-195-2009","http://dx.doi.org/10.5194/tc-3-195-2009")</f>
        <v>http://dx.doi.org/10.5194/tc-3-195-2009</v>
      </c>
      <c r="BG782" t="s">
        <v>74</v>
      </c>
      <c r="BH782" t="s">
        <v>74</v>
      </c>
      <c r="BI782">
        <v>9</v>
      </c>
      <c r="BJ782" t="s">
        <v>312</v>
      </c>
      <c r="BK782" t="s">
        <v>100</v>
      </c>
      <c r="BL782" t="s">
        <v>313</v>
      </c>
      <c r="BM782" t="s">
        <v>13811</v>
      </c>
      <c r="BN782" t="s">
        <v>74</v>
      </c>
      <c r="BO782" t="s">
        <v>11694</v>
      </c>
      <c r="BP782" t="s">
        <v>74</v>
      </c>
      <c r="BQ782" t="s">
        <v>74</v>
      </c>
      <c r="BR782" t="s">
        <v>103</v>
      </c>
      <c r="BS782" t="s">
        <v>13828</v>
      </c>
      <c r="BT782" t="str">
        <f>HYPERLINK("https%3A%2F%2Fwww.webofscience.com%2Fwos%2Fwoscc%2Ffull-record%2FWOS:000276162000005","View Full Record in Web of Science")</f>
        <v>View Full Record in Web of Science</v>
      </c>
    </row>
    <row r="783" spans="1:72" x14ac:dyDescent="0.15">
      <c r="A783" t="s">
        <v>72</v>
      </c>
      <c r="B783" t="s">
        <v>13829</v>
      </c>
      <c r="C783" t="s">
        <v>74</v>
      </c>
      <c r="D783" t="s">
        <v>74</v>
      </c>
      <c r="E783" t="s">
        <v>74</v>
      </c>
      <c r="F783" t="s">
        <v>13830</v>
      </c>
      <c r="G783" t="s">
        <v>74</v>
      </c>
      <c r="H783" t="s">
        <v>74</v>
      </c>
      <c r="I783" t="s">
        <v>13831</v>
      </c>
      <c r="J783" t="s">
        <v>13708</v>
      </c>
      <c r="K783" t="s">
        <v>74</v>
      </c>
      <c r="L783" t="s">
        <v>74</v>
      </c>
      <c r="M783" t="s">
        <v>78</v>
      </c>
      <c r="N783" t="s">
        <v>79</v>
      </c>
      <c r="O783" t="s">
        <v>74</v>
      </c>
      <c r="P783" t="s">
        <v>74</v>
      </c>
      <c r="Q783" t="s">
        <v>74</v>
      </c>
      <c r="R783" t="s">
        <v>74</v>
      </c>
      <c r="S783" t="s">
        <v>74</v>
      </c>
      <c r="T783" t="s">
        <v>74</v>
      </c>
      <c r="U783" t="s">
        <v>13832</v>
      </c>
      <c r="V783" t="s">
        <v>13833</v>
      </c>
      <c r="W783" t="s">
        <v>13834</v>
      </c>
      <c r="X783" t="s">
        <v>13835</v>
      </c>
      <c r="Y783" t="s">
        <v>13836</v>
      </c>
      <c r="Z783" t="s">
        <v>13837</v>
      </c>
      <c r="AA783" t="s">
        <v>13838</v>
      </c>
      <c r="AB783" t="s">
        <v>13839</v>
      </c>
      <c r="AC783" t="s">
        <v>11834</v>
      </c>
      <c r="AD783" t="s">
        <v>1593</v>
      </c>
      <c r="AE783" t="s">
        <v>74</v>
      </c>
      <c r="AF783" t="s">
        <v>74</v>
      </c>
      <c r="AG783">
        <v>22</v>
      </c>
      <c r="AH783">
        <v>38</v>
      </c>
      <c r="AI783">
        <v>39</v>
      </c>
      <c r="AJ783">
        <v>0</v>
      </c>
      <c r="AK783">
        <v>7</v>
      </c>
      <c r="AL783" t="s">
        <v>7730</v>
      </c>
      <c r="AM783" t="s">
        <v>7731</v>
      </c>
      <c r="AN783" t="s">
        <v>7732</v>
      </c>
      <c r="AO783" t="s">
        <v>13720</v>
      </c>
      <c r="AP783" t="s">
        <v>13721</v>
      </c>
      <c r="AQ783" t="s">
        <v>74</v>
      </c>
      <c r="AR783" t="s">
        <v>13708</v>
      </c>
      <c r="AS783" t="s">
        <v>13722</v>
      </c>
      <c r="AT783" t="s">
        <v>74</v>
      </c>
      <c r="AU783">
        <v>2009</v>
      </c>
      <c r="AV783">
        <v>3</v>
      </c>
      <c r="AW783">
        <v>2</v>
      </c>
      <c r="AX783" t="s">
        <v>74</v>
      </c>
      <c r="AY783" t="s">
        <v>74</v>
      </c>
      <c r="AZ783" t="s">
        <v>74</v>
      </c>
      <c r="BA783" t="s">
        <v>74</v>
      </c>
      <c r="BB783">
        <v>265</v>
      </c>
      <c r="BC783">
        <v>278</v>
      </c>
      <c r="BD783" t="s">
        <v>74</v>
      </c>
      <c r="BE783" t="s">
        <v>13840</v>
      </c>
      <c r="BF783" t="str">
        <f>HYPERLINK("http://dx.doi.org/10.5194/tc-3-265-2009","http://dx.doi.org/10.5194/tc-3-265-2009")</f>
        <v>http://dx.doi.org/10.5194/tc-3-265-2009</v>
      </c>
      <c r="BG783" t="s">
        <v>74</v>
      </c>
      <c r="BH783" t="s">
        <v>74</v>
      </c>
      <c r="BI783">
        <v>14</v>
      </c>
      <c r="BJ783" t="s">
        <v>312</v>
      </c>
      <c r="BK783" t="s">
        <v>100</v>
      </c>
      <c r="BL783" t="s">
        <v>313</v>
      </c>
      <c r="BM783" t="s">
        <v>13811</v>
      </c>
      <c r="BN783" t="s">
        <v>74</v>
      </c>
      <c r="BO783" t="s">
        <v>13841</v>
      </c>
      <c r="BP783" t="s">
        <v>74</v>
      </c>
      <c r="BQ783" t="s">
        <v>74</v>
      </c>
      <c r="BR783" t="s">
        <v>103</v>
      </c>
      <c r="BS783" t="s">
        <v>13842</v>
      </c>
      <c r="BT783" t="str">
        <f>HYPERLINK("https%3A%2F%2Fwww.webofscience.com%2Fwos%2Fwoscc%2Ffull-record%2FWOS:000276162000010","View Full Record in Web of Science")</f>
        <v>View Full Record in Web of Science</v>
      </c>
    </row>
    <row r="784" spans="1:72" x14ac:dyDescent="0.15">
      <c r="A784" t="s">
        <v>5277</v>
      </c>
      <c r="B784" t="s">
        <v>7769</v>
      </c>
      <c r="C784" t="s">
        <v>74</v>
      </c>
      <c r="D784" t="s">
        <v>13843</v>
      </c>
      <c r="E784" t="s">
        <v>74</v>
      </c>
      <c r="F784" t="s">
        <v>7770</v>
      </c>
      <c r="G784" t="s">
        <v>74</v>
      </c>
      <c r="H784" t="s">
        <v>74</v>
      </c>
      <c r="I784" t="s">
        <v>13844</v>
      </c>
      <c r="J784" t="s">
        <v>13845</v>
      </c>
      <c r="K784" t="s">
        <v>74</v>
      </c>
      <c r="L784" t="s">
        <v>74</v>
      </c>
      <c r="M784" t="s">
        <v>78</v>
      </c>
      <c r="N784" t="s">
        <v>11976</v>
      </c>
      <c r="O784" t="s">
        <v>74</v>
      </c>
      <c r="P784" t="s">
        <v>74</v>
      </c>
      <c r="Q784" t="s">
        <v>74</v>
      </c>
      <c r="R784" t="s">
        <v>74</v>
      </c>
      <c r="S784" t="s">
        <v>74</v>
      </c>
      <c r="T784" t="s">
        <v>74</v>
      </c>
      <c r="U784" t="s">
        <v>74</v>
      </c>
      <c r="V784" t="s">
        <v>74</v>
      </c>
      <c r="W784" t="s">
        <v>74</v>
      </c>
      <c r="X784" t="s">
        <v>74</v>
      </c>
      <c r="Y784" t="s">
        <v>13846</v>
      </c>
      <c r="Z784" t="s">
        <v>74</v>
      </c>
      <c r="AA784" t="s">
        <v>74</v>
      </c>
      <c r="AB784" t="s">
        <v>7775</v>
      </c>
      <c r="AC784" t="s">
        <v>74</v>
      </c>
      <c r="AD784" t="s">
        <v>74</v>
      </c>
      <c r="AE784" t="s">
        <v>74</v>
      </c>
      <c r="AF784" t="s">
        <v>74</v>
      </c>
      <c r="AG784">
        <v>48</v>
      </c>
      <c r="AH784">
        <v>2</v>
      </c>
      <c r="AI784">
        <v>2</v>
      </c>
      <c r="AJ784">
        <v>0</v>
      </c>
      <c r="AK784">
        <v>0</v>
      </c>
      <c r="AL784" t="s">
        <v>13847</v>
      </c>
      <c r="AM784" t="s">
        <v>13848</v>
      </c>
      <c r="AN784" t="s">
        <v>13849</v>
      </c>
      <c r="AO784" t="s">
        <v>74</v>
      </c>
      <c r="AP784" t="s">
        <v>74</v>
      </c>
      <c r="AQ784" t="s">
        <v>13850</v>
      </c>
      <c r="AR784" t="s">
        <v>74</v>
      </c>
      <c r="AS784" t="s">
        <v>74</v>
      </c>
      <c r="AT784" t="s">
        <v>74</v>
      </c>
      <c r="AU784">
        <v>2009</v>
      </c>
      <c r="AV784" t="s">
        <v>74</v>
      </c>
      <c r="AW784" t="s">
        <v>74</v>
      </c>
      <c r="AX784" t="s">
        <v>74</v>
      </c>
      <c r="AY784" t="s">
        <v>74</v>
      </c>
      <c r="AZ784" t="s">
        <v>74</v>
      </c>
      <c r="BA784" t="s">
        <v>74</v>
      </c>
      <c r="BB784">
        <v>39</v>
      </c>
      <c r="BC784">
        <v>54</v>
      </c>
      <c r="BD784" t="s">
        <v>74</v>
      </c>
      <c r="BE784" t="s">
        <v>74</v>
      </c>
      <c r="BF784" t="s">
        <v>74</v>
      </c>
      <c r="BG784" t="s">
        <v>74</v>
      </c>
      <c r="BH784" t="s">
        <v>74</v>
      </c>
      <c r="BI784">
        <v>16</v>
      </c>
      <c r="BJ784" t="s">
        <v>13851</v>
      </c>
      <c r="BK784" t="s">
        <v>13852</v>
      </c>
      <c r="BL784" t="s">
        <v>13851</v>
      </c>
      <c r="BM784" t="s">
        <v>13853</v>
      </c>
      <c r="BN784" t="s">
        <v>74</v>
      </c>
      <c r="BO784" t="s">
        <v>74</v>
      </c>
      <c r="BP784" t="s">
        <v>74</v>
      </c>
      <c r="BQ784" t="s">
        <v>74</v>
      </c>
      <c r="BR784" t="s">
        <v>103</v>
      </c>
      <c r="BS784" t="s">
        <v>13854</v>
      </c>
      <c r="BT784" t="str">
        <f>HYPERLINK("https%3A%2F%2Fwww.webofscience.com%2Fwos%2Fwoscc%2Ffull-record%2FWOS:000336525500004","View Full Record in Web of Science")</f>
        <v>View Full Record in Web of Science</v>
      </c>
    </row>
    <row r="785" spans="1:72" x14ac:dyDescent="0.15">
      <c r="A785" t="s">
        <v>2434</v>
      </c>
      <c r="B785" t="s">
        <v>13855</v>
      </c>
      <c r="C785" t="s">
        <v>74</v>
      </c>
      <c r="D785" t="s">
        <v>13856</v>
      </c>
      <c r="E785" t="s">
        <v>74</v>
      </c>
      <c r="F785" t="s">
        <v>13857</v>
      </c>
      <c r="G785" t="s">
        <v>74</v>
      </c>
      <c r="H785" t="s">
        <v>74</v>
      </c>
      <c r="I785" t="s">
        <v>13858</v>
      </c>
      <c r="J785" t="s">
        <v>13859</v>
      </c>
      <c r="K785" t="s">
        <v>13860</v>
      </c>
      <c r="L785" t="s">
        <v>74</v>
      </c>
      <c r="M785" t="s">
        <v>78</v>
      </c>
      <c r="N785" t="s">
        <v>2440</v>
      </c>
      <c r="O785" t="s">
        <v>13861</v>
      </c>
      <c r="P785" t="s">
        <v>13862</v>
      </c>
      <c r="Q785" t="s">
        <v>13863</v>
      </c>
      <c r="R785" t="s">
        <v>74</v>
      </c>
      <c r="S785" t="s">
        <v>74</v>
      </c>
      <c r="T785" t="s">
        <v>13864</v>
      </c>
      <c r="U785" t="s">
        <v>74</v>
      </c>
      <c r="V785" t="s">
        <v>13865</v>
      </c>
      <c r="W785" t="s">
        <v>13866</v>
      </c>
      <c r="X785" t="s">
        <v>13867</v>
      </c>
      <c r="Y785" t="s">
        <v>13868</v>
      </c>
      <c r="Z785" t="s">
        <v>74</v>
      </c>
      <c r="AA785" t="s">
        <v>13869</v>
      </c>
      <c r="AB785" t="s">
        <v>13870</v>
      </c>
      <c r="AC785" t="s">
        <v>74</v>
      </c>
      <c r="AD785" t="s">
        <v>74</v>
      </c>
      <c r="AE785" t="s">
        <v>74</v>
      </c>
      <c r="AF785" t="s">
        <v>74</v>
      </c>
      <c r="AG785">
        <v>6</v>
      </c>
      <c r="AH785">
        <v>0</v>
      </c>
      <c r="AI785">
        <v>0</v>
      </c>
      <c r="AJ785">
        <v>0</v>
      </c>
      <c r="AK785">
        <v>6</v>
      </c>
      <c r="AL785" t="s">
        <v>347</v>
      </c>
      <c r="AM785" t="s">
        <v>348</v>
      </c>
      <c r="AN785" t="s">
        <v>13871</v>
      </c>
      <c r="AO785" t="s">
        <v>13872</v>
      </c>
      <c r="AP785" t="s">
        <v>74</v>
      </c>
      <c r="AQ785" t="s">
        <v>13873</v>
      </c>
      <c r="AR785" t="s">
        <v>13874</v>
      </c>
      <c r="AS785" t="s">
        <v>74</v>
      </c>
      <c r="AT785" t="s">
        <v>74</v>
      </c>
      <c r="AU785">
        <v>2009</v>
      </c>
      <c r="AV785">
        <v>1100</v>
      </c>
      <c r="AW785" t="s">
        <v>74</v>
      </c>
      <c r="AX785" t="s">
        <v>74</v>
      </c>
      <c r="AY785" t="s">
        <v>74</v>
      </c>
      <c r="AZ785" t="s">
        <v>74</v>
      </c>
      <c r="BA785" t="s">
        <v>74</v>
      </c>
      <c r="BB785">
        <v>319</v>
      </c>
      <c r="BC785" t="s">
        <v>10944</v>
      </c>
      <c r="BD785" t="s">
        <v>74</v>
      </c>
      <c r="BE785" t="s">
        <v>74</v>
      </c>
      <c r="BF785" t="s">
        <v>74</v>
      </c>
      <c r="BG785" t="s">
        <v>74</v>
      </c>
      <c r="BH785" t="s">
        <v>74</v>
      </c>
      <c r="BI785">
        <v>2</v>
      </c>
      <c r="BJ785" t="s">
        <v>398</v>
      </c>
      <c r="BK785" t="s">
        <v>2457</v>
      </c>
      <c r="BL785" t="s">
        <v>398</v>
      </c>
      <c r="BM785" t="s">
        <v>13875</v>
      </c>
      <c r="BN785" t="s">
        <v>74</v>
      </c>
      <c r="BO785" t="s">
        <v>74</v>
      </c>
      <c r="BP785" t="s">
        <v>74</v>
      </c>
      <c r="BQ785" t="s">
        <v>74</v>
      </c>
      <c r="BR785" t="s">
        <v>103</v>
      </c>
      <c r="BS785" t="s">
        <v>13876</v>
      </c>
      <c r="BT785" t="str">
        <f>HYPERLINK("https%3A%2F%2Fwww.webofscience.com%2Fwos%2Fwoscc%2Ffull-record%2FWOS:000265672300078","View Full Record in Web of Science")</f>
        <v>View Full Record in Web of Science</v>
      </c>
    </row>
    <row r="786" spans="1:72" x14ac:dyDescent="0.15">
      <c r="A786" t="s">
        <v>2434</v>
      </c>
      <c r="B786" t="s">
        <v>13877</v>
      </c>
      <c r="C786" t="s">
        <v>74</v>
      </c>
      <c r="D786" t="s">
        <v>13856</v>
      </c>
      <c r="E786" t="s">
        <v>74</v>
      </c>
      <c r="F786" t="s">
        <v>13878</v>
      </c>
      <c r="G786" t="s">
        <v>74</v>
      </c>
      <c r="H786" t="s">
        <v>74</v>
      </c>
      <c r="I786" t="s">
        <v>13879</v>
      </c>
      <c r="J786" t="s">
        <v>13859</v>
      </c>
      <c r="K786" t="s">
        <v>13860</v>
      </c>
      <c r="L786" t="s">
        <v>74</v>
      </c>
      <c r="M786" t="s">
        <v>78</v>
      </c>
      <c r="N786" t="s">
        <v>2440</v>
      </c>
      <c r="O786" t="s">
        <v>13861</v>
      </c>
      <c r="P786" t="s">
        <v>13862</v>
      </c>
      <c r="Q786" t="s">
        <v>13863</v>
      </c>
      <c r="R786" t="s">
        <v>74</v>
      </c>
      <c r="S786" t="s">
        <v>74</v>
      </c>
      <c r="T786" t="s">
        <v>13880</v>
      </c>
      <c r="U786" t="s">
        <v>74</v>
      </c>
      <c r="V786" t="s">
        <v>13881</v>
      </c>
      <c r="W786" t="s">
        <v>13882</v>
      </c>
      <c r="X786" t="s">
        <v>6536</v>
      </c>
      <c r="Y786" t="s">
        <v>13883</v>
      </c>
      <c r="Z786" t="s">
        <v>74</v>
      </c>
      <c r="AA786" t="s">
        <v>13884</v>
      </c>
      <c r="AB786" t="s">
        <v>13885</v>
      </c>
      <c r="AC786" t="s">
        <v>13886</v>
      </c>
      <c r="AD786" t="s">
        <v>13887</v>
      </c>
      <c r="AE786" t="s">
        <v>13888</v>
      </c>
      <c r="AF786" t="s">
        <v>74</v>
      </c>
      <c r="AG786">
        <v>4</v>
      </c>
      <c r="AH786">
        <v>1</v>
      </c>
      <c r="AI786">
        <v>1</v>
      </c>
      <c r="AJ786">
        <v>0</v>
      </c>
      <c r="AK786">
        <v>1</v>
      </c>
      <c r="AL786" t="s">
        <v>347</v>
      </c>
      <c r="AM786" t="s">
        <v>348</v>
      </c>
      <c r="AN786" t="s">
        <v>13871</v>
      </c>
      <c r="AO786" t="s">
        <v>13872</v>
      </c>
      <c r="AP786" t="s">
        <v>74</v>
      </c>
      <c r="AQ786" t="s">
        <v>13873</v>
      </c>
      <c r="AR786" t="s">
        <v>13874</v>
      </c>
      <c r="AS786" t="s">
        <v>74</v>
      </c>
      <c r="AT786" t="s">
        <v>74</v>
      </c>
      <c r="AU786">
        <v>2009</v>
      </c>
      <c r="AV786">
        <v>1100</v>
      </c>
      <c r="AW786" t="s">
        <v>74</v>
      </c>
      <c r="AX786" t="s">
        <v>74</v>
      </c>
      <c r="AY786" t="s">
        <v>74</v>
      </c>
      <c r="AZ786" t="s">
        <v>74</v>
      </c>
      <c r="BA786" t="s">
        <v>74</v>
      </c>
      <c r="BB786">
        <v>351</v>
      </c>
      <c r="BC786" t="s">
        <v>10944</v>
      </c>
      <c r="BD786" t="s">
        <v>74</v>
      </c>
      <c r="BE786" t="s">
        <v>74</v>
      </c>
      <c r="BF786" t="s">
        <v>74</v>
      </c>
      <c r="BG786" t="s">
        <v>74</v>
      </c>
      <c r="BH786" t="s">
        <v>74</v>
      </c>
      <c r="BI786">
        <v>2</v>
      </c>
      <c r="BJ786" t="s">
        <v>398</v>
      </c>
      <c r="BK786" t="s">
        <v>2457</v>
      </c>
      <c r="BL786" t="s">
        <v>398</v>
      </c>
      <c r="BM786" t="s">
        <v>13875</v>
      </c>
      <c r="BN786" t="s">
        <v>74</v>
      </c>
      <c r="BO786" t="s">
        <v>74</v>
      </c>
      <c r="BP786" t="s">
        <v>74</v>
      </c>
      <c r="BQ786" t="s">
        <v>74</v>
      </c>
      <c r="BR786" t="s">
        <v>103</v>
      </c>
      <c r="BS786" t="s">
        <v>13889</v>
      </c>
      <c r="BT786" t="str">
        <f>HYPERLINK("https%3A%2F%2Fwww.webofscience.com%2Fwos%2Fwoscc%2Ffull-record%2FWOS:000265672300086","View Full Record in Web of Science")</f>
        <v>View Full Record in Web of Science</v>
      </c>
    </row>
    <row r="787" spans="1:72" x14ac:dyDescent="0.15">
      <c r="A787" t="s">
        <v>2434</v>
      </c>
      <c r="B787" t="s">
        <v>13890</v>
      </c>
      <c r="C787" t="s">
        <v>74</v>
      </c>
      <c r="D787" t="s">
        <v>74</v>
      </c>
      <c r="E787" t="s">
        <v>10901</v>
      </c>
      <c r="F787" t="s">
        <v>13891</v>
      </c>
      <c r="G787" t="s">
        <v>74</v>
      </c>
      <c r="H787" t="s">
        <v>74</v>
      </c>
      <c r="I787" t="s">
        <v>13892</v>
      </c>
      <c r="J787" t="s">
        <v>13893</v>
      </c>
      <c r="K787" t="s">
        <v>13894</v>
      </c>
      <c r="L787" t="s">
        <v>74</v>
      </c>
      <c r="M787" t="s">
        <v>78</v>
      </c>
      <c r="N787" t="s">
        <v>2440</v>
      </c>
      <c r="O787" t="s">
        <v>13895</v>
      </c>
      <c r="P787" t="s">
        <v>13896</v>
      </c>
      <c r="Q787" t="s">
        <v>13897</v>
      </c>
      <c r="R787" t="s">
        <v>74</v>
      </c>
      <c r="S787" t="s">
        <v>74</v>
      </c>
      <c r="T787" t="s">
        <v>74</v>
      </c>
      <c r="U787" t="s">
        <v>13898</v>
      </c>
      <c r="V787" t="s">
        <v>13899</v>
      </c>
      <c r="W787" t="s">
        <v>13900</v>
      </c>
      <c r="X787" t="s">
        <v>13901</v>
      </c>
      <c r="Y787" t="s">
        <v>13902</v>
      </c>
      <c r="Z787" t="s">
        <v>13903</v>
      </c>
      <c r="AA787" t="s">
        <v>74</v>
      </c>
      <c r="AB787" t="s">
        <v>74</v>
      </c>
      <c r="AC787" t="s">
        <v>13904</v>
      </c>
      <c r="AD787" t="s">
        <v>13905</v>
      </c>
      <c r="AE787" t="s">
        <v>13906</v>
      </c>
      <c r="AF787" t="s">
        <v>74</v>
      </c>
      <c r="AG787">
        <v>20</v>
      </c>
      <c r="AH787">
        <v>3</v>
      </c>
      <c r="AI787">
        <v>4</v>
      </c>
      <c r="AJ787">
        <v>0</v>
      </c>
      <c r="AK787">
        <v>0</v>
      </c>
      <c r="AL787" t="s">
        <v>10901</v>
      </c>
      <c r="AM787" t="s">
        <v>92</v>
      </c>
      <c r="AN787" t="s">
        <v>10914</v>
      </c>
      <c r="AO787" t="s">
        <v>13907</v>
      </c>
      <c r="AP787" t="s">
        <v>74</v>
      </c>
      <c r="AQ787" t="s">
        <v>13908</v>
      </c>
      <c r="AR787" t="s">
        <v>13909</v>
      </c>
      <c r="AS787" t="s">
        <v>74</v>
      </c>
      <c r="AT787" t="s">
        <v>74</v>
      </c>
      <c r="AU787">
        <v>2009</v>
      </c>
      <c r="AV787" t="s">
        <v>74</v>
      </c>
      <c r="AW787" t="s">
        <v>74</v>
      </c>
      <c r="AX787" t="s">
        <v>74</v>
      </c>
      <c r="AY787" t="s">
        <v>74</v>
      </c>
      <c r="AZ787" t="s">
        <v>74</v>
      </c>
      <c r="BA787" t="s">
        <v>74</v>
      </c>
      <c r="BB787">
        <v>2058</v>
      </c>
      <c r="BC787" t="s">
        <v>10944</v>
      </c>
      <c r="BD787" t="s">
        <v>74</v>
      </c>
      <c r="BE787" t="s">
        <v>74</v>
      </c>
      <c r="BF787" t="s">
        <v>74</v>
      </c>
      <c r="BG787" t="s">
        <v>74</v>
      </c>
      <c r="BH787" t="s">
        <v>74</v>
      </c>
      <c r="BI787">
        <v>2</v>
      </c>
      <c r="BJ787" t="s">
        <v>13910</v>
      </c>
      <c r="BK787" t="s">
        <v>2457</v>
      </c>
      <c r="BL787" t="s">
        <v>13911</v>
      </c>
      <c r="BM787" t="s">
        <v>13912</v>
      </c>
      <c r="BN787" t="s">
        <v>74</v>
      </c>
      <c r="BO787" t="s">
        <v>74</v>
      </c>
      <c r="BP787" t="s">
        <v>74</v>
      </c>
      <c r="BQ787" t="s">
        <v>74</v>
      </c>
      <c r="BR787" t="s">
        <v>103</v>
      </c>
      <c r="BS787" t="s">
        <v>13913</v>
      </c>
      <c r="BT787" t="str">
        <f>HYPERLINK("https%3A%2F%2Fwww.webofscience.com%2Fwos%2Fwoscc%2Ffull-record%2FWOS:000279038001073","View Full Record in Web of Science")</f>
        <v>View Full Record in Web of Science</v>
      </c>
    </row>
    <row r="788" spans="1:72" x14ac:dyDescent="0.15">
      <c r="A788" t="s">
        <v>72</v>
      </c>
      <c r="B788" t="s">
        <v>13914</v>
      </c>
      <c r="C788" t="s">
        <v>74</v>
      </c>
      <c r="D788" t="s">
        <v>74</v>
      </c>
      <c r="E788" t="s">
        <v>74</v>
      </c>
      <c r="F788" t="s">
        <v>13915</v>
      </c>
      <c r="G788" t="s">
        <v>74</v>
      </c>
      <c r="H788" t="s">
        <v>74</v>
      </c>
      <c r="I788" t="s">
        <v>13916</v>
      </c>
      <c r="J788" t="s">
        <v>1459</v>
      </c>
      <c r="K788" t="s">
        <v>74</v>
      </c>
      <c r="L788" t="s">
        <v>74</v>
      </c>
      <c r="M788" t="s">
        <v>78</v>
      </c>
      <c r="N788" t="s">
        <v>79</v>
      </c>
      <c r="O788" t="s">
        <v>74</v>
      </c>
      <c r="P788" t="s">
        <v>74</v>
      </c>
      <c r="Q788" t="s">
        <v>74</v>
      </c>
      <c r="R788" t="s">
        <v>74</v>
      </c>
      <c r="S788" t="s">
        <v>74</v>
      </c>
      <c r="T788" t="s">
        <v>13917</v>
      </c>
      <c r="U788" t="s">
        <v>13918</v>
      </c>
      <c r="V788" t="s">
        <v>13919</v>
      </c>
      <c r="W788" t="s">
        <v>13920</v>
      </c>
      <c r="X788" t="s">
        <v>13921</v>
      </c>
      <c r="Y788" t="s">
        <v>13922</v>
      </c>
      <c r="Z788" t="s">
        <v>13923</v>
      </c>
      <c r="AA788" t="s">
        <v>13924</v>
      </c>
      <c r="AB788" t="s">
        <v>13925</v>
      </c>
      <c r="AC788" t="s">
        <v>13926</v>
      </c>
      <c r="AD788" t="s">
        <v>1593</v>
      </c>
      <c r="AE788" t="s">
        <v>74</v>
      </c>
      <c r="AF788" t="s">
        <v>74</v>
      </c>
      <c r="AG788">
        <v>22</v>
      </c>
      <c r="AH788">
        <v>52</v>
      </c>
      <c r="AI788">
        <v>58</v>
      </c>
      <c r="AJ788">
        <v>0</v>
      </c>
      <c r="AK788">
        <v>11</v>
      </c>
      <c r="AL788" t="s">
        <v>303</v>
      </c>
      <c r="AM788" t="s">
        <v>304</v>
      </c>
      <c r="AN788" t="s">
        <v>305</v>
      </c>
      <c r="AO788" t="s">
        <v>1470</v>
      </c>
      <c r="AP788" t="s">
        <v>1471</v>
      </c>
      <c r="AQ788" t="s">
        <v>74</v>
      </c>
      <c r="AR788" t="s">
        <v>1472</v>
      </c>
      <c r="AS788" t="s">
        <v>1473</v>
      </c>
      <c r="AT788" t="s">
        <v>11480</v>
      </c>
      <c r="AU788">
        <v>2009</v>
      </c>
      <c r="AV788">
        <v>56</v>
      </c>
      <c r="AW788">
        <v>1</v>
      </c>
      <c r="AX788" t="s">
        <v>74</v>
      </c>
      <c r="AY788" t="s">
        <v>74</v>
      </c>
      <c r="AZ788" t="s">
        <v>74</v>
      </c>
      <c r="BA788" t="s">
        <v>74</v>
      </c>
      <c r="BB788">
        <v>1</v>
      </c>
      <c r="BC788">
        <v>14</v>
      </c>
      <c r="BD788" t="s">
        <v>74</v>
      </c>
      <c r="BE788" t="s">
        <v>13927</v>
      </c>
      <c r="BF788" t="str">
        <f>HYPERLINK("http://dx.doi.org/10.1016/j.dsr.2008.07.013","http://dx.doi.org/10.1016/j.dsr.2008.07.013")</f>
        <v>http://dx.doi.org/10.1016/j.dsr.2008.07.013</v>
      </c>
      <c r="BG788" t="s">
        <v>74</v>
      </c>
      <c r="BH788" t="s">
        <v>74</v>
      </c>
      <c r="BI788">
        <v>14</v>
      </c>
      <c r="BJ788" t="s">
        <v>689</v>
      </c>
      <c r="BK788" t="s">
        <v>100</v>
      </c>
      <c r="BL788" t="s">
        <v>689</v>
      </c>
      <c r="BM788" t="s">
        <v>13928</v>
      </c>
      <c r="BN788" t="s">
        <v>74</v>
      </c>
      <c r="BO788" t="s">
        <v>74</v>
      </c>
      <c r="BP788" t="s">
        <v>74</v>
      </c>
      <c r="BQ788" t="s">
        <v>74</v>
      </c>
      <c r="BR788" t="s">
        <v>103</v>
      </c>
      <c r="BS788" t="s">
        <v>13929</v>
      </c>
      <c r="BT788" t="str">
        <f>HYPERLINK("https%3A%2F%2Fwww.webofscience.com%2Fwos%2Fwoscc%2Ffull-record%2FWOS:000262589500001","View Full Record in Web of Science")</f>
        <v>View Full Record in Web of Science</v>
      </c>
    </row>
    <row r="789" spans="1:72" x14ac:dyDescent="0.15">
      <c r="A789" t="s">
        <v>72</v>
      </c>
      <c r="B789" t="s">
        <v>13930</v>
      </c>
      <c r="C789" t="s">
        <v>74</v>
      </c>
      <c r="D789" t="s">
        <v>74</v>
      </c>
      <c r="E789" t="s">
        <v>74</v>
      </c>
      <c r="F789" t="s">
        <v>13931</v>
      </c>
      <c r="G789" t="s">
        <v>74</v>
      </c>
      <c r="H789" t="s">
        <v>74</v>
      </c>
      <c r="I789" t="s">
        <v>13932</v>
      </c>
      <c r="J789" t="s">
        <v>13933</v>
      </c>
      <c r="K789" t="s">
        <v>74</v>
      </c>
      <c r="L789" t="s">
        <v>74</v>
      </c>
      <c r="M789" t="s">
        <v>78</v>
      </c>
      <c r="N789" t="s">
        <v>79</v>
      </c>
      <c r="O789" t="s">
        <v>74</v>
      </c>
      <c r="P789" t="s">
        <v>74</v>
      </c>
      <c r="Q789" t="s">
        <v>74</v>
      </c>
      <c r="R789" t="s">
        <v>74</v>
      </c>
      <c r="S789" t="s">
        <v>74</v>
      </c>
      <c r="T789" t="s">
        <v>13934</v>
      </c>
      <c r="U789" t="s">
        <v>13935</v>
      </c>
      <c r="V789" t="s">
        <v>13936</v>
      </c>
      <c r="W789" t="s">
        <v>13937</v>
      </c>
      <c r="X789" t="s">
        <v>13938</v>
      </c>
      <c r="Y789" t="s">
        <v>13939</v>
      </c>
      <c r="Z789" t="s">
        <v>13940</v>
      </c>
      <c r="AA789" t="s">
        <v>13941</v>
      </c>
      <c r="AB789" t="s">
        <v>13942</v>
      </c>
      <c r="AC789" t="s">
        <v>74</v>
      </c>
      <c r="AD789" t="s">
        <v>74</v>
      </c>
      <c r="AE789" t="s">
        <v>74</v>
      </c>
      <c r="AF789" t="s">
        <v>74</v>
      </c>
      <c r="AG789">
        <v>31</v>
      </c>
      <c r="AH789">
        <v>1</v>
      </c>
      <c r="AI789">
        <v>2</v>
      </c>
      <c r="AJ789">
        <v>0</v>
      </c>
      <c r="AK789">
        <v>2</v>
      </c>
      <c r="AL789" t="s">
        <v>13933</v>
      </c>
      <c r="AM789" t="s">
        <v>13943</v>
      </c>
      <c r="AN789" t="s">
        <v>13944</v>
      </c>
      <c r="AO789" t="s">
        <v>13945</v>
      </c>
      <c r="AP789" t="s">
        <v>13946</v>
      </c>
      <c r="AQ789" t="s">
        <v>74</v>
      </c>
      <c r="AR789" t="s">
        <v>13947</v>
      </c>
      <c r="AS789" t="s">
        <v>13948</v>
      </c>
      <c r="AT789" t="s">
        <v>11480</v>
      </c>
      <c r="AU789">
        <v>2009</v>
      </c>
      <c r="AV789">
        <v>2</v>
      </c>
      <c r="AW789">
        <v>1</v>
      </c>
      <c r="AX789" t="s">
        <v>74</v>
      </c>
      <c r="AY789" t="s">
        <v>74</v>
      </c>
      <c r="AZ789" t="s">
        <v>74</v>
      </c>
      <c r="BA789" t="s">
        <v>74</v>
      </c>
      <c r="BB789">
        <v>7</v>
      </c>
      <c r="BC789">
        <v>13</v>
      </c>
      <c r="BD789" t="s">
        <v>74</v>
      </c>
      <c r="BE789" t="s">
        <v>74</v>
      </c>
      <c r="BF789" t="s">
        <v>74</v>
      </c>
      <c r="BG789" t="s">
        <v>74</v>
      </c>
      <c r="BH789" t="s">
        <v>74</v>
      </c>
      <c r="BI789">
        <v>7</v>
      </c>
      <c r="BJ789" t="s">
        <v>13949</v>
      </c>
      <c r="BK789" t="s">
        <v>100</v>
      </c>
      <c r="BL789" t="s">
        <v>13950</v>
      </c>
      <c r="BM789" t="s">
        <v>13951</v>
      </c>
      <c r="BN789" t="s">
        <v>74</v>
      </c>
      <c r="BO789" t="s">
        <v>74</v>
      </c>
      <c r="BP789" t="s">
        <v>74</v>
      </c>
      <c r="BQ789" t="s">
        <v>74</v>
      </c>
      <c r="BR789" t="s">
        <v>103</v>
      </c>
      <c r="BS789" t="s">
        <v>13952</v>
      </c>
      <c r="BT789" t="str">
        <f>HYPERLINK("https%3A%2F%2Fwww.webofscience.com%2Fwos%2Fwoscc%2Ffull-record%2FWOS:000267115500002","View Full Record in Web of Science")</f>
        <v>View Full Record in Web of Science</v>
      </c>
    </row>
    <row r="790" spans="1:72" x14ac:dyDescent="0.15">
      <c r="A790" t="s">
        <v>11414</v>
      </c>
      <c r="B790" t="s">
        <v>13953</v>
      </c>
      <c r="C790" t="s">
        <v>74</v>
      </c>
      <c r="D790" t="s">
        <v>13954</v>
      </c>
      <c r="E790" t="s">
        <v>74</v>
      </c>
      <c r="F790" t="s">
        <v>13955</v>
      </c>
      <c r="G790" t="s">
        <v>74</v>
      </c>
      <c r="H790" t="s">
        <v>74</v>
      </c>
      <c r="I790" t="s">
        <v>13956</v>
      </c>
      <c r="J790" t="s">
        <v>13957</v>
      </c>
      <c r="K790" t="s">
        <v>13958</v>
      </c>
      <c r="L790" t="s">
        <v>74</v>
      </c>
      <c r="M790" t="s">
        <v>78</v>
      </c>
      <c r="N790" t="s">
        <v>11976</v>
      </c>
      <c r="O790" t="s">
        <v>74</v>
      </c>
      <c r="P790" t="s">
        <v>74</v>
      </c>
      <c r="Q790" t="s">
        <v>74</v>
      </c>
      <c r="R790" t="s">
        <v>74</v>
      </c>
      <c r="S790" t="s">
        <v>74</v>
      </c>
      <c r="T790" t="s">
        <v>74</v>
      </c>
      <c r="U790" t="s">
        <v>13959</v>
      </c>
      <c r="V790" t="s">
        <v>13960</v>
      </c>
      <c r="W790" t="s">
        <v>13961</v>
      </c>
      <c r="X790" t="s">
        <v>13962</v>
      </c>
      <c r="Y790" t="s">
        <v>13963</v>
      </c>
      <c r="Z790" t="s">
        <v>13964</v>
      </c>
      <c r="AA790" t="s">
        <v>652</v>
      </c>
      <c r="AB790" t="s">
        <v>74</v>
      </c>
      <c r="AC790" t="s">
        <v>74</v>
      </c>
      <c r="AD790" t="s">
        <v>74</v>
      </c>
      <c r="AE790" t="s">
        <v>74</v>
      </c>
      <c r="AF790" t="s">
        <v>74</v>
      </c>
      <c r="AG790">
        <v>50</v>
      </c>
      <c r="AH790">
        <v>6</v>
      </c>
      <c r="AI790">
        <v>6</v>
      </c>
      <c r="AJ790">
        <v>0</v>
      </c>
      <c r="AK790">
        <v>2</v>
      </c>
      <c r="AL790" t="s">
        <v>13965</v>
      </c>
      <c r="AM790" t="s">
        <v>13966</v>
      </c>
      <c r="AN790" t="s">
        <v>13967</v>
      </c>
      <c r="AO790" t="s">
        <v>13968</v>
      </c>
      <c r="AP790" t="s">
        <v>74</v>
      </c>
      <c r="AQ790" t="s">
        <v>13969</v>
      </c>
      <c r="AR790" t="s">
        <v>13970</v>
      </c>
      <c r="AS790" t="s">
        <v>13971</v>
      </c>
      <c r="AT790" t="s">
        <v>74</v>
      </c>
      <c r="AU790">
        <v>2009</v>
      </c>
      <c r="AV790">
        <v>325</v>
      </c>
      <c r="AW790" t="s">
        <v>74</v>
      </c>
      <c r="AX790" t="s">
        <v>74</v>
      </c>
      <c r="AY790" t="s">
        <v>74</v>
      </c>
      <c r="AZ790" t="s">
        <v>74</v>
      </c>
      <c r="BA790" t="s">
        <v>74</v>
      </c>
      <c r="BB790">
        <v>171</v>
      </c>
      <c r="BC790">
        <v>176</v>
      </c>
      <c r="BD790" t="s">
        <v>74</v>
      </c>
      <c r="BE790" t="s">
        <v>13972</v>
      </c>
      <c r="BF790" t="str">
        <f>HYPERLINK("http://dx.doi.org/10.1144/SP325.9","http://dx.doi.org/10.1144/SP325.9")</f>
        <v>http://dx.doi.org/10.1144/SP325.9</v>
      </c>
      <c r="BG790" t="s">
        <v>74</v>
      </c>
      <c r="BH790" t="s">
        <v>74</v>
      </c>
      <c r="BI790">
        <v>6</v>
      </c>
      <c r="BJ790" t="s">
        <v>13973</v>
      </c>
      <c r="BK790" t="s">
        <v>11989</v>
      </c>
      <c r="BL790" t="s">
        <v>497</v>
      </c>
      <c r="BM790" t="s">
        <v>13974</v>
      </c>
      <c r="BN790" t="s">
        <v>74</v>
      </c>
      <c r="BO790" t="s">
        <v>1012</v>
      </c>
      <c r="BP790" t="s">
        <v>74</v>
      </c>
      <c r="BQ790" t="s">
        <v>74</v>
      </c>
      <c r="BR790" t="s">
        <v>103</v>
      </c>
      <c r="BS790" t="s">
        <v>13975</v>
      </c>
      <c r="BT790" t="str">
        <f>HYPERLINK("https%3A%2F%2Fwww.webofscience.com%2Fwos%2Fwoscc%2Ffull-record%2FWOS:000277822500009","View Full Record in Web of Science")</f>
        <v>View Full Record in Web of Science</v>
      </c>
    </row>
    <row r="791" spans="1:72" x14ac:dyDescent="0.15">
      <c r="A791" t="s">
        <v>72</v>
      </c>
      <c r="B791" t="s">
        <v>13976</v>
      </c>
      <c r="C791" t="s">
        <v>74</v>
      </c>
      <c r="D791" t="s">
        <v>74</v>
      </c>
      <c r="E791" t="s">
        <v>74</v>
      </c>
      <c r="F791" t="s">
        <v>13977</v>
      </c>
      <c r="G791" t="s">
        <v>74</v>
      </c>
      <c r="H791" t="s">
        <v>74</v>
      </c>
      <c r="I791" t="s">
        <v>13978</v>
      </c>
      <c r="J791" t="s">
        <v>13979</v>
      </c>
      <c r="K791" t="s">
        <v>74</v>
      </c>
      <c r="L791" t="s">
        <v>74</v>
      </c>
      <c r="M791" t="s">
        <v>78</v>
      </c>
      <c r="N791" t="s">
        <v>79</v>
      </c>
      <c r="O791" t="s">
        <v>74</v>
      </c>
      <c r="P791" t="s">
        <v>74</v>
      </c>
      <c r="Q791" t="s">
        <v>74</v>
      </c>
      <c r="R791" t="s">
        <v>74</v>
      </c>
      <c r="S791" t="s">
        <v>74</v>
      </c>
      <c r="T791" t="s">
        <v>13980</v>
      </c>
      <c r="U791" t="s">
        <v>13981</v>
      </c>
      <c r="V791" t="s">
        <v>13982</v>
      </c>
      <c r="W791" t="s">
        <v>13983</v>
      </c>
      <c r="X791" t="s">
        <v>13984</v>
      </c>
      <c r="Y791" t="s">
        <v>13985</v>
      </c>
      <c r="Z791" t="s">
        <v>13986</v>
      </c>
      <c r="AA791" t="s">
        <v>13987</v>
      </c>
      <c r="AB791" t="s">
        <v>13988</v>
      </c>
      <c r="AC791" t="s">
        <v>74</v>
      </c>
      <c r="AD791" t="s">
        <v>74</v>
      </c>
      <c r="AE791" t="s">
        <v>74</v>
      </c>
      <c r="AF791" t="s">
        <v>74</v>
      </c>
      <c r="AG791">
        <v>51</v>
      </c>
      <c r="AH791">
        <v>2</v>
      </c>
      <c r="AI791">
        <v>2</v>
      </c>
      <c r="AJ791">
        <v>0</v>
      </c>
      <c r="AK791">
        <v>12</v>
      </c>
      <c r="AL791" t="s">
        <v>605</v>
      </c>
      <c r="AM791" t="s">
        <v>606</v>
      </c>
      <c r="AN791" t="s">
        <v>607</v>
      </c>
      <c r="AO791" t="s">
        <v>74</v>
      </c>
      <c r="AP791" t="s">
        <v>13989</v>
      </c>
      <c r="AQ791" t="s">
        <v>74</v>
      </c>
      <c r="AR791" t="s">
        <v>13990</v>
      </c>
      <c r="AS791" t="s">
        <v>13991</v>
      </c>
      <c r="AT791" t="s">
        <v>74</v>
      </c>
      <c r="AU791">
        <v>2009</v>
      </c>
      <c r="AV791">
        <v>13</v>
      </c>
      <c r="AW791" t="s">
        <v>74</v>
      </c>
      <c r="AX791" t="s">
        <v>74</v>
      </c>
      <c r="AY791" t="s">
        <v>74</v>
      </c>
      <c r="AZ791" t="s">
        <v>74</v>
      </c>
      <c r="BA791" t="s">
        <v>74</v>
      </c>
      <c r="BB791" t="s">
        <v>74</v>
      </c>
      <c r="BC791" t="s">
        <v>74</v>
      </c>
      <c r="BD791">
        <v>4</v>
      </c>
      <c r="BE791" t="s">
        <v>13992</v>
      </c>
      <c r="BF791" t="str">
        <f>HYPERLINK("http://dx.doi.org/10.1175/2009EI262.1","http://dx.doi.org/10.1175/2009EI262.1")</f>
        <v>http://dx.doi.org/10.1175/2009EI262.1</v>
      </c>
      <c r="BG791" t="s">
        <v>74</v>
      </c>
      <c r="BH791" t="s">
        <v>74</v>
      </c>
      <c r="BI791">
        <v>14</v>
      </c>
      <c r="BJ791" t="s">
        <v>496</v>
      </c>
      <c r="BK791" t="s">
        <v>100</v>
      </c>
      <c r="BL791" t="s">
        <v>497</v>
      </c>
      <c r="BM791" t="s">
        <v>13993</v>
      </c>
      <c r="BN791" t="s">
        <v>74</v>
      </c>
      <c r="BO791" t="s">
        <v>262</v>
      </c>
      <c r="BP791" t="s">
        <v>74</v>
      </c>
      <c r="BQ791" t="s">
        <v>74</v>
      </c>
      <c r="BR791" t="s">
        <v>103</v>
      </c>
      <c r="BS791" t="s">
        <v>13994</v>
      </c>
      <c r="BT791" t="str">
        <f>HYPERLINK("https%3A%2F%2Fwww.webofscience.com%2Fwos%2Fwoscc%2Ffull-record%2FWOS:000266382400001","View Full Record in Web of Science")</f>
        <v>View Full Record in Web of Science</v>
      </c>
    </row>
    <row r="792" spans="1:72" x14ac:dyDescent="0.15">
      <c r="A792" t="s">
        <v>72</v>
      </c>
      <c r="B792" t="s">
        <v>13995</v>
      </c>
      <c r="C792" t="s">
        <v>74</v>
      </c>
      <c r="D792" t="s">
        <v>74</v>
      </c>
      <c r="E792" t="s">
        <v>74</v>
      </c>
      <c r="F792" t="s">
        <v>13996</v>
      </c>
      <c r="G792" t="s">
        <v>74</v>
      </c>
      <c r="H792" t="s">
        <v>74</v>
      </c>
      <c r="I792" t="s">
        <v>13997</v>
      </c>
      <c r="J792" t="s">
        <v>13998</v>
      </c>
      <c r="K792" t="s">
        <v>74</v>
      </c>
      <c r="L792" t="s">
        <v>74</v>
      </c>
      <c r="M792" t="s">
        <v>78</v>
      </c>
      <c r="N792" t="s">
        <v>1437</v>
      </c>
      <c r="O792" t="s">
        <v>13999</v>
      </c>
      <c r="P792" t="s">
        <v>14000</v>
      </c>
      <c r="Q792" t="s">
        <v>14001</v>
      </c>
      <c r="R792" t="s">
        <v>74</v>
      </c>
      <c r="S792" t="s">
        <v>14002</v>
      </c>
      <c r="T792" t="s">
        <v>14003</v>
      </c>
      <c r="U792" t="s">
        <v>14004</v>
      </c>
      <c r="V792" t="s">
        <v>14005</v>
      </c>
      <c r="W792" t="s">
        <v>14006</v>
      </c>
      <c r="X792" t="s">
        <v>14007</v>
      </c>
      <c r="Y792" t="s">
        <v>14008</v>
      </c>
      <c r="Z792" t="s">
        <v>14009</v>
      </c>
      <c r="AA792" t="s">
        <v>14010</v>
      </c>
      <c r="AB792" t="s">
        <v>14011</v>
      </c>
      <c r="AC792" t="s">
        <v>74</v>
      </c>
      <c r="AD792" t="s">
        <v>74</v>
      </c>
      <c r="AE792" t="s">
        <v>74</v>
      </c>
      <c r="AF792" t="s">
        <v>74</v>
      </c>
      <c r="AG792">
        <v>26</v>
      </c>
      <c r="AH792">
        <v>1</v>
      </c>
      <c r="AI792">
        <v>1</v>
      </c>
      <c r="AJ792">
        <v>0</v>
      </c>
      <c r="AK792">
        <v>5</v>
      </c>
      <c r="AL792" t="s">
        <v>14012</v>
      </c>
      <c r="AM792" t="s">
        <v>1975</v>
      </c>
      <c r="AN792" t="s">
        <v>14013</v>
      </c>
      <c r="AO792" t="s">
        <v>14014</v>
      </c>
      <c r="AP792" t="s">
        <v>74</v>
      </c>
      <c r="AQ792" t="s">
        <v>74</v>
      </c>
      <c r="AR792" t="s">
        <v>14015</v>
      </c>
      <c r="AS792" t="s">
        <v>14016</v>
      </c>
      <c r="AT792" t="s">
        <v>74</v>
      </c>
      <c r="AU792">
        <v>2009</v>
      </c>
      <c r="AV792">
        <v>61</v>
      </c>
      <c r="AW792">
        <v>4</v>
      </c>
      <c r="AX792" t="s">
        <v>74</v>
      </c>
      <c r="AY792" t="s">
        <v>74</v>
      </c>
      <c r="AZ792" t="s">
        <v>74</v>
      </c>
      <c r="BA792" t="s">
        <v>74</v>
      </c>
      <c r="BB792">
        <v>535</v>
      </c>
      <c r="BC792">
        <v>544</v>
      </c>
      <c r="BD792" t="s">
        <v>74</v>
      </c>
      <c r="BE792" t="s">
        <v>14017</v>
      </c>
      <c r="BF792" t="str">
        <f>HYPERLINK("http://dx.doi.org/10.1186/BF03353170","http://dx.doi.org/10.1186/BF03353170")</f>
        <v>http://dx.doi.org/10.1186/BF03353170</v>
      </c>
      <c r="BG792" t="s">
        <v>74</v>
      </c>
      <c r="BH792" t="s">
        <v>74</v>
      </c>
      <c r="BI792">
        <v>10</v>
      </c>
      <c r="BJ792" t="s">
        <v>496</v>
      </c>
      <c r="BK792" t="s">
        <v>1453</v>
      </c>
      <c r="BL792" t="s">
        <v>497</v>
      </c>
      <c r="BM792" t="s">
        <v>14018</v>
      </c>
      <c r="BN792" t="s">
        <v>74</v>
      </c>
      <c r="BO792" t="s">
        <v>262</v>
      </c>
      <c r="BP792" t="s">
        <v>74</v>
      </c>
      <c r="BQ792" t="s">
        <v>74</v>
      </c>
      <c r="BR792" t="s">
        <v>103</v>
      </c>
      <c r="BS792" t="s">
        <v>14019</v>
      </c>
      <c r="BT792" t="str">
        <f>HYPERLINK("https%3A%2F%2Fwww.webofscience.com%2Fwos%2Fwoscc%2Ffull-record%2FWOS:000268057300016","View Full Record in Web of Science")</f>
        <v>View Full Record in Web of Science</v>
      </c>
    </row>
    <row r="793" spans="1:72" x14ac:dyDescent="0.15">
      <c r="A793" t="s">
        <v>72</v>
      </c>
      <c r="B793" t="s">
        <v>14020</v>
      </c>
      <c r="C793" t="s">
        <v>74</v>
      </c>
      <c r="D793" t="s">
        <v>74</v>
      </c>
      <c r="E793" t="s">
        <v>74</v>
      </c>
      <c r="F793" t="s">
        <v>14021</v>
      </c>
      <c r="G793" t="s">
        <v>74</v>
      </c>
      <c r="H793" t="s">
        <v>74</v>
      </c>
      <c r="I793" t="s">
        <v>14022</v>
      </c>
      <c r="J793" t="s">
        <v>13998</v>
      </c>
      <c r="K793" t="s">
        <v>74</v>
      </c>
      <c r="L793" t="s">
        <v>74</v>
      </c>
      <c r="M793" t="s">
        <v>78</v>
      </c>
      <c r="N793" t="s">
        <v>79</v>
      </c>
      <c r="O793" t="s">
        <v>74</v>
      </c>
      <c r="P793" t="s">
        <v>74</v>
      </c>
      <c r="Q793" t="s">
        <v>74</v>
      </c>
      <c r="R793" t="s">
        <v>74</v>
      </c>
      <c r="S793" t="s">
        <v>74</v>
      </c>
      <c r="T793" t="s">
        <v>14023</v>
      </c>
      <c r="U793" t="s">
        <v>14024</v>
      </c>
      <c r="V793" t="s">
        <v>14025</v>
      </c>
      <c r="W793" t="s">
        <v>14026</v>
      </c>
      <c r="X793" t="s">
        <v>14027</v>
      </c>
      <c r="Y793" t="s">
        <v>14028</v>
      </c>
      <c r="Z793" t="s">
        <v>14029</v>
      </c>
      <c r="AA793" t="s">
        <v>14030</v>
      </c>
      <c r="AB793" t="s">
        <v>14031</v>
      </c>
      <c r="AC793" t="s">
        <v>14032</v>
      </c>
      <c r="AD793" t="s">
        <v>14033</v>
      </c>
      <c r="AE793" t="s">
        <v>14034</v>
      </c>
      <c r="AF793" t="s">
        <v>74</v>
      </c>
      <c r="AG793">
        <v>21</v>
      </c>
      <c r="AH793">
        <v>4</v>
      </c>
      <c r="AI793">
        <v>4</v>
      </c>
      <c r="AJ793">
        <v>0</v>
      </c>
      <c r="AK793">
        <v>6</v>
      </c>
      <c r="AL793" t="s">
        <v>1947</v>
      </c>
      <c r="AM793" t="s">
        <v>1948</v>
      </c>
      <c r="AN793" t="s">
        <v>1949</v>
      </c>
      <c r="AO793" t="s">
        <v>14035</v>
      </c>
      <c r="AP793" t="s">
        <v>74</v>
      </c>
      <c r="AQ793" t="s">
        <v>74</v>
      </c>
      <c r="AR793" t="s">
        <v>14015</v>
      </c>
      <c r="AS793" t="s">
        <v>14016</v>
      </c>
      <c r="AT793" t="s">
        <v>74</v>
      </c>
      <c r="AU793">
        <v>2009</v>
      </c>
      <c r="AV793">
        <v>61</v>
      </c>
      <c r="AW793">
        <v>8</v>
      </c>
      <c r="AX793" t="s">
        <v>74</v>
      </c>
      <c r="AY793" t="s">
        <v>74</v>
      </c>
      <c r="AZ793" t="s">
        <v>74</v>
      </c>
      <c r="BA793" t="s">
        <v>74</v>
      </c>
      <c r="BB793">
        <v>983</v>
      </c>
      <c r="BC793">
        <v>993</v>
      </c>
      <c r="BD793" t="s">
        <v>74</v>
      </c>
      <c r="BE793" t="s">
        <v>14036</v>
      </c>
      <c r="BF793" t="str">
        <f>HYPERLINK("http://dx.doi.org/10.1186/BF03352948","http://dx.doi.org/10.1186/BF03352948")</f>
        <v>http://dx.doi.org/10.1186/BF03352948</v>
      </c>
      <c r="BG793" t="s">
        <v>74</v>
      </c>
      <c r="BH793" t="s">
        <v>74</v>
      </c>
      <c r="BI793">
        <v>11</v>
      </c>
      <c r="BJ793" t="s">
        <v>496</v>
      </c>
      <c r="BK793" t="s">
        <v>100</v>
      </c>
      <c r="BL793" t="s">
        <v>497</v>
      </c>
      <c r="BM793" t="s">
        <v>14037</v>
      </c>
      <c r="BN793" t="s">
        <v>74</v>
      </c>
      <c r="BO793" t="s">
        <v>262</v>
      </c>
      <c r="BP793" t="s">
        <v>74</v>
      </c>
      <c r="BQ793" t="s">
        <v>74</v>
      </c>
      <c r="BR793" t="s">
        <v>103</v>
      </c>
      <c r="BS793" t="s">
        <v>14038</v>
      </c>
      <c r="BT793" t="str">
        <f>HYPERLINK("https%3A%2F%2Fwww.webofscience.com%2Fwos%2Fwoscc%2Ffull-record%2FWOS:000271737000004","View Full Record in Web of Science")</f>
        <v>View Full Record in Web of Science</v>
      </c>
    </row>
    <row r="794" spans="1:72" x14ac:dyDescent="0.15">
      <c r="A794" t="s">
        <v>72</v>
      </c>
      <c r="B794" t="s">
        <v>14039</v>
      </c>
      <c r="C794" t="s">
        <v>74</v>
      </c>
      <c r="D794" t="s">
        <v>74</v>
      </c>
      <c r="E794" t="s">
        <v>74</v>
      </c>
      <c r="F794" t="s">
        <v>14040</v>
      </c>
      <c r="G794" t="s">
        <v>74</v>
      </c>
      <c r="H794" t="s">
        <v>74</v>
      </c>
      <c r="I794" t="s">
        <v>14041</v>
      </c>
      <c r="J794" t="s">
        <v>14042</v>
      </c>
      <c r="K794" t="s">
        <v>74</v>
      </c>
      <c r="L794" t="s">
        <v>74</v>
      </c>
      <c r="M794" t="s">
        <v>78</v>
      </c>
      <c r="N794" t="s">
        <v>79</v>
      </c>
      <c r="O794" t="s">
        <v>74</v>
      </c>
      <c r="P794" t="s">
        <v>74</v>
      </c>
      <c r="Q794" t="s">
        <v>74</v>
      </c>
      <c r="R794" t="s">
        <v>74</v>
      </c>
      <c r="S794" t="s">
        <v>74</v>
      </c>
      <c r="T794" t="s">
        <v>14043</v>
      </c>
      <c r="U794" t="s">
        <v>14044</v>
      </c>
      <c r="V794" t="s">
        <v>14045</v>
      </c>
      <c r="W794" t="s">
        <v>14046</v>
      </c>
      <c r="X794" t="s">
        <v>14047</v>
      </c>
      <c r="Y794" t="s">
        <v>14048</v>
      </c>
      <c r="Z794" t="s">
        <v>1968</v>
      </c>
      <c r="AA794" t="s">
        <v>14049</v>
      </c>
      <c r="AB794" t="s">
        <v>74</v>
      </c>
      <c r="AC794" t="s">
        <v>14050</v>
      </c>
      <c r="AD794" t="s">
        <v>14051</v>
      </c>
      <c r="AE794" t="s">
        <v>14052</v>
      </c>
      <c r="AF794" t="s">
        <v>74</v>
      </c>
      <c r="AG794">
        <v>28</v>
      </c>
      <c r="AH794">
        <v>2</v>
      </c>
      <c r="AI794">
        <v>2</v>
      </c>
      <c r="AJ794">
        <v>0</v>
      </c>
      <c r="AK794">
        <v>8</v>
      </c>
      <c r="AL794" t="s">
        <v>2878</v>
      </c>
      <c r="AM794" t="s">
        <v>14053</v>
      </c>
      <c r="AN794" t="s">
        <v>14054</v>
      </c>
      <c r="AO794" t="s">
        <v>14055</v>
      </c>
      <c r="AP794" t="s">
        <v>74</v>
      </c>
      <c r="AQ794" t="s">
        <v>74</v>
      </c>
      <c r="AR794" t="s">
        <v>14042</v>
      </c>
      <c r="AS794" t="s">
        <v>14056</v>
      </c>
      <c r="AT794" t="s">
        <v>74</v>
      </c>
      <c r="AU794">
        <v>2009</v>
      </c>
      <c r="AV794">
        <v>109</v>
      </c>
      <c r="AW794">
        <v>4</v>
      </c>
      <c r="AX794" t="s">
        <v>74</v>
      </c>
      <c r="AY794" t="s">
        <v>74</v>
      </c>
      <c r="AZ794" t="s">
        <v>74</v>
      </c>
      <c r="BA794" t="s">
        <v>74</v>
      </c>
      <c r="BB794">
        <v>316</v>
      </c>
      <c r="BC794">
        <v>320</v>
      </c>
      <c r="BD794" t="s">
        <v>74</v>
      </c>
      <c r="BE794" t="s">
        <v>14057</v>
      </c>
      <c r="BF794" t="str">
        <f>HYPERLINK("http://dx.doi.org/10.1071/MU09043","http://dx.doi.org/10.1071/MU09043")</f>
        <v>http://dx.doi.org/10.1071/MU09043</v>
      </c>
      <c r="BG794" t="s">
        <v>74</v>
      </c>
      <c r="BH794" t="s">
        <v>74</v>
      </c>
      <c r="BI794">
        <v>5</v>
      </c>
      <c r="BJ794" t="s">
        <v>1854</v>
      </c>
      <c r="BK794" t="s">
        <v>100</v>
      </c>
      <c r="BL794" t="s">
        <v>908</v>
      </c>
      <c r="BM794" t="s">
        <v>14058</v>
      </c>
      <c r="BN794" t="s">
        <v>74</v>
      </c>
      <c r="BO794" t="s">
        <v>74</v>
      </c>
      <c r="BP794" t="s">
        <v>74</v>
      </c>
      <c r="BQ794" t="s">
        <v>74</v>
      </c>
      <c r="BR794" t="s">
        <v>103</v>
      </c>
      <c r="BS794" t="s">
        <v>14059</v>
      </c>
      <c r="BT794" t="str">
        <f>HYPERLINK("https%3A%2F%2Fwww.webofscience.com%2Fwos%2Fwoscc%2Ffull-record%2FWOS:000207938100007","View Full Record in Web of Science")</f>
        <v>View Full Record in Web of Science</v>
      </c>
    </row>
    <row r="795" spans="1:72" x14ac:dyDescent="0.15">
      <c r="A795" t="s">
        <v>72</v>
      </c>
      <c r="B795" t="s">
        <v>14060</v>
      </c>
      <c r="C795" t="s">
        <v>74</v>
      </c>
      <c r="D795" t="s">
        <v>74</v>
      </c>
      <c r="E795" t="s">
        <v>74</v>
      </c>
      <c r="F795" t="s">
        <v>14061</v>
      </c>
      <c r="G795" t="s">
        <v>74</v>
      </c>
      <c r="H795" t="s">
        <v>74</v>
      </c>
      <c r="I795" t="s">
        <v>14062</v>
      </c>
      <c r="J795" t="s">
        <v>14042</v>
      </c>
      <c r="K795" t="s">
        <v>74</v>
      </c>
      <c r="L795" t="s">
        <v>74</v>
      </c>
      <c r="M795" t="s">
        <v>78</v>
      </c>
      <c r="N795" t="s">
        <v>79</v>
      </c>
      <c r="O795" t="s">
        <v>74</v>
      </c>
      <c r="P795" t="s">
        <v>74</v>
      </c>
      <c r="Q795" t="s">
        <v>74</v>
      </c>
      <c r="R795" t="s">
        <v>74</v>
      </c>
      <c r="S795" t="s">
        <v>74</v>
      </c>
      <c r="T795" t="s">
        <v>74</v>
      </c>
      <c r="U795" t="s">
        <v>14063</v>
      </c>
      <c r="V795" t="s">
        <v>14064</v>
      </c>
      <c r="W795" t="s">
        <v>14065</v>
      </c>
      <c r="X795" t="s">
        <v>14066</v>
      </c>
      <c r="Y795" t="s">
        <v>14067</v>
      </c>
      <c r="Z795" t="s">
        <v>14068</v>
      </c>
      <c r="AA795" t="s">
        <v>14069</v>
      </c>
      <c r="AB795" t="s">
        <v>14070</v>
      </c>
      <c r="AC795" t="s">
        <v>14071</v>
      </c>
      <c r="AD795" t="s">
        <v>14071</v>
      </c>
      <c r="AE795" t="s">
        <v>14072</v>
      </c>
      <c r="AF795" t="s">
        <v>74</v>
      </c>
      <c r="AG795">
        <v>41</v>
      </c>
      <c r="AH795">
        <v>10</v>
      </c>
      <c r="AI795">
        <v>14</v>
      </c>
      <c r="AJ795">
        <v>0</v>
      </c>
      <c r="AK795">
        <v>14</v>
      </c>
      <c r="AL795" t="s">
        <v>2878</v>
      </c>
      <c r="AM795" t="s">
        <v>14053</v>
      </c>
      <c r="AN795" t="s">
        <v>14054</v>
      </c>
      <c r="AO795" t="s">
        <v>14055</v>
      </c>
      <c r="AP795" t="s">
        <v>74</v>
      </c>
      <c r="AQ795" t="s">
        <v>74</v>
      </c>
      <c r="AR795" t="s">
        <v>14042</v>
      </c>
      <c r="AS795" t="s">
        <v>14056</v>
      </c>
      <c r="AT795" t="s">
        <v>74</v>
      </c>
      <c r="AU795">
        <v>2009</v>
      </c>
      <c r="AV795">
        <v>109</v>
      </c>
      <c r="AW795">
        <v>4</v>
      </c>
      <c r="AX795" t="s">
        <v>74</v>
      </c>
      <c r="AY795" t="s">
        <v>74</v>
      </c>
      <c r="AZ795" t="s">
        <v>74</v>
      </c>
      <c r="BA795" t="s">
        <v>74</v>
      </c>
      <c r="BB795">
        <v>321</v>
      </c>
      <c r="BC795">
        <v>326</v>
      </c>
      <c r="BD795" t="s">
        <v>74</v>
      </c>
      <c r="BE795" t="s">
        <v>14073</v>
      </c>
      <c r="BF795" t="str">
        <f>HYPERLINK("http://dx.doi.org/10.1071/MU09048","http://dx.doi.org/10.1071/MU09048")</f>
        <v>http://dx.doi.org/10.1071/MU09048</v>
      </c>
      <c r="BG795" t="s">
        <v>74</v>
      </c>
      <c r="BH795" t="s">
        <v>74</v>
      </c>
      <c r="BI795">
        <v>6</v>
      </c>
      <c r="BJ795" t="s">
        <v>1854</v>
      </c>
      <c r="BK795" t="s">
        <v>100</v>
      </c>
      <c r="BL795" t="s">
        <v>908</v>
      </c>
      <c r="BM795" t="s">
        <v>14058</v>
      </c>
      <c r="BN795" t="s">
        <v>74</v>
      </c>
      <c r="BO795" t="s">
        <v>74</v>
      </c>
      <c r="BP795" t="s">
        <v>74</v>
      </c>
      <c r="BQ795" t="s">
        <v>74</v>
      </c>
      <c r="BR795" t="s">
        <v>103</v>
      </c>
      <c r="BS795" t="s">
        <v>14074</v>
      </c>
      <c r="BT795" t="str">
        <f>HYPERLINK("https%3A%2F%2Fwww.webofscience.com%2Fwos%2Fwoscc%2Ffull-record%2FWOS:000207938100008","View Full Record in Web of Science")</f>
        <v>View Full Record in Web of Science</v>
      </c>
    </row>
    <row r="796" spans="1:72" x14ac:dyDescent="0.15">
      <c r="A796" t="s">
        <v>5277</v>
      </c>
      <c r="B796" t="s">
        <v>14075</v>
      </c>
      <c r="C796" t="s">
        <v>74</v>
      </c>
      <c r="D796" t="s">
        <v>14076</v>
      </c>
      <c r="E796" t="s">
        <v>74</v>
      </c>
      <c r="F796" t="s">
        <v>14077</v>
      </c>
      <c r="G796" t="s">
        <v>74</v>
      </c>
      <c r="H796" t="s">
        <v>74</v>
      </c>
      <c r="I796" t="s">
        <v>14078</v>
      </c>
      <c r="J796" t="s">
        <v>14079</v>
      </c>
      <c r="K796" t="s">
        <v>74</v>
      </c>
      <c r="L796" t="s">
        <v>74</v>
      </c>
      <c r="M796" t="s">
        <v>78</v>
      </c>
      <c r="N796" t="s">
        <v>11976</v>
      </c>
      <c r="O796" t="s">
        <v>74</v>
      </c>
      <c r="P796" t="s">
        <v>74</v>
      </c>
      <c r="Q796" t="s">
        <v>74</v>
      </c>
      <c r="R796" t="s">
        <v>74</v>
      </c>
      <c r="S796" t="s">
        <v>74</v>
      </c>
      <c r="T796" t="s">
        <v>74</v>
      </c>
      <c r="U796" t="s">
        <v>14080</v>
      </c>
      <c r="V796" t="s">
        <v>74</v>
      </c>
      <c r="W796" t="s">
        <v>14081</v>
      </c>
      <c r="X796" t="s">
        <v>824</v>
      </c>
      <c r="Y796" t="s">
        <v>14082</v>
      </c>
      <c r="Z796" t="s">
        <v>74</v>
      </c>
      <c r="AA796" t="s">
        <v>14083</v>
      </c>
      <c r="AB796" t="s">
        <v>14084</v>
      </c>
      <c r="AC796" t="s">
        <v>74</v>
      </c>
      <c r="AD796" t="s">
        <v>74</v>
      </c>
      <c r="AE796" t="s">
        <v>74</v>
      </c>
      <c r="AF796" t="s">
        <v>74</v>
      </c>
      <c r="AG796">
        <v>18</v>
      </c>
      <c r="AH796">
        <v>12</v>
      </c>
      <c r="AI796">
        <v>13</v>
      </c>
      <c r="AJ796">
        <v>0</v>
      </c>
      <c r="AK796">
        <v>6</v>
      </c>
      <c r="AL796" t="s">
        <v>11430</v>
      </c>
      <c r="AM796" t="s">
        <v>1802</v>
      </c>
      <c r="AN796" t="s">
        <v>11431</v>
      </c>
      <c r="AO796" t="s">
        <v>74</v>
      </c>
      <c r="AP796" t="s">
        <v>74</v>
      </c>
      <c r="AQ796" t="s">
        <v>14085</v>
      </c>
      <c r="AR796" t="s">
        <v>74</v>
      </c>
      <c r="AS796" t="s">
        <v>74</v>
      </c>
      <c r="AT796" t="s">
        <v>74</v>
      </c>
      <c r="AU796">
        <v>2009</v>
      </c>
      <c r="AV796" t="s">
        <v>74</v>
      </c>
      <c r="AW796" t="s">
        <v>74</v>
      </c>
      <c r="AX796" t="s">
        <v>74</v>
      </c>
      <c r="AY796" t="s">
        <v>74</v>
      </c>
      <c r="AZ796" t="s">
        <v>74</v>
      </c>
      <c r="BA796" t="s">
        <v>74</v>
      </c>
      <c r="BB796">
        <v>36</v>
      </c>
      <c r="BC796">
        <v>42</v>
      </c>
      <c r="BD796" t="s">
        <v>74</v>
      </c>
      <c r="BE796" t="s">
        <v>74</v>
      </c>
      <c r="BF796" t="s">
        <v>74</v>
      </c>
      <c r="BG796" t="s">
        <v>74</v>
      </c>
      <c r="BH796" t="s">
        <v>74</v>
      </c>
      <c r="BI796">
        <v>7</v>
      </c>
      <c r="BJ796" t="s">
        <v>2084</v>
      </c>
      <c r="BK796" t="s">
        <v>11989</v>
      </c>
      <c r="BL796" t="s">
        <v>2084</v>
      </c>
      <c r="BM796" t="s">
        <v>14086</v>
      </c>
      <c r="BN796" t="s">
        <v>74</v>
      </c>
      <c r="BO796" t="s">
        <v>74</v>
      </c>
      <c r="BP796" t="s">
        <v>74</v>
      </c>
      <c r="BQ796" t="s">
        <v>74</v>
      </c>
      <c r="BR796" t="s">
        <v>103</v>
      </c>
      <c r="BS796" t="s">
        <v>14087</v>
      </c>
      <c r="BT796" t="str">
        <f>HYPERLINK("https%3A%2F%2Fwww.webofscience.com%2Fwos%2Fwoscc%2Ffull-record%2FWOS:000337029200010","View Full Record in Web of Science")</f>
        <v>View Full Record in Web of Science</v>
      </c>
    </row>
    <row r="797" spans="1:72" x14ac:dyDescent="0.15">
      <c r="A797" t="s">
        <v>5277</v>
      </c>
      <c r="B797" t="s">
        <v>14088</v>
      </c>
      <c r="C797" t="s">
        <v>74</v>
      </c>
      <c r="D797" t="s">
        <v>14076</v>
      </c>
      <c r="E797" t="s">
        <v>74</v>
      </c>
      <c r="F797" t="s">
        <v>14089</v>
      </c>
      <c r="G797" t="s">
        <v>74</v>
      </c>
      <c r="H797" t="s">
        <v>74</v>
      </c>
      <c r="I797" t="s">
        <v>14090</v>
      </c>
      <c r="J797" t="s">
        <v>14079</v>
      </c>
      <c r="K797" t="s">
        <v>74</v>
      </c>
      <c r="L797" t="s">
        <v>74</v>
      </c>
      <c r="M797" t="s">
        <v>78</v>
      </c>
      <c r="N797" t="s">
        <v>11976</v>
      </c>
      <c r="O797" t="s">
        <v>74</v>
      </c>
      <c r="P797" t="s">
        <v>74</v>
      </c>
      <c r="Q797" t="s">
        <v>74</v>
      </c>
      <c r="R797" t="s">
        <v>74</v>
      </c>
      <c r="S797" t="s">
        <v>74</v>
      </c>
      <c r="T797" t="s">
        <v>74</v>
      </c>
      <c r="U797" t="s">
        <v>74</v>
      </c>
      <c r="V797" t="s">
        <v>74</v>
      </c>
      <c r="W797" t="s">
        <v>14091</v>
      </c>
      <c r="X797" t="s">
        <v>14092</v>
      </c>
      <c r="Y797" t="s">
        <v>14093</v>
      </c>
      <c r="Z797" t="s">
        <v>74</v>
      </c>
      <c r="AA797" t="s">
        <v>74</v>
      </c>
      <c r="AB797" t="s">
        <v>74</v>
      </c>
      <c r="AC797" t="s">
        <v>74</v>
      </c>
      <c r="AD797" t="s">
        <v>74</v>
      </c>
      <c r="AE797" t="s">
        <v>74</v>
      </c>
      <c r="AF797" t="s">
        <v>74</v>
      </c>
      <c r="AG797">
        <v>4</v>
      </c>
      <c r="AH797">
        <v>9</v>
      </c>
      <c r="AI797">
        <v>9</v>
      </c>
      <c r="AJ797">
        <v>0</v>
      </c>
      <c r="AK797">
        <v>9</v>
      </c>
      <c r="AL797" t="s">
        <v>11430</v>
      </c>
      <c r="AM797" t="s">
        <v>1802</v>
      </c>
      <c r="AN797" t="s">
        <v>11431</v>
      </c>
      <c r="AO797" t="s">
        <v>74</v>
      </c>
      <c r="AP797" t="s">
        <v>74</v>
      </c>
      <c r="AQ797" t="s">
        <v>14085</v>
      </c>
      <c r="AR797" t="s">
        <v>74</v>
      </c>
      <c r="AS797" t="s">
        <v>74</v>
      </c>
      <c r="AT797" t="s">
        <v>74</v>
      </c>
      <c r="AU797">
        <v>2009</v>
      </c>
      <c r="AV797" t="s">
        <v>74</v>
      </c>
      <c r="AW797" t="s">
        <v>74</v>
      </c>
      <c r="AX797" t="s">
        <v>74</v>
      </c>
      <c r="AY797" t="s">
        <v>74</v>
      </c>
      <c r="AZ797" t="s">
        <v>74</v>
      </c>
      <c r="BA797" t="s">
        <v>74</v>
      </c>
      <c r="BB797">
        <v>42</v>
      </c>
      <c r="BC797">
        <v>46</v>
      </c>
      <c r="BD797" t="s">
        <v>74</v>
      </c>
      <c r="BE797" t="s">
        <v>74</v>
      </c>
      <c r="BF797" t="s">
        <v>74</v>
      </c>
      <c r="BG797" t="s">
        <v>74</v>
      </c>
      <c r="BH797" t="s">
        <v>74</v>
      </c>
      <c r="BI797">
        <v>5</v>
      </c>
      <c r="BJ797" t="s">
        <v>2084</v>
      </c>
      <c r="BK797" t="s">
        <v>11989</v>
      </c>
      <c r="BL797" t="s">
        <v>2084</v>
      </c>
      <c r="BM797" t="s">
        <v>14086</v>
      </c>
      <c r="BN797" t="s">
        <v>74</v>
      </c>
      <c r="BO797" t="s">
        <v>74</v>
      </c>
      <c r="BP797" t="s">
        <v>74</v>
      </c>
      <c r="BQ797" t="s">
        <v>74</v>
      </c>
      <c r="BR797" t="s">
        <v>103</v>
      </c>
      <c r="BS797" t="s">
        <v>14094</v>
      </c>
      <c r="BT797" t="str">
        <f>HYPERLINK("https%3A%2F%2Fwww.webofscience.com%2Fwos%2Fwoscc%2Ffull-record%2FWOS:000337029200011","View Full Record in Web of Science")</f>
        <v>View Full Record in Web of Science</v>
      </c>
    </row>
    <row r="798" spans="1:72" x14ac:dyDescent="0.15">
      <c r="A798" t="s">
        <v>5277</v>
      </c>
      <c r="B798" t="s">
        <v>14095</v>
      </c>
      <c r="C798" t="s">
        <v>74</v>
      </c>
      <c r="D798" t="s">
        <v>14076</v>
      </c>
      <c r="E798" t="s">
        <v>74</v>
      </c>
      <c r="F798" t="s">
        <v>14096</v>
      </c>
      <c r="G798" t="s">
        <v>74</v>
      </c>
      <c r="H798" t="s">
        <v>74</v>
      </c>
      <c r="I798" t="s">
        <v>14097</v>
      </c>
      <c r="J798" t="s">
        <v>14079</v>
      </c>
      <c r="K798" t="s">
        <v>74</v>
      </c>
      <c r="L798" t="s">
        <v>74</v>
      </c>
      <c r="M798" t="s">
        <v>78</v>
      </c>
      <c r="N798" t="s">
        <v>11976</v>
      </c>
      <c r="O798" t="s">
        <v>74</v>
      </c>
      <c r="P798" t="s">
        <v>74</v>
      </c>
      <c r="Q798" t="s">
        <v>74</v>
      </c>
      <c r="R798" t="s">
        <v>74</v>
      </c>
      <c r="S798" t="s">
        <v>74</v>
      </c>
      <c r="T798" t="s">
        <v>74</v>
      </c>
      <c r="U798" t="s">
        <v>74</v>
      </c>
      <c r="V798" t="s">
        <v>74</v>
      </c>
      <c r="W798" t="s">
        <v>14098</v>
      </c>
      <c r="X798" t="s">
        <v>824</v>
      </c>
      <c r="Y798" t="s">
        <v>14099</v>
      </c>
      <c r="Z798" t="s">
        <v>74</v>
      </c>
      <c r="AA798" t="s">
        <v>14100</v>
      </c>
      <c r="AB798" t="s">
        <v>74</v>
      </c>
      <c r="AC798" t="s">
        <v>74</v>
      </c>
      <c r="AD798" t="s">
        <v>74</v>
      </c>
      <c r="AE798" t="s">
        <v>74</v>
      </c>
      <c r="AF798" t="s">
        <v>74</v>
      </c>
      <c r="AG798">
        <v>15</v>
      </c>
      <c r="AH798">
        <v>15</v>
      </c>
      <c r="AI798">
        <v>17</v>
      </c>
      <c r="AJ798">
        <v>0</v>
      </c>
      <c r="AK798">
        <v>4</v>
      </c>
      <c r="AL798" t="s">
        <v>11430</v>
      </c>
      <c r="AM798" t="s">
        <v>1802</v>
      </c>
      <c r="AN798" t="s">
        <v>11431</v>
      </c>
      <c r="AO798" t="s">
        <v>74</v>
      </c>
      <c r="AP798" t="s">
        <v>74</v>
      </c>
      <c r="AQ798" t="s">
        <v>14085</v>
      </c>
      <c r="AR798" t="s">
        <v>74</v>
      </c>
      <c r="AS798" t="s">
        <v>74</v>
      </c>
      <c r="AT798" t="s">
        <v>74</v>
      </c>
      <c r="AU798">
        <v>2009</v>
      </c>
      <c r="AV798" t="s">
        <v>74</v>
      </c>
      <c r="AW798" t="s">
        <v>74</v>
      </c>
      <c r="AX798" t="s">
        <v>74</v>
      </c>
      <c r="AY798" t="s">
        <v>74</v>
      </c>
      <c r="AZ798" t="s">
        <v>74</v>
      </c>
      <c r="BA798" t="s">
        <v>74</v>
      </c>
      <c r="BB798">
        <v>316</v>
      </c>
      <c r="BC798">
        <v>321</v>
      </c>
      <c r="BD798" t="s">
        <v>74</v>
      </c>
      <c r="BE798" t="s">
        <v>74</v>
      </c>
      <c r="BF798" t="s">
        <v>74</v>
      </c>
      <c r="BG798" t="s">
        <v>74</v>
      </c>
      <c r="BH798" t="s">
        <v>74</v>
      </c>
      <c r="BI798">
        <v>6</v>
      </c>
      <c r="BJ798" t="s">
        <v>2084</v>
      </c>
      <c r="BK798" t="s">
        <v>11989</v>
      </c>
      <c r="BL798" t="s">
        <v>2084</v>
      </c>
      <c r="BM798" t="s">
        <v>14086</v>
      </c>
      <c r="BN798" t="s">
        <v>74</v>
      </c>
      <c r="BO798" t="s">
        <v>74</v>
      </c>
      <c r="BP798" t="s">
        <v>74</v>
      </c>
      <c r="BQ798" t="s">
        <v>74</v>
      </c>
      <c r="BR798" t="s">
        <v>103</v>
      </c>
      <c r="BS798" t="s">
        <v>14101</v>
      </c>
      <c r="BT798" t="str">
        <f>HYPERLINK("https%3A%2F%2Fwww.webofscience.com%2Fwos%2Fwoscc%2Ffull-record%2FWOS:000337029200074","View Full Record in Web of Science")</f>
        <v>View Full Record in Web of Science</v>
      </c>
    </row>
    <row r="799" spans="1:72" x14ac:dyDescent="0.15">
      <c r="A799" t="s">
        <v>5277</v>
      </c>
      <c r="B799" t="s">
        <v>14102</v>
      </c>
      <c r="C799" t="s">
        <v>74</v>
      </c>
      <c r="D799" t="s">
        <v>14076</v>
      </c>
      <c r="E799" t="s">
        <v>74</v>
      </c>
      <c r="F799" t="s">
        <v>14103</v>
      </c>
      <c r="G799" t="s">
        <v>74</v>
      </c>
      <c r="H799" t="s">
        <v>74</v>
      </c>
      <c r="I799" t="s">
        <v>14104</v>
      </c>
      <c r="J799" t="s">
        <v>14079</v>
      </c>
      <c r="K799" t="s">
        <v>74</v>
      </c>
      <c r="L799" t="s">
        <v>74</v>
      </c>
      <c r="M799" t="s">
        <v>78</v>
      </c>
      <c r="N799" t="s">
        <v>11976</v>
      </c>
      <c r="O799" t="s">
        <v>74</v>
      </c>
      <c r="P799" t="s">
        <v>74</v>
      </c>
      <c r="Q799" t="s">
        <v>74</v>
      </c>
      <c r="R799" t="s">
        <v>74</v>
      </c>
      <c r="S799" t="s">
        <v>74</v>
      </c>
      <c r="T799" t="s">
        <v>74</v>
      </c>
      <c r="U799" t="s">
        <v>74</v>
      </c>
      <c r="V799" t="s">
        <v>74</v>
      </c>
      <c r="W799" t="s">
        <v>14105</v>
      </c>
      <c r="X799" t="s">
        <v>824</v>
      </c>
      <c r="Y799" t="s">
        <v>14106</v>
      </c>
      <c r="Z799" t="s">
        <v>74</v>
      </c>
      <c r="AA799" t="s">
        <v>14100</v>
      </c>
      <c r="AB799" t="s">
        <v>74</v>
      </c>
      <c r="AC799" t="s">
        <v>74</v>
      </c>
      <c r="AD799" t="s">
        <v>74</v>
      </c>
      <c r="AE799" t="s">
        <v>74</v>
      </c>
      <c r="AF799" t="s">
        <v>74</v>
      </c>
      <c r="AG799">
        <v>14</v>
      </c>
      <c r="AH799">
        <v>5</v>
      </c>
      <c r="AI799">
        <v>6</v>
      </c>
      <c r="AJ799">
        <v>0</v>
      </c>
      <c r="AK799">
        <v>6</v>
      </c>
      <c r="AL799" t="s">
        <v>11430</v>
      </c>
      <c r="AM799" t="s">
        <v>1802</v>
      </c>
      <c r="AN799" t="s">
        <v>11431</v>
      </c>
      <c r="AO799" t="s">
        <v>74</v>
      </c>
      <c r="AP799" t="s">
        <v>74</v>
      </c>
      <c r="AQ799" t="s">
        <v>14085</v>
      </c>
      <c r="AR799" t="s">
        <v>74</v>
      </c>
      <c r="AS799" t="s">
        <v>74</v>
      </c>
      <c r="AT799" t="s">
        <v>74</v>
      </c>
      <c r="AU799">
        <v>2009</v>
      </c>
      <c r="AV799" t="s">
        <v>74</v>
      </c>
      <c r="AW799" t="s">
        <v>74</v>
      </c>
      <c r="AX799" t="s">
        <v>74</v>
      </c>
      <c r="AY799" t="s">
        <v>74</v>
      </c>
      <c r="AZ799" t="s">
        <v>74</v>
      </c>
      <c r="BA799" t="s">
        <v>74</v>
      </c>
      <c r="BB799">
        <v>741</v>
      </c>
      <c r="BC799">
        <v>744</v>
      </c>
      <c r="BD799" t="s">
        <v>74</v>
      </c>
      <c r="BE799" t="s">
        <v>74</v>
      </c>
      <c r="BF799" t="s">
        <v>74</v>
      </c>
      <c r="BG799" t="s">
        <v>74</v>
      </c>
      <c r="BH799" t="s">
        <v>74</v>
      </c>
      <c r="BI799">
        <v>4</v>
      </c>
      <c r="BJ799" t="s">
        <v>2084</v>
      </c>
      <c r="BK799" t="s">
        <v>11989</v>
      </c>
      <c r="BL799" t="s">
        <v>2084</v>
      </c>
      <c r="BM799" t="s">
        <v>14086</v>
      </c>
      <c r="BN799" t="s">
        <v>74</v>
      </c>
      <c r="BO799" t="s">
        <v>74</v>
      </c>
      <c r="BP799" t="s">
        <v>74</v>
      </c>
      <c r="BQ799" t="s">
        <v>74</v>
      </c>
      <c r="BR799" t="s">
        <v>103</v>
      </c>
      <c r="BS799" t="s">
        <v>14107</v>
      </c>
      <c r="BT799" t="str">
        <f>HYPERLINK("https%3A%2F%2Fwww.webofscience.com%2Fwos%2Fwoscc%2Ffull-record%2FWOS:000337029200160","View Full Record in Web of Science")</f>
        <v>View Full Record in Web of Science</v>
      </c>
    </row>
    <row r="800" spans="1:72" x14ac:dyDescent="0.15">
      <c r="A800" t="s">
        <v>5277</v>
      </c>
      <c r="B800" t="s">
        <v>14108</v>
      </c>
      <c r="C800" t="s">
        <v>74</v>
      </c>
      <c r="D800" t="s">
        <v>14076</v>
      </c>
      <c r="E800" t="s">
        <v>74</v>
      </c>
      <c r="F800" t="s">
        <v>14109</v>
      </c>
      <c r="G800" t="s">
        <v>74</v>
      </c>
      <c r="H800" t="s">
        <v>74</v>
      </c>
      <c r="I800" t="s">
        <v>14110</v>
      </c>
      <c r="J800" t="s">
        <v>14079</v>
      </c>
      <c r="K800" t="s">
        <v>74</v>
      </c>
      <c r="L800" t="s">
        <v>74</v>
      </c>
      <c r="M800" t="s">
        <v>78</v>
      </c>
      <c r="N800" t="s">
        <v>11976</v>
      </c>
      <c r="O800" t="s">
        <v>74</v>
      </c>
      <c r="P800" t="s">
        <v>74</v>
      </c>
      <c r="Q800" t="s">
        <v>74</v>
      </c>
      <c r="R800" t="s">
        <v>74</v>
      </c>
      <c r="S800" t="s">
        <v>74</v>
      </c>
      <c r="T800" t="s">
        <v>74</v>
      </c>
      <c r="U800" t="s">
        <v>14111</v>
      </c>
      <c r="V800" t="s">
        <v>74</v>
      </c>
      <c r="W800" t="s">
        <v>14112</v>
      </c>
      <c r="X800" t="s">
        <v>2357</v>
      </c>
      <c r="Y800" t="s">
        <v>14113</v>
      </c>
      <c r="Z800" t="s">
        <v>74</v>
      </c>
      <c r="AA800" t="s">
        <v>74</v>
      </c>
      <c r="AB800" t="s">
        <v>74</v>
      </c>
      <c r="AC800" t="s">
        <v>74</v>
      </c>
      <c r="AD800" t="s">
        <v>74</v>
      </c>
      <c r="AE800" t="s">
        <v>74</v>
      </c>
      <c r="AF800" t="s">
        <v>74</v>
      </c>
      <c r="AG800">
        <v>8</v>
      </c>
      <c r="AH800">
        <v>2</v>
      </c>
      <c r="AI800">
        <v>2</v>
      </c>
      <c r="AJ800">
        <v>0</v>
      </c>
      <c r="AK800">
        <v>4</v>
      </c>
      <c r="AL800" t="s">
        <v>11430</v>
      </c>
      <c r="AM800" t="s">
        <v>1802</v>
      </c>
      <c r="AN800" t="s">
        <v>11431</v>
      </c>
      <c r="AO800" t="s">
        <v>74</v>
      </c>
      <c r="AP800" t="s">
        <v>74</v>
      </c>
      <c r="AQ800" t="s">
        <v>14085</v>
      </c>
      <c r="AR800" t="s">
        <v>74</v>
      </c>
      <c r="AS800" t="s">
        <v>74</v>
      </c>
      <c r="AT800" t="s">
        <v>74</v>
      </c>
      <c r="AU800">
        <v>2009</v>
      </c>
      <c r="AV800" t="s">
        <v>74</v>
      </c>
      <c r="AW800" t="s">
        <v>74</v>
      </c>
      <c r="AX800" t="s">
        <v>74</v>
      </c>
      <c r="AY800" t="s">
        <v>74</v>
      </c>
      <c r="AZ800" t="s">
        <v>74</v>
      </c>
      <c r="BA800" t="s">
        <v>74</v>
      </c>
      <c r="BB800">
        <v>763</v>
      </c>
      <c r="BC800">
        <v>765</v>
      </c>
      <c r="BD800" t="s">
        <v>74</v>
      </c>
      <c r="BE800" t="s">
        <v>74</v>
      </c>
      <c r="BF800" t="s">
        <v>74</v>
      </c>
      <c r="BG800" t="s">
        <v>74</v>
      </c>
      <c r="BH800" t="s">
        <v>74</v>
      </c>
      <c r="BI800">
        <v>3</v>
      </c>
      <c r="BJ800" t="s">
        <v>2084</v>
      </c>
      <c r="BK800" t="s">
        <v>11989</v>
      </c>
      <c r="BL800" t="s">
        <v>2084</v>
      </c>
      <c r="BM800" t="s">
        <v>14086</v>
      </c>
      <c r="BN800" t="s">
        <v>74</v>
      </c>
      <c r="BO800" t="s">
        <v>74</v>
      </c>
      <c r="BP800" t="s">
        <v>74</v>
      </c>
      <c r="BQ800" t="s">
        <v>74</v>
      </c>
      <c r="BR800" t="s">
        <v>103</v>
      </c>
      <c r="BS800" t="s">
        <v>14114</v>
      </c>
      <c r="BT800" t="str">
        <f>HYPERLINK("https%3A%2F%2Fwww.webofscience.com%2Fwos%2Fwoscc%2Ffull-record%2FWOS:000337029200166","View Full Record in Web of Science")</f>
        <v>View Full Record in Web of Science</v>
      </c>
    </row>
    <row r="801" spans="1:72" x14ac:dyDescent="0.15">
      <c r="A801" t="s">
        <v>5277</v>
      </c>
      <c r="B801" t="s">
        <v>14088</v>
      </c>
      <c r="C801" t="s">
        <v>74</v>
      </c>
      <c r="D801" t="s">
        <v>14076</v>
      </c>
      <c r="E801" t="s">
        <v>74</v>
      </c>
      <c r="F801" t="s">
        <v>14089</v>
      </c>
      <c r="G801" t="s">
        <v>74</v>
      </c>
      <c r="H801" t="s">
        <v>74</v>
      </c>
      <c r="I801" t="s">
        <v>14115</v>
      </c>
      <c r="J801" t="s">
        <v>14079</v>
      </c>
      <c r="K801" t="s">
        <v>74</v>
      </c>
      <c r="L801" t="s">
        <v>74</v>
      </c>
      <c r="M801" t="s">
        <v>78</v>
      </c>
      <c r="N801" t="s">
        <v>11976</v>
      </c>
      <c r="O801" t="s">
        <v>74</v>
      </c>
      <c r="P801" t="s">
        <v>74</v>
      </c>
      <c r="Q801" t="s">
        <v>74</v>
      </c>
      <c r="R801" t="s">
        <v>74</v>
      </c>
      <c r="S801" t="s">
        <v>74</v>
      </c>
      <c r="T801" t="s">
        <v>74</v>
      </c>
      <c r="U801" t="s">
        <v>14116</v>
      </c>
      <c r="V801" t="s">
        <v>74</v>
      </c>
      <c r="W801" t="s">
        <v>14091</v>
      </c>
      <c r="X801" t="s">
        <v>14092</v>
      </c>
      <c r="Y801" t="s">
        <v>14093</v>
      </c>
      <c r="Z801" t="s">
        <v>74</v>
      </c>
      <c r="AA801" t="s">
        <v>74</v>
      </c>
      <c r="AB801" t="s">
        <v>74</v>
      </c>
      <c r="AC801" t="s">
        <v>74</v>
      </c>
      <c r="AD801" t="s">
        <v>74</v>
      </c>
      <c r="AE801" t="s">
        <v>74</v>
      </c>
      <c r="AF801" t="s">
        <v>74</v>
      </c>
      <c r="AG801">
        <v>30</v>
      </c>
      <c r="AH801">
        <v>1</v>
      </c>
      <c r="AI801">
        <v>1</v>
      </c>
      <c r="AJ801">
        <v>0</v>
      </c>
      <c r="AK801">
        <v>3</v>
      </c>
      <c r="AL801" t="s">
        <v>11430</v>
      </c>
      <c r="AM801" t="s">
        <v>1802</v>
      </c>
      <c r="AN801" t="s">
        <v>11431</v>
      </c>
      <c r="AO801" t="s">
        <v>74</v>
      </c>
      <c r="AP801" t="s">
        <v>74</v>
      </c>
      <c r="AQ801" t="s">
        <v>14085</v>
      </c>
      <c r="AR801" t="s">
        <v>74</v>
      </c>
      <c r="AS801" t="s">
        <v>74</v>
      </c>
      <c r="AT801" t="s">
        <v>74</v>
      </c>
      <c r="AU801">
        <v>2009</v>
      </c>
      <c r="AV801" t="s">
        <v>74</v>
      </c>
      <c r="AW801" t="s">
        <v>74</v>
      </c>
      <c r="AX801" t="s">
        <v>74</v>
      </c>
      <c r="AY801" t="s">
        <v>74</v>
      </c>
      <c r="AZ801" t="s">
        <v>74</v>
      </c>
      <c r="BA801" t="s">
        <v>74</v>
      </c>
      <c r="BB801">
        <v>868</v>
      </c>
      <c r="BC801">
        <v>873</v>
      </c>
      <c r="BD801" t="s">
        <v>74</v>
      </c>
      <c r="BE801" t="s">
        <v>74</v>
      </c>
      <c r="BF801" t="s">
        <v>74</v>
      </c>
      <c r="BG801" t="s">
        <v>74</v>
      </c>
      <c r="BH801" t="s">
        <v>74</v>
      </c>
      <c r="BI801">
        <v>6</v>
      </c>
      <c r="BJ801" t="s">
        <v>2084</v>
      </c>
      <c r="BK801" t="s">
        <v>11989</v>
      </c>
      <c r="BL801" t="s">
        <v>2084</v>
      </c>
      <c r="BM801" t="s">
        <v>14086</v>
      </c>
      <c r="BN801" t="s">
        <v>74</v>
      </c>
      <c r="BO801" t="s">
        <v>74</v>
      </c>
      <c r="BP801" t="s">
        <v>74</v>
      </c>
      <c r="BQ801" t="s">
        <v>74</v>
      </c>
      <c r="BR801" t="s">
        <v>103</v>
      </c>
      <c r="BS801" t="s">
        <v>14117</v>
      </c>
      <c r="BT801" t="str">
        <f>HYPERLINK("https%3A%2F%2Fwww.webofscience.com%2Fwos%2Fwoscc%2Ffull-record%2FWOS:000337029200185","View Full Record in Web of Science")</f>
        <v>View Full Record in Web of Science</v>
      </c>
    </row>
    <row r="802" spans="1:72" x14ac:dyDescent="0.15">
      <c r="A802" t="s">
        <v>5277</v>
      </c>
      <c r="B802" t="s">
        <v>14118</v>
      </c>
      <c r="C802" t="s">
        <v>74</v>
      </c>
      <c r="D802" t="s">
        <v>14076</v>
      </c>
      <c r="E802" t="s">
        <v>74</v>
      </c>
      <c r="F802" t="s">
        <v>14119</v>
      </c>
      <c r="G802" t="s">
        <v>74</v>
      </c>
      <c r="H802" t="s">
        <v>74</v>
      </c>
      <c r="I802" t="s">
        <v>14120</v>
      </c>
      <c r="J802" t="s">
        <v>14079</v>
      </c>
      <c r="K802" t="s">
        <v>74</v>
      </c>
      <c r="L802" t="s">
        <v>74</v>
      </c>
      <c r="M802" t="s">
        <v>78</v>
      </c>
      <c r="N802" t="s">
        <v>11976</v>
      </c>
      <c r="O802" t="s">
        <v>74</v>
      </c>
      <c r="P802" t="s">
        <v>74</v>
      </c>
      <c r="Q802" t="s">
        <v>74</v>
      </c>
      <c r="R802" t="s">
        <v>74</v>
      </c>
      <c r="S802" t="s">
        <v>74</v>
      </c>
      <c r="T802" t="s">
        <v>74</v>
      </c>
      <c r="U802" t="s">
        <v>14121</v>
      </c>
      <c r="V802" t="s">
        <v>74</v>
      </c>
      <c r="W802" t="s">
        <v>14122</v>
      </c>
      <c r="X802" t="s">
        <v>14123</v>
      </c>
      <c r="Y802" t="s">
        <v>14124</v>
      </c>
      <c r="Z802" t="s">
        <v>74</v>
      </c>
      <c r="AA802" t="s">
        <v>74</v>
      </c>
      <c r="AB802" t="s">
        <v>74</v>
      </c>
      <c r="AC802" t="s">
        <v>74</v>
      </c>
      <c r="AD802" t="s">
        <v>74</v>
      </c>
      <c r="AE802" t="s">
        <v>74</v>
      </c>
      <c r="AF802" t="s">
        <v>74</v>
      </c>
      <c r="AG802">
        <v>42</v>
      </c>
      <c r="AH802">
        <v>3</v>
      </c>
      <c r="AI802">
        <v>3</v>
      </c>
      <c r="AJ802">
        <v>0</v>
      </c>
      <c r="AK802">
        <v>8</v>
      </c>
      <c r="AL802" t="s">
        <v>11430</v>
      </c>
      <c r="AM802" t="s">
        <v>1802</v>
      </c>
      <c r="AN802" t="s">
        <v>11431</v>
      </c>
      <c r="AO802" t="s">
        <v>74</v>
      </c>
      <c r="AP802" t="s">
        <v>74</v>
      </c>
      <c r="AQ802" t="s">
        <v>14085</v>
      </c>
      <c r="AR802" t="s">
        <v>74</v>
      </c>
      <c r="AS802" t="s">
        <v>74</v>
      </c>
      <c r="AT802" t="s">
        <v>74</v>
      </c>
      <c r="AU802">
        <v>2009</v>
      </c>
      <c r="AV802" t="s">
        <v>74</v>
      </c>
      <c r="AW802" t="s">
        <v>74</v>
      </c>
      <c r="AX802" t="s">
        <v>74</v>
      </c>
      <c r="AY802" t="s">
        <v>74</v>
      </c>
      <c r="AZ802" t="s">
        <v>74</v>
      </c>
      <c r="BA802" t="s">
        <v>74</v>
      </c>
      <c r="BB802">
        <v>1156</v>
      </c>
      <c r="BC802">
        <v>1166</v>
      </c>
      <c r="BD802" t="s">
        <v>74</v>
      </c>
      <c r="BE802" t="s">
        <v>74</v>
      </c>
      <c r="BF802" t="s">
        <v>74</v>
      </c>
      <c r="BG802" t="s">
        <v>74</v>
      </c>
      <c r="BH802" t="s">
        <v>74</v>
      </c>
      <c r="BI802">
        <v>11</v>
      </c>
      <c r="BJ802" t="s">
        <v>2084</v>
      </c>
      <c r="BK802" t="s">
        <v>11989</v>
      </c>
      <c r="BL802" t="s">
        <v>2084</v>
      </c>
      <c r="BM802" t="s">
        <v>14086</v>
      </c>
      <c r="BN802" t="s">
        <v>74</v>
      </c>
      <c r="BO802" t="s">
        <v>74</v>
      </c>
      <c r="BP802" t="s">
        <v>74</v>
      </c>
      <c r="BQ802" t="s">
        <v>74</v>
      </c>
      <c r="BR802" t="s">
        <v>103</v>
      </c>
      <c r="BS802" t="s">
        <v>14125</v>
      </c>
      <c r="BT802" t="str">
        <f>HYPERLINK("https%3A%2F%2Fwww.webofscience.com%2Fwos%2Fwoscc%2Ffull-record%2FWOS:000337029200248","View Full Record in Web of Science")</f>
        <v>View Full Record in Web of Science</v>
      </c>
    </row>
    <row r="803" spans="1:72" x14ac:dyDescent="0.15">
      <c r="A803" t="s">
        <v>5277</v>
      </c>
      <c r="B803" t="s">
        <v>14126</v>
      </c>
      <c r="C803" t="s">
        <v>74</v>
      </c>
      <c r="D803" t="s">
        <v>14076</v>
      </c>
      <c r="E803" t="s">
        <v>74</v>
      </c>
      <c r="F803" t="s">
        <v>14127</v>
      </c>
      <c r="G803" t="s">
        <v>74</v>
      </c>
      <c r="H803" t="s">
        <v>74</v>
      </c>
      <c r="I803" t="s">
        <v>14128</v>
      </c>
      <c r="J803" t="s">
        <v>14079</v>
      </c>
      <c r="K803" t="s">
        <v>74</v>
      </c>
      <c r="L803" t="s">
        <v>74</v>
      </c>
      <c r="M803" t="s">
        <v>78</v>
      </c>
      <c r="N803" t="s">
        <v>11976</v>
      </c>
      <c r="O803" t="s">
        <v>74</v>
      </c>
      <c r="P803" t="s">
        <v>74</v>
      </c>
      <c r="Q803" t="s">
        <v>74</v>
      </c>
      <c r="R803" t="s">
        <v>74</v>
      </c>
      <c r="S803" t="s">
        <v>74</v>
      </c>
      <c r="T803" t="s">
        <v>74</v>
      </c>
      <c r="U803" t="s">
        <v>14129</v>
      </c>
      <c r="V803" t="s">
        <v>74</v>
      </c>
      <c r="W803" t="s">
        <v>14130</v>
      </c>
      <c r="X803" t="s">
        <v>14131</v>
      </c>
      <c r="Y803" t="s">
        <v>14132</v>
      </c>
      <c r="Z803" t="s">
        <v>74</v>
      </c>
      <c r="AA803" t="s">
        <v>74</v>
      </c>
      <c r="AB803" t="s">
        <v>14133</v>
      </c>
      <c r="AC803" t="s">
        <v>74</v>
      </c>
      <c r="AD803" t="s">
        <v>74</v>
      </c>
      <c r="AE803" t="s">
        <v>74</v>
      </c>
      <c r="AF803" t="s">
        <v>74</v>
      </c>
      <c r="AG803">
        <v>39</v>
      </c>
      <c r="AH803">
        <v>16</v>
      </c>
      <c r="AI803">
        <v>18</v>
      </c>
      <c r="AJ803">
        <v>0</v>
      </c>
      <c r="AK803">
        <v>14</v>
      </c>
      <c r="AL803" t="s">
        <v>11430</v>
      </c>
      <c r="AM803" t="s">
        <v>1802</v>
      </c>
      <c r="AN803" t="s">
        <v>11431</v>
      </c>
      <c r="AO803" t="s">
        <v>74</v>
      </c>
      <c r="AP803" t="s">
        <v>74</v>
      </c>
      <c r="AQ803" t="s">
        <v>14085</v>
      </c>
      <c r="AR803" t="s">
        <v>74</v>
      </c>
      <c r="AS803" t="s">
        <v>74</v>
      </c>
      <c r="AT803" t="s">
        <v>74</v>
      </c>
      <c r="AU803">
        <v>2009</v>
      </c>
      <c r="AV803" t="s">
        <v>74</v>
      </c>
      <c r="AW803" t="s">
        <v>74</v>
      </c>
      <c r="AX803" t="s">
        <v>74</v>
      </c>
      <c r="AY803" t="s">
        <v>74</v>
      </c>
      <c r="AZ803" t="s">
        <v>74</v>
      </c>
      <c r="BA803" t="s">
        <v>74</v>
      </c>
      <c r="BB803">
        <v>1166</v>
      </c>
      <c r="BC803">
        <v>1171</v>
      </c>
      <c r="BD803" t="s">
        <v>74</v>
      </c>
      <c r="BE803" t="s">
        <v>74</v>
      </c>
      <c r="BF803" t="s">
        <v>74</v>
      </c>
      <c r="BG803" t="s">
        <v>74</v>
      </c>
      <c r="BH803" t="s">
        <v>74</v>
      </c>
      <c r="BI803">
        <v>6</v>
      </c>
      <c r="BJ803" t="s">
        <v>2084</v>
      </c>
      <c r="BK803" t="s">
        <v>11989</v>
      </c>
      <c r="BL803" t="s">
        <v>2084</v>
      </c>
      <c r="BM803" t="s">
        <v>14086</v>
      </c>
      <c r="BN803" t="s">
        <v>74</v>
      </c>
      <c r="BO803" t="s">
        <v>74</v>
      </c>
      <c r="BP803" t="s">
        <v>74</v>
      </c>
      <c r="BQ803" t="s">
        <v>74</v>
      </c>
      <c r="BR803" t="s">
        <v>103</v>
      </c>
      <c r="BS803" t="s">
        <v>14134</v>
      </c>
      <c r="BT803" t="str">
        <f>HYPERLINK("https%3A%2F%2Fwww.webofscience.com%2Fwos%2Fwoscc%2Ffull-record%2FWOS:000337029200249","View Full Record in Web of Science")</f>
        <v>View Full Record in Web of Science</v>
      </c>
    </row>
    <row r="804" spans="1:72" x14ac:dyDescent="0.15">
      <c r="A804" t="s">
        <v>72</v>
      </c>
      <c r="B804" t="s">
        <v>14135</v>
      </c>
      <c r="C804" t="s">
        <v>74</v>
      </c>
      <c r="D804" t="s">
        <v>74</v>
      </c>
      <c r="E804" t="s">
        <v>74</v>
      </c>
      <c r="F804" t="s">
        <v>14136</v>
      </c>
      <c r="G804" t="s">
        <v>74</v>
      </c>
      <c r="H804" t="s">
        <v>74</v>
      </c>
      <c r="I804" t="s">
        <v>14137</v>
      </c>
      <c r="J804" t="s">
        <v>14138</v>
      </c>
      <c r="K804" t="s">
        <v>74</v>
      </c>
      <c r="L804" t="s">
        <v>74</v>
      </c>
      <c r="M804" t="s">
        <v>78</v>
      </c>
      <c r="N804" t="s">
        <v>79</v>
      </c>
      <c r="O804" t="s">
        <v>74</v>
      </c>
      <c r="P804" t="s">
        <v>74</v>
      </c>
      <c r="Q804" t="s">
        <v>74</v>
      </c>
      <c r="R804" t="s">
        <v>74</v>
      </c>
      <c r="S804" t="s">
        <v>74</v>
      </c>
      <c r="T804" t="s">
        <v>14139</v>
      </c>
      <c r="U804" t="s">
        <v>14140</v>
      </c>
      <c r="V804" t="s">
        <v>14141</v>
      </c>
      <c r="W804" t="s">
        <v>14142</v>
      </c>
      <c r="X804" t="s">
        <v>14143</v>
      </c>
      <c r="Y804" t="s">
        <v>14144</v>
      </c>
      <c r="Z804" t="s">
        <v>14145</v>
      </c>
      <c r="AA804" t="s">
        <v>14146</v>
      </c>
      <c r="AB804" t="s">
        <v>14147</v>
      </c>
      <c r="AC804" t="s">
        <v>14148</v>
      </c>
      <c r="AD804" t="s">
        <v>14149</v>
      </c>
      <c r="AE804" t="s">
        <v>14150</v>
      </c>
      <c r="AF804" t="s">
        <v>74</v>
      </c>
      <c r="AG804">
        <v>67</v>
      </c>
      <c r="AH804">
        <v>36</v>
      </c>
      <c r="AI804">
        <v>39</v>
      </c>
      <c r="AJ804">
        <v>6</v>
      </c>
      <c r="AK804">
        <v>75</v>
      </c>
      <c r="AL804" t="s">
        <v>2878</v>
      </c>
      <c r="AM804" t="s">
        <v>14053</v>
      </c>
      <c r="AN804" t="s">
        <v>14054</v>
      </c>
      <c r="AO804" t="s">
        <v>14151</v>
      </c>
      <c r="AP804" t="s">
        <v>14152</v>
      </c>
      <c r="AQ804" t="s">
        <v>74</v>
      </c>
      <c r="AR804" t="s">
        <v>14153</v>
      </c>
      <c r="AS804" t="s">
        <v>14154</v>
      </c>
      <c r="AT804" t="s">
        <v>74</v>
      </c>
      <c r="AU804">
        <v>2009</v>
      </c>
      <c r="AV804">
        <v>6</v>
      </c>
      <c r="AW804">
        <v>1</v>
      </c>
      <c r="AX804" t="s">
        <v>74</v>
      </c>
      <c r="AY804" t="s">
        <v>74</v>
      </c>
      <c r="AZ804" t="s">
        <v>74</v>
      </c>
      <c r="BA804" t="s">
        <v>74</v>
      </c>
      <c r="BB804">
        <v>70</v>
      </c>
      <c r="BC804">
        <v>82</v>
      </c>
      <c r="BD804" t="s">
        <v>74</v>
      </c>
      <c r="BE804" t="s">
        <v>14155</v>
      </c>
      <c r="BF804" t="str">
        <f>HYPERLINK("http://dx.doi.org/10.1071/EN08072","http://dx.doi.org/10.1071/EN08072")</f>
        <v>http://dx.doi.org/10.1071/EN08072</v>
      </c>
      <c r="BG804" t="s">
        <v>74</v>
      </c>
      <c r="BH804" t="s">
        <v>74</v>
      </c>
      <c r="BI804">
        <v>13</v>
      </c>
      <c r="BJ804" t="s">
        <v>14156</v>
      </c>
      <c r="BK804" t="s">
        <v>100</v>
      </c>
      <c r="BL804" t="s">
        <v>14157</v>
      </c>
      <c r="BM804" t="s">
        <v>14158</v>
      </c>
      <c r="BN804" t="s">
        <v>74</v>
      </c>
      <c r="BO804" t="s">
        <v>74</v>
      </c>
      <c r="BP804" t="s">
        <v>74</v>
      </c>
      <c r="BQ804" t="s">
        <v>74</v>
      </c>
      <c r="BR804" t="s">
        <v>103</v>
      </c>
      <c r="BS804" t="s">
        <v>14159</v>
      </c>
      <c r="BT804" t="str">
        <f>HYPERLINK("https%3A%2F%2Fwww.webofscience.com%2Fwos%2Fwoscc%2Ffull-record%2FWOS:000263765200010","View Full Record in Web of Science")</f>
        <v>View Full Record in Web of Science</v>
      </c>
    </row>
    <row r="805" spans="1:72" x14ac:dyDescent="0.15">
      <c r="A805" t="s">
        <v>2434</v>
      </c>
      <c r="B805" t="s">
        <v>14160</v>
      </c>
      <c r="C805" t="s">
        <v>74</v>
      </c>
      <c r="D805" t="s">
        <v>14161</v>
      </c>
      <c r="E805" t="s">
        <v>74</v>
      </c>
      <c r="F805" t="s">
        <v>14162</v>
      </c>
      <c r="G805" t="s">
        <v>74</v>
      </c>
      <c r="H805" t="s">
        <v>74</v>
      </c>
      <c r="I805" t="s">
        <v>14163</v>
      </c>
      <c r="J805" t="s">
        <v>14164</v>
      </c>
      <c r="K805" t="s">
        <v>14165</v>
      </c>
      <c r="L805" t="s">
        <v>74</v>
      </c>
      <c r="M805" t="s">
        <v>78</v>
      </c>
      <c r="N805" t="s">
        <v>2440</v>
      </c>
      <c r="O805" t="s">
        <v>14166</v>
      </c>
      <c r="P805">
        <v>2008</v>
      </c>
      <c r="Q805" t="s">
        <v>10956</v>
      </c>
      <c r="R805" t="s">
        <v>74</v>
      </c>
      <c r="S805" t="s">
        <v>74</v>
      </c>
      <c r="T805" t="s">
        <v>74</v>
      </c>
      <c r="U805" t="s">
        <v>14167</v>
      </c>
      <c r="V805" t="s">
        <v>14168</v>
      </c>
      <c r="W805" t="s">
        <v>14169</v>
      </c>
      <c r="X805" t="s">
        <v>14170</v>
      </c>
      <c r="Y805" t="s">
        <v>14171</v>
      </c>
      <c r="Z805" t="s">
        <v>14172</v>
      </c>
      <c r="AA805" t="s">
        <v>14173</v>
      </c>
      <c r="AB805" t="s">
        <v>14174</v>
      </c>
      <c r="AC805" t="s">
        <v>74</v>
      </c>
      <c r="AD805" t="s">
        <v>74</v>
      </c>
      <c r="AE805" t="s">
        <v>74</v>
      </c>
      <c r="AF805" t="s">
        <v>74</v>
      </c>
      <c r="AG805">
        <v>12</v>
      </c>
      <c r="AH805">
        <v>8</v>
      </c>
      <c r="AI805">
        <v>8</v>
      </c>
      <c r="AJ805">
        <v>1</v>
      </c>
      <c r="AK805">
        <v>10</v>
      </c>
      <c r="AL805" t="s">
        <v>11102</v>
      </c>
      <c r="AM805" t="s">
        <v>11103</v>
      </c>
      <c r="AN805" t="s">
        <v>11104</v>
      </c>
      <c r="AO805" t="s">
        <v>14175</v>
      </c>
      <c r="AP805" t="s">
        <v>74</v>
      </c>
      <c r="AQ805" t="s">
        <v>14176</v>
      </c>
      <c r="AR805" t="s">
        <v>14177</v>
      </c>
      <c r="AS805" t="s">
        <v>74</v>
      </c>
      <c r="AT805" t="s">
        <v>74</v>
      </c>
      <c r="AU805">
        <v>2009</v>
      </c>
      <c r="AV805">
        <v>1</v>
      </c>
      <c r="AW805" t="s">
        <v>74</v>
      </c>
      <c r="AX805" t="s">
        <v>74</v>
      </c>
      <c r="AY805" t="s">
        <v>74</v>
      </c>
      <c r="AZ805" t="s">
        <v>74</v>
      </c>
      <c r="BA805" t="s">
        <v>74</v>
      </c>
      <c r="BB805">
        <v>113</v>
      </c>
      <c r="BC805">
        <v>136</v>
      </c>
      <c r="BD805" t="s">
        <v>74</v>
      </c>
      <c r="BE805" t="s">
        <v>14178</v>
      </c>
      <c r="BF805" t="str">
        <f>HYPERLINK("http://dx.doi.org/10.1140/epjconf/e2009-00914-y","http://dx.doi.org/10.1140/epjconf/e2009-00914-y")</f>
        <v>http://dx.doi.org/10.1140/epjconf/e2009-00914-y</v>
      </c>
      <c r="BG805" t="s">
        <v>74</v>
      </c>
      <c r="BH805" t="s">
        <v>74</v>
      </c>
      <c r="BI805">
        <v>24</v>
      </c>
      <c r="BJ805" t="s">
        <v>398</v>
      </c>
      <c r="BK805" t="s">
        <v>2457</v>
      </c>
      <c r="BL805" t="s">
        <v>398</v>
      </c>
      <c r="BM805" t="s">
        <v>14179</v>
      </c>
      <c r="BN805" t="s">
        <v>74</v>
      </c>
      <c r="BO805" t="s">
        <v>450</v>
      </c>
      <c r="BP805" t="s">
        <v>74</v>
      </c>
      <c r="BQ805" t="s">
        <v>74</v>
      </c>
      <c r="BR805" t="s">
        <v>103</v>
      </c>
      <c r="BS805" t="s">
        <v>14180</v>
      </c>
      <c r="BT805" t="str">
        <f>HYPERLINK("https%3A%2F%2Fwww.webofscience.com%2Fwos%2Fwoscc%2Ffull-record%2FWOS:000268062600009","View Full Record in Web of Science")</f>
        <v>View Full Record in Web of Science</v>
      </c>
    </row>
    <row r="806" spans="1:72" x14ac:dyDescent="0.15">
      <c r="A806" t="s">
        <v>72</v>
      </c>
      <c r="B806" t="s">
        <v>14181</v>
      </c>
      <c r="C806" t="s">
        <v>74</v>
      </c>
      <c r="D806" t="s">
        <v>74</v>
      </c>
      <c r="E806" t="s">
        <v>74</v>
      </c>
      <c r="F806" t="s">
        <v>14182</v>
      </c>
      <c r="G806" t="s">
        <v>74</v>
      </c>
      <c r="H806" t="s">
        <v>74</v>
      </c>
      <c r="I806" t="s">
        <v>14183</v>
      </c>
      <c r="J806" t="s">
        <v>2910</v>
      </c>
      <c r="K806" t="s">
        <v>74</v>
      </c>
      <c r="L806" t="s">
        <v>74</v>
      </c>
      <c r="M806" t="s">
        <v>78</v>
      </c>
      <c r="N806" t="s">
        <v>79</v>
      </c>
      <c r="O806" t="s">
        <v>74</v>
      </c>
      <c r="P806" t="s">
        <v>74</v>
      </c>
      <c r="Q806" t="s">
        <v>74</v>
      </c>
      <c r="R806" t="s">
        <v>74</v>
      </c>
      <c r="S806" t="s">
        <v>74</v>
      </c>
      <c r="T806" t="s">
        <v>14184</v>
      </c>
      <c r="U806" t="s">
        <v>14185</v>
      </c>
      <c r="V806" t="s">
        <v>14186</v>
      </c>
      <c r="W806" t="s">
        <v>14187</v>
      </c>
      <c r="X806" t="s">
        <v>14188</v>
      </c>
      <c r="Y806" t="s">
        <v>14189</v>
      </c>
      <c r="Z806" t="s">
        <v>14190</v>
      </c>
      <c r="AA806" t="s">
        <v>14191</v>
      </c>
      <c r="AB806" t="s">
        <v>14192</v>
      </c>
      <c r="AC806" t="s">
        <v>14193</v>
      </c>
      <c r="AD806" t="s">
        <v>14194</v>
      </c>
      <c r="AE806" t="s">
        <v>14195</v>
      </c>
      <c r="AF806" t="s">
        <v>74</v>
      </c>
      <c r="AG806">
        <v>44</v>
      </c>
      <c r="AH806">
        <v>66</v>
      </c>
      <c r="AI806">
        <v>78</v>
      </c>
      <c r="AJ806">
        <v>6</v>
      </c>
      <c r="AK806">
        <v>38</v>
      </c>
      <c r="AL806" t="s">
        <v>2923</v>
      </c>
      <c r="AM806" t="s">
        <v>2924</v>
      </c>
      <c r="AN806" t="s">
        <v>2925</v>
      </c>
      <c r="AO806" t="s">
        <v>2926</v>
      </c>
      <c r="AP806" t="s">
        <v>2927</v>
      </c>
      <c r="AQ806" t="s">
        <v>74</v>
      </c>
      <c r="AR806" t="s">
        <v>2928</v>
      </c>
      <c r="AS806" t="s">
        <v>2929</v>
      </c>
      <c r="AT806" t="s">
        <v>11455</v>
      </c>
      <c r="AU806">
        <v>2009</v>
      </c>
      <c r="AV806">
        <v>81</v>
      </c>
      <c r="AW806">
        <v>1</v>
      </c>
      <c r="AX806" t="s">
        <v>74</v>
      </c>
      <c r="AY806" t="s">
        <v>74</v>
      </c>
      <c r="AZ806" t="s">
        <v>74</v>
      </c>
      <c r="BA806" t="s">
        <v>74</v>
      </c>
      <c r="BB806">
        <v>114</v>
      </c>
      <c r="BC806">
        <v>122</v>
      </c>
      <c r="BD806" t="s">
        <v>74</v>
      </c>
      <c r="BE806" t="s">
        <v>14196</v>
      </c>
      <c r="BF806" t="str">
        <f>HYPERLINK("http://dx.doi.org/10.1016/j.ecss.2008.10.004","http://dx.doi.org/10.1016/j.ecss.2008.10.004")</f>
        <v>http://dx.doi.org/10.1016/j.ecss.2008.10.004</v>
      </c>
      <c r="BG806" t="s">
        <v>74</v>
      </c>
      <c r="BH806" t="s">
        <v>74</v>
      </c>
      <c r="BI806">
        <v>9</v>
      </c>
      <c r="BJ806" t="s">
        <v>2107</v>
      </c>
      <c r="BK806" t="s">
        <v>100</v>
      </c>
      <c r="BL806" t="s">
        <v>2107</v>
      </c>
      <c r="BM806" t="s">
        <v>14197</v>
      </c>
      <c r="BN806" t="s">
        <v>74</v>
      </c>
      <c r="BO806" t="s">
        <v>1106</v>
      </c>
      <c r="BP806" t="s">
        <v>74</v>
      </c>
      <c r="BQ806" t="s">
        <v>74</v>
      </c>
      <c r="BR806" t="s">
        <v>103</v>
      </c>
      <c r="BS806" t="s">
        <v>14198</v>
      </c>
      <c r="BT806" t="str">
        <f>HYPERLINK("https%3A%2F%2Fwww.webofscience.com%2Fwos%2Fwoscc%2Ffull-record%2FWOS:000262565600014","View Full Record in Web of Science")</f>
        <v>View Full Record in Web of Science</v>
      </c>
    </row>
    <row r="807" spans="1:72" x14ac:dyDescent="0.15">
      <c r="A807" t="s">
        <v>72</v>
      </c>
      <c r="B807" t="s">
        <v>14199</v>
      </c>
      <c r="C807" t="s">
        <v>74</v>
      </c>
      <c r="D807" t="s">
        <v>74</v>
      </c>
      <c r="E807" t="s">
        <v>74</v>
      </c>
      <c r="F807" t="s">
        <v>14200</v>
      </c>
      <c r="G807" t="s">
        <v>74</v>
      </c>
      <c r="H807" t="s">
        <v>74</v>
      </c>
      <c r="I807" t="s">
        <v>14201</v>
      </c>
      <c r="J807" t="s">
        <v>14202</v>
      </c>
      <c r="K807" t="s">
        <v>74</v>
      </c>
      <c r="L807" t="s">
        <v>74</v>
      </c>
      <c r="M807" t="s">
        <v>78</v>
      </c>
      <c r="N807" t="s">
        <v>79</v>
      </c>
      <c r="O807" t="s">
        <v>74</v>
      </c>
      <c r="P807" t="s">
        <v>74</v>
      </c>
      <c r="Q807" t="s">
        <v>74</v>
      </c>
      <c r="R807" t="s">
        <v>74</v>
      </c>
      <c r="S807" t="s">
        <v>74</v>
      </c>
      <c r="T807" t="s">
        <v>14203</v>
      </c>
      <c r="U807" t="s">
        <v>14204</v>
      </c>
      <c r="V807" t="s">
        <v>14205</v>
      </c>
      <c r="W807" t="s">
        <v>14206</v>
      </c>
      <c r="X807" t="s">
        <v>14207</v>
      </c>
      <c r="Y807" t="s">
        <v>14208</v>
      </c>
      <c r="Z807" t="s">
        <v>14209</v>
      </c>
      <c r="AA807" t="s">
        <v>14210</v>
      </c>
      <c r="AB807" t="s">
        <v>14211</v>
      </c>
      <c r="AC807" t="s">
        <v>14212</v>
      </c>
      <c r="AD807" t="s">
        <v>14213</v>
      </c>
      <c r="AE807" t="s">
        <v>14214</v>
      </c>
      <c r="AF807" t="s">
        <v>74</v>
      </c>
      <c r="AG807">
        <v>29</v>
      </c>
      <c r="AH807">
        <v>18</v>
      </c>
      <c r="AI807">
        <v>23</v>
      </c>
      <c r="AJ807">
        <v>1</v>
      </c>
      <c r="AK807">
        <v>17</v>
      </c>
      <c r="AL807" t="s">
        <v>14215</v>
      </c>
      <c r="AM807" t="s">
        <v>14216</v>
      </c>
      <c r="AN807" t="s">
        <v>14217</v>
      </c>
      <c r="AO807" t="s">
        <v>74</v>
      </c>
      <c r="AP807" t="s">
        <v>14218</v>
      </c>
      <c r="AQ807" t="s">
        <v>74</v>
      </c>
      <c r="AR807" t="s">
        <v>14219</v>
      </c>
      <c r="AS807" t="s">
        <v>14220</v>
      </c>
      <c r="AT807" t="s">
        <v>74</v>
      </c>
      <c r="AU807">
        <v>2009</v>
      </c>
      <c r="AV807">
        <v>106</v>
      </c>
      <c r="AW807">
        <v>3</v>
      </c>
      <c r="AX807" t="s">
        <v>74</v>
      </c>
      <c r="AY807" t="s">
        <v>74</v>
      </c>
      <c r="AZ807" t="s">
        <v>74</v>
      </c>
      <c r="BA807" t="s">
        <v>74</v>
      </c>
      <c r="BB807">
        <v>451</v>
      </c>
      <c r="BC807">
        <v>454</v>
      </c>
      <c r="BD807" t="s">
        <v>74</v>
      </c>
      <c r="BE807" t="s">
        <v>14221</v>
      </c>
      <c r="BF807" t="str">
        <f>HYPERLINK("http://dx.doi.org/10.14411/eje.2009.056","http://dx.doi.org/10.14411/eje.2009.056")</f>
        <v>http://dx.doi.org/10.14411/eje.2009.056</v>
      </c>
      <c r="BG807" t="s">
        <v>74</v>
      </c>
      <c r="BH807" t="s">
        <v>74</v>
      </c>
      <c r="BI807">
        <v>4</v>
      </c>
      <c r="BJ807" t="s">
        <v>6851</v>
      </c>
      <c r="BK807" t="s">
        <v>100</v>
      </c>
      <c r="BL807" t="s">
        <v>6851</v>
      </c>
      <c r="BM807" t="s">
        <v>14222</v>
      </c>
      <c r="BN807" t="s">
        <v>74</v>
      </c>
      <c r="BO807" t="s">
        <v>14223</v>
      </c>
      <c r="BP807" t="s">
        <v>74</v>
      </c>
      <c r="BQ807" t="s">
        <v>74</v>
      </c>
      <c r="BR807" t="s">
        <v>103</v>
      </c>
      <c r="BS807" t="s">
        <v>14224</v>
      </c>
      <c r="BT807" t="str">
        <f>HYPERLINK("https%3A%2F%2Fwww.webofscience.com%2Fwos%2Fwoscc%2Ffull-record%2FWOS:000268225200015","View Full Record in Web of Science")</f>
        <v>View Full Record in Web of Science</v>
      </c>
    </row>
    <row r="808" spans="1:72" x14ac:dyDescent="0.15">
      <c r="A808" t="s">
        <v>72</v>
      </c>
      <c r="B808" t="s">
        <v>14225</v>
      </c>
      <c r="C808" t="s">
        <v>74</v>
      </c>
      <c r="D808" t="s">
        <v>74</v>
      </c>
      <c r="E808" t="s">
        <v>74</v>
      </c>
      <c r="F808" t="s">
        <v>14226</v>
      </c>
      <c r="G808" t="s">
        <v>74</v>
      </c>
      <c r="H808" t="s">
        <v>74</v>
      </c>
      <c r="I808" t="s">
        <v>14227</v>
      </c>
      <c r="J808" t="s">
        <v>14228</v>
      </c>
      <c r="K808" t="s">
        <v>74</v>
      </c>
      <c r="L808" t="s">
        <v>74</v>
      </c>
      <c r="M808" t="s">
        <v>78</v>
      </c>
      <c r="N808" t="s">
        <v>79</v>
      </c>
      <c r="O808" t="s">
        <v>74</v>
      </c>
      <c r="P808" t="s">
        <v>74</v>
      </c>
      <c r="Q808" t="s">
        <v>74</v>
      </c>
      <c r="R808" t="s">
        <v>74</v>
      </c>
      <c r="S808" t="s">
        <v>74</v>
      </c>
      <c r="T808" t="s">
        <v>14229</v>
      </c>
      <c r="U808" t="s">
        <v>14230</v>
      </c>
      <c r="V808" t="s">
        <v>14231</v>
      </c>
      <c r="W808" t="s">
        <v>14232</v>
      </c>
      <c r="X808" t="s">
        <v>14233</v>
      </c>
      <c r="Y808" t="s">
        <v>14234</v>
      </c>
      <c r="Z808" t="s">
        <v>14235</v>
      </c>
      <c r="AA808" t="s">
        <v>74</v>
      </c>
      <c r="AB808" t="s">
        <v>14236</v>
      </c>
      <c r="AC808" t="s">
        <v>74</v>
      </c>
      <c r="AD808" t="s">
        <v>74</v>
      </c>
      <c r="AE808" t="s">
        <v>74</v>
      </c>
      <c r="AF808" t="s">
        <v>74</v>
      </c>
      <c r="AG808">
        <v>31</v>
      </c>
      <c r="AH808">
        <v>4</v>
      </c>
      <c r="AI808">
        <v>4</v>
      </c>
      <c r="AJ808">
        <v>0</v>
      </c>
      <c r="AK808">
        <v>7</v>
      </c>
      <c r="AL808" t="s">
        <v>1167</v>
      </c>
      <c r="AM808" t="s">
        <v>1168</v>
      </c>
      <c r="AN808" t="s">
        <v>1169</v>
      </c>
      <c r="AO808" t="s">
        <v>14237</v>
      </c>
      <c r="AP808" t="s">
        <v>14238</v>
      </c>
      <c r="AQ808" t="s">
        <v>74</v>
      </c>
      <c r="AR808" t="s">
        <v>14239</v>
      </c>
      <c r="AS808" t="s">
        <v>14240</v>
      </c>
      <c r="AT808" t="s">
        <v>74</v>
      </c>
      <c r="AU808">
        <v>2009</v>
      </c>
      <c r="AV808">
        <v>44</v>
      </c>
      <c r="AW808">
        <v>2</v>
      </c>
      <c r="AX808" t="s">
        <v>74</v>
      </c>
      <c r="AY808" t="s">
        <v>74</v>
      </c>
      <c r="AZ808" t="s">
        <v>74</v>
      </c>
      <c r="BA808" t="s">
        <v>74</v>
      </c>
      <c r="BB808">
        <v>263</v>
      </c>
      <c r="BC808">
        <v>275</v>
      </c>
      <c r="BD808" t="s">
        <v>14241</v>
      </c>
      <c r="BE808" t="s">
        <v>14242</v>
      </c>
      <c r="BF808" t="str">
        <f>HYPERLINK("http://dx.doi.org/10.1080/09670260802636274","http://dx.doi.org/10.1080/09670260802636274")</f>
        <v>http://dx.doi.org/10.1080/09670260802636274</v>
      </c>
      <c r="BG808" t="s">
        <v>74</v>
      </c>
      <c r="BH808" t="s">
        <v>74</v>
      </c>
      <c r="BI808">
        <v>13</v>
      </c>
      <c r="BJ808" t="s">
        <v>9724</v>
      </c>
      <c r="BK808" t="s">
        <v>100</v>
      </c>
      <c r="BL808" t="s">
        <v>9724</v>
      </c>
      <c r="BM808" t="s">
        <v>14243</v>
      </c>
      <c r="BN808" t="s">
        <v>74</v>
      </c>
      <c r="BO808" t="s">
        <v>74</v>
      </c>
      <c r="BP808" t="s">
        <v>74</v>
      </c>
      <c r="BQ808" t="s">
        <v>74</v>
      </c>
      <c r="BR808" t="s">
        <v>103</v>
      </c>
      <c r="BS808" t="s">
        <v>14244</v>
      </c>
      <c r="BT808" t="str">
        <f>HYPERLINK("https%3A%2F%2Fwww.webofscience.com%2Fwos%2Fwoscc%2Ffull-record%2FWOS:000265976200013","View Full Record in Web of Science")</f>
        <v>View Full Record in Web of Science</v>
      </c>
    </row>
    <row r="809" spans="1:72" x14ac:dyDescent="0.15">
      <c r="A809" t="s">
        <v>72</v>
      </c>
      <c r="B809" t="s">
        <v>14245</v>
      </c>
      <c r="C809" t="s">
        <v>74</v>
      </c>
      <c r="D809" t="s">
        <v>74</v>
      </c>
      <c r="E809" t="s">
        <v>74</v>
      </c>
      <c r="F809" t="s">
        <v>14246</v>
      </c>
      <c r="G809" t="s">
        <v>74</v>
      </c>
      <c r="H809" t="s">
        <v>74</v>
      </c>
      <c r="I809" t="s">
        <v>14247</v>
      </c>
      <c r="J809" t="s">
        <v>14228</v>
      </c>
      <c r="K809" t="s">
        <v>74</v>
      </c>
      <c r="L809" t="s">
        <v>74</v>
      </c>
      <c r="M809" t="s">
        <v>78</v>
      </c>
      <c r="N809" t="s">
        <v>79</v>
      </c>
      <c r="O809" t="s">
        <v>74</v>
      </c>
      <c r="P809" t="s">
        <v>74</v>
      </c>
      <c r="Q809" t="s">
        <v>74</v>
      </c>
      <c r="R809" t="s">
        <v>74</v>
      </c>
      <c r="S809" t="s">
        <v>74</v>
      </c>
      <c r="T809" t="s">
        <v>14248</v>
      </c>
      <c r="U809" t="s">
        <v>14249</v>
      </c>
      <c r="V809" t="s">
        <v>14250</v>
      </c>
      <c r="W809" t="s">
        <v>14251</v>
      </c>
      <c r="X809" t="s">
        <v>14252</v>
      </c>
      <c r="Y809" t="s">
        <v>14253</v>
      </c>
      <c r="Z809" t="s">
        <v>14254</v>
      </c>
      <c r="AA809" t="s">
        <v>10826</v>
      </c>
      <c r="AB809" t="s">
        <v>14255</v>
      </c>
      <c r="AC809" t="s">
        <v>14256</v>
      </c>
      <c r="AD809" t="s">
        <v>14257</v>
      </c>
      <c r="AE809" t="s">
        <v>14258</v>
      </c>
      <c r="AF809" t="s">
        <v>74</v>
      </c>
      <c r="AG809">
        <v>52</v>
      </c>
      <c r="AH809">
        <v>18</v>
      </c>
      <c r="AI809">
        <v>18</v>
      </c>
      <c r="AJ809">
        <v>2</v>
      </c>
      <c r="AK809">
        <v>25</v>
      </c>
      <c r="AL809" t="s">
        <v>1167</v>
      </c>
      <c r="AM809" t="s">
        <v>1168</v>
      </c>
      <c r="AN809" t="s">
        <v>1169</v>
      </c>
      <c r="AO809" t="s">
        <v>14237</v>
      </c>
      <c r="AP809" t="s">
        <v>14238</v>
      </c>
      <c r="AQ809" t="s">
        <v>74</v>
      </c>
      <c r="AR809" t="s">
        <v>14239</v>
      </c>
      <c r="AS809" t="s">
        <v>14240</v>
      </c>
      <c r="AT809" t="s">
        <v>74</v>
      </c>
      <c r="AU809">
        <v>2009</v>
      </c>
      <c r="AV809">
        <v>44</v>
      </c>
      <c r="AW809">
        <v>4</v>
      </c>
      <c r="AX809" t="s">
        <v>74</v>
      </c>
      <c r="AY809" t="s">
        <v>74</v>
      </c>
      <c r="AZ809" t="s">
        <v>74</v>
      </c>
      <c r="BA809" t="s">
        <v>74</v>
      </c>
      <c r="BB809">
        <v>515</v>
      </c>
      <c r="BC809">
        <v>524</v>
      </c>
      <c r="BD809" t="s">
        <v>74</v>
      </c>
      <c r="BE809" t="s">
        <v>14259</v>
      </c>
      <c r="BF809" t="str">
        <f>HYPERLINK("http://dx.doi.org/10.1080/09670260902971894","http://dx.doi.org/10.1080/09670260902971894")</f>
        <v>http://dx.doi.org/10.1080/09670260902971894</v>
      </c>
      <c r="BG809" t="s">
        <v>74</v>
      </c>
      <c r="BH809" t="s">
        <v>74</v>
      </c>
      <c r="BI809">
        <v>10</v>
      </c>
      <c r="BJ809" t="s">
        <v>9724</v>
      </c>
      <c r="BK809" t="s">
        <v>100</v>
      </c>
      <c r="BL809" t="s">
        <v>9724</v>
      </c>
      <c r="BM809" t="s">
        <v>14260</v>
      </c>
      <c r="BN809" t="s">
        <v>74</v>
      </c>
      <c r="BO809" t="s">
        <v>1353</v>
      </c>
      <c r="BP809" t="s">
        <v>74</v>
      </c>
      <c r="BQ809" t="s">
        <v>74</v>
      </c>
      <c r="BR809" t="s">
        <v>103</v>
      </c>
      <c r="BS809" t="s">
        <v>14261</v>
      </c>
      <c r="BT809" t="str">
        <f>HYPERLINK("https%3A%2F%2Fwww.webofscience.com%2Fwos%2Fwoscc%2Ffull-record%2FWOS:000273753200007","View Full Record in Web of Science")</f>
        <v>View Full Record in Web of Science</v>
      </c>
    </row>
    <row r="810" spans="1:72" x14ac:dyDescent="0.15">
      <c r="A810" t="s">
        <v>72</v>
      </c>
      <c r="B810" t="s">
        <v>14262</v>
      </c>
      <c r="C810" t="s">
        <v>74</v>
      </c>
      <c r="D810" t="s">
        <v>74</v>
      </c>
      <c r="E810" t="s">
        <v>74</v>
      </c>
      <c r="F810" t="s">
        <v>14263</v>
      </c>
      <c r="G810" t="s">
        <v>74</v>
      </c>
      <c r="H810" t="s">
        <v>74</v>
      </c>
      <c r="I810" t="s">
        <v>14264</v>
      </c>
      <c r="J810" t="s">
        <v>14228</v>
      </c>
      <c r="K810" t="s">
        <v>74</v>
      </c>
      <c r="L810" t="s">
        <v>74</v>
      </c>
      <c r="M810" t="s">
        <v>78</v>
      </c>
      <c r="N810" t="s">
        <v>79</v>
      </c>
      <c r="O810" t="s">
        <v>74</v>
      </c>
      <c r="P810" t="s">
        <v>74</v>
      </c>
      <c r="Q810" t="s">
        <v>74</v>
      </c>
      <c r="R810" t="s">
        <v>74</v>
      </c>
      <c r="S810" t="s">
        <v>74</v>
      </c>
      <c r="T810" t="s">
        <v>14265</v>
      </c>
      <c r="U810" t="s">
        <v>14266</v>
      </c>
      <c r="V810" t="s">
        <v>14267</v>
      </c>
      <c r="W810" t="s">
        <v>14268</v>
      </c>
      <c r="X810" t="s">
        <v>10823</v>
      </c>
      <c r="Y810" t="s">
        <v>14269</v>
      </c>
      <c r="Z810" t="s">
        <v>14270</v>
      </c>
      <c r="AA810" t="s">
        <v>10826</v>
      </c>
      <c r="AB810" t="s">
        <v>10827</v>
      </c>
      <c r="AC810" t="s">
        <v>74</v>
      </c>
      <c r="AD810" t="s">
        <v>74</v>
      </c>
      <c r="AE810" t="s">
        <v>74</v>
      </c>
      <c r="AF810" t="s">
        <v>74</v>
      </c>
      <c r="AG810">
        <v>90</v>
      </c>
      <c r="AH810">
        <v>40</v>
      </c>
      <c r="AI810">
        <v>43</v>
      </c>
      <c r="AJ810">
        <v>1</v>
      </c>
      <c r="AK810">
        <v>25</v>
      </c>
      <c r="AL810" t="s">
        <v>1167</v>
      </c>
      <c r="AM810" t="s">
        <v>1168</v>
      </c>
      <c r="AN810" t="s">
        <v>1169</v>
      </c>
      <c r="AO810" t="s">
        <v>14237</v>
      </c>
      <c r="AP810" t="s">
        <v>14238</v>
      </c>
      <c r="AQ810" t="s">
        <v>74</v>
      </c>
      <c r="AR810" t="s">
        <v>14239</v>
      </c>
      <c r="AS810" t="s">
        <v>14240</v>
      </c>
      <c r="AT810" t="s">
        <v>74</v>
      </c>
      <c r="AU810">
        <v>2009</v>
      </c>
      <c r="AV810">
        <v>44</v>
      </c>
      <c r="AW810">
        <v>4</v>
      </c>
      <c r="AX810" t="s">
        <v>74</v>
      </c>
      <c r="AY810" t="s">
        <v>74</v>
      </c>
      <c r="AZ810" t="s">
        <v>74</v>
      </c>
      <c r="BA810" t="s">
        <v>74</v>
      </c>
      <c r="BB810">
        <v>525</v>
      </c>
      <c r="BC810">
        <v>539</v>
      </c>
      <c r="BD810" t="s">
        <v>74</v>
      </c>
      <c r="BE810" t="s">
        <v>14271</v>
      </c>
      <c r="BF810" t="str">
        <f>HYPERLINK("http://dx.doi.org/10.1080/09670260902943273","http://dx.doi.org/10.1080/09670260902943273")</f>
        <v>http://dx.doi.org/10.1080/09670260902943273</v>
      </c>
      <c r="BG810" t="s">
        <v>74</v>
      </c>
      <c r="BH810" t="s">
        <v>74</v>
      </c>
      <c r="BI810">
        <v>15</v>
      </c>
      <c r="BJ810" t="s">
        <v>9724</v>
      </c>
      <c r="BK810" t="s">
        <v>100</v>
      </c>
      <c r="BL810" t="s">
        <v>9724</v>
      </c>
      <c r="BM810" t="s">
        <v>14260</v>
      </c>
      <c r="BN810" t="s">
        <v>74</v>
      </c>
      <c r="BO810" t="s">
        <v>74</v>
      </c>
      <c r="BP810" t="s">
        <v>74</v>
      </c>
      <c r="BQ810" t="s">
        <v>74</v>
      </c>
      <c r="BR810" t="s">
        <v>103</v>
      </c>
      <c r="BS810" t="s">
        <v>14272</v>
      </c>
      <c r="BT810" t="str">
        <f>HYPERLINK("https%3A%2F%2Fwww.webofscience.com%2Fwos%2Fwoscc%2Ffull-record%2FWOS:000273753200008","View Full Record in Web of Science")</f>
        <v>View Full Record in Web of Science</v>
      </c>
    </row>
    <row r="811" spans="1:72" x14ac:dyDescent="0.15">
      <c r="A811" t="s">
        <v>2434</v>
      </c>
      <c r="B811" t="s">
        <v>14273</v>
      </c>
      <c r="C811" t="s">
        <v>74</v>
      </c>
      <c r="D811" t="s">
        <v>14274</v>
      </c>
      <c r="E811" t="s">
        <v>74</v>
      </c>
      <c r="F811" t="s">
        <v>14275</v>
      </c>
      <c r="G811" t="s">
        <v>74</v>
      </c>
      <c r="H811" t="s">
        <v>74</v>
      </c>
      <c r="I811" t="s">
        <v>14276</v>
      </c>
      <c r="J811" t="s">
        <v>14277</v>
      </c>
      <c r="K811" t="s">
        <v>13860</v>
      </c>
      <c r="L811" t="s">
        <v>74</v>
      </c>
      <c r="M811" t="s">
        <v>78</v>
      </c>
      <c r="N811" t="s">
        <v>2440</v>
      </c>
      <c r="O811" t="s">
        <v>14278</v>
      </c>
      <c r="P811" t="s">
        <v>14279</v>
      </c>
      <c r="Q811" t="s">
        <v>14280</v>
      </c>
      <c r="R811" t="s">
        <v>74</v>
      </c>
      <c r="S811" t="s">
        <v>74</v>
      </c>
      <c r="T811" t="s">
        <v>14281</v>
      </c>
      <c r="U811" t="s">
        <v>14282</v>
      </c>
      <c r="V811" t="s">
        <v>14283</v>
      </c>
      <c r="W811" t="s">
        <v>14284</v>
      </c>
      <c r="X811" t="s">
        <v>11270</v>
      </c>
      <c r="Y811" t="s">
        <v>14285</v>
      </c>
      <c r="Z811" t="s">
        <v>14286</v>
      </c>
      <c r="AA811" t="s">
        <v>74</v>
      </c>
      <c r="AB811" t="s">
        <v>74</v>
      </c>
      <c r="AC811" t="s">
        <v>74</v>
      </c>
      <c r="AD811" t="s">
        <v>74</v>
      </c>
      <c r="AE811" t="s">
        <v>74</v>
      </c>
      <c r="AF811" t="s">
        <v>74</v>
      </c>
      <c r="AG811">
        <v>17</v>
      </c>
      <c r="AH811">
        <v>0</v>
      </c>
      <c r="AI811">
        <v>0</v>
      </c>
      <c r="AJ811">
        <v>0</v>
      </c>
      <c r="AK811">
        <v>0</v>
      </c>
      <c r="AL811" t="s">
        <v>347</v>
      </c>
      <c r="AM811" t="s">
        <v>348</v>
      </c>
      <c r="AN811" t="s">
        <v>13871</v>
      </c>
      <c r="AO811" t="s">
        <v>13872</v>
      </c>
      <c r="AP811" t="s">
        <v>74</v>
      </c>
      <c r="AQ811" t="s">
        <v>14287</v>
      </c>
      <c r="AR811" t="s">
        <v>13874</v>
      </c>
      <c r="AS811" t="s">
        <v>74</v>
      </c>
      <c r="AT811" t="s">
        <v>74</v>
      </c>
      <c r="AU811">
        <v>2009</v>
      </c>
      <c r="AV811">
        <v>1158</v>
      </c>
      <c r="AW811" t="s">
        <v>74</v>
      </c>
      <c r="AX811" t="s">
        <v>74</v>
      </c>
      <c r="AY811" t="s">
        <v>74</v>
      </c>
      <c r="AZ811" t="s">
        <v>74</v>
      </c>
      <c r="BA811" t="s">
        <v>74</v>
      </c>
      <c r="BB811">
        <v>325</v>
      </c>
      <c r="BC811">
        <v>328</v>
      </c>
      <c r="BD811" t="s">
        <v>74</v>
      </c>
      <c r="BE811" t="s">
        <v>74</v>
      </c>
      <c r="BF811" t="s">
        <v>74</v>
      </c>
      <c r="BG811" t="s">
        <v>74</v>
      </c>
      <c r="BH811" t="s">
        <v>74</v>
      </c>
      <c r="BI811">
        <v>4</v>
      </c>
      <c r="BJ811" t="s">
        <v>285</v>
      </c>
      <c r="BK811" t="s">
        <v>2457</v>
      </c>
      <c r="BL811" t="s">
        <v>285</v>
      </c>
      <c r="BM811" t="s">
        <v>14288</v>
      </c>
      <c r="BN811" t="s">
        <v>74</v>
      </c>
      <c r="BO811" t="s">
        <v>74</v>
      </c>
      <c r="BP811" t="s">
        <v>74</v>
      </c>
      <c r="BQ811" t="s">
        <v>74</v>
      </c>
      <c r="BR811" t="s">
        <v>103</v>
      </c>
      <c r="BS811" t="s">
        <v>14289</v>
      </c>
      <c r="BT811" t="str">
        <f>HYPERLINK("https%3A%2F%2Fwww.webofscience.com%2Fwos%2Fwoscc%2Ffull-record%2FWOS:000271801800087","View Full Record in Web of Science")</f>
        <v>View Full Record in Web of Science</v>
      </c>
    </row>
    <row r="812" spans="1:72" x14ac:dyDescent="0.15">
      <c r="A812" t="s">
        <v>72</v>
      </c>
      <c r="B812" t="s">
        <v>14290</v>
      </c>
      <c r="C812" t="s">
        <v>74</v>
      </c>
      <c r="D812" t="s">
        <v>74</v>
      </c>
      <c r="E812" t="s">
        <v>74</v>
      </c>
      <c r="F812" t="s">
        <v>14291</v>
      </c>
      <c r="G812" t="s">
        <v>74</v>
      </c>
      <c r="H812" t="s">
        <v>74</v>
      </c>
      <c r="I812" t="s">
        <v>14292</v>
      </c>
      <c r="J812" t="s">
        <v>6467</v>
      </c>
      <c r="K812" t="s">
        <v>74</v>
      </c>
      <c r="L812" t="s">
        <v>74</v>
      </c>
      <c r="M812" t="s">
        <v>78</v>
      </c>
      <c r="N812" t="s">
        <v>79</v>
      </c>
      <c r="O812" t="s">
        <v>74</v>
      </c>
      <c r="P812" t="s">
        <v>74</v>
      </c>
      <c r="Q812" t="s">
        <v>74</v>
      </c>
      <c r="R812" t="s">
        <v>74</v>
      </c>
      <c r="S812" t="s">
        <v>74</v>
      </c>
      <c r="T812" t="s">
        <v>14293</v>
      </c>
      <c r="U812" t="s">
        <v>14294</v>
      </c>
      <c r="V812" t="s">
        <v>14295</v>
      </c>
      <c r="W812" t="s">
        <v>14296</v>
      </c>
      <c r="X812" t="s">
        <v>14297</v>
      </c>
      <c r="Y812" t="s">
        <v>14298</v>
      </c>
      <c r="Z812" t="s">
        <v>14299</v>
      </c>
      <c r="AA812" t="s">
        <v>74</v>
      </c>
      <c r="AB812" t="s">
        <v>14300</v>
      </c>
      <c r="AC812" t="s">
        <v>14301</v>
      </c>
      <c r="AD812" t="s">
        <v>14302</v>
      </c>
      <c r="AE812" t="s">
        <v>14303</v>
      </c>
      <c r="AF812" t="s">
        <v>74</v>
      </c>
      <c r="AG812">
        <v>35</v>
      </c>
      <c r="AH812">
        <v>100</v>
      </c>
      <c r="AI812">
        <v>103</v>
      </c>
      <c r="AJ812">
        <v>1</v>
      </c>
      <c r="AK812">
        <v>29</v>
      </c>
      <c r="AL812" t="s">
        <v>6479</v>
      </c>
      <c r="AM812" t="s">
        <v>1975</v>
      </c>
      <c r="AN812" t="s">
        <v>6503</v>
      </c>
      <c r="AO812" t="s">
        <v>6481</v>
      </c>
      <c r="AP812" t="s">
        <v>6482</v>
      </c>
      <c r="AQ812" t="s">
        <v>74</v>
      </c>
      <c r="AR812" t="s">
        <v>6467</v>
      </c>
      <c r="AS812" t="s">
        <v>6483</v>
      </c>
      <c r="AT812" t="s">
        <v>11480</v>
      </c>
      <c r="AU812">
        <v>2009</v>
      </c>
      <c r="AV812">
        <v>13</v>
      </c>
      <c r="AW812">
        <v>1</v>
      </c>
      <c r="AX812" t="s">
        <v>74</v>
      </c>
      <c r="AY812" t="s">
        <v>74</v>
      </c>
      <c r="AZ812" t="s">
        <v>74</v>
      </c>
      <c r="BA812" t="s">
        <v>74</v>
      </c>
      <c r="BB812">
        <v>59</v>
      </c>
      <c r="BC812">
        <v>66</v>
      </c>
      <c r="BD812" t="s">
        <v>74</v>
      </c>
      <c r="BE812" t="s">
        <v>14304</v>
      </c>
      <c r="BF812" t="str">
        <f>HYPERLINK("http://dx.doi.org/10.1007/s00792-008-0197-z","http://dx.doi.org/10.1007/s00792-008-0197-z")</f>
        <v>http://dx.doi.org/10.1007/s00792-008-0197-z</v>
      </c>
      <c r="BG812" t="s">
        <v>74</v>
      </c>
      <c r="BH812" t="s">
        <v>74</v>
      </c>
      <c r="BI812">
        <v>8</v>
      </c>
      <c r="BJ812" t="s">
        <v>6485</v>
      </c>
      <c r="BK812" t="s">
        <v>100</v>
      </c>
      <c r="BL812" t="s">
        <v>6485</v>
      </c>
      <c r="BM812" t="s">
        <v>14305</v>
      </c>
      <c r="BN812">
        <v>18931822</v>
      </c>
      <c r="BO812" t="s">
        <v>217</v>
      </c>
      <c r="BP812" t="s">
        <v>74</v>
      </c>
      <c r="BQ812" t="s">
        <v>74</v>
      </c>
      <c r="BR812" t="s">
        <v>103</v>
      </c>
      <c r="BS812" t="s">
        <v>14306</v>
      </c>
      <c r="BT812" t="str">
        <f>HYPERLINK("https%3A%2F%2Fwww.webofscience.com%2Fwos%2Fwoscc%2Ffull-record%2FWOS:000261986300007","View Full Record in Web of Science")</f>
        <v>View Full Record in Web of Science</v>
      </c>
    </row>
    <row r="813" spans="1:72" x14ac:dyDescent="0.15">
      <c r="A813" t="s">
        <v>5277</v>
      </c>
      <c r="B813" t="s">
        <v>14307</v>
      </c>
      <c r="C813" t="s">
        <v>74</v>
      </c>
      <c r="D813" t="s">
        <v>14308</v>
      </c>
      <c r="E813" t="s">
        <v>74</v>
      </c>
      <c r="F813" t="s">
        <v>14309</v>
      </c>
      <c r="G813" t="s">
        <v>74</v>
      </c>
      <c r="H813" t="s">
        <v>74</v>
      </c>
      <c r="I813" t="s">
        <v>14310</v>
      </c>
      <c r="J813" t="s">
        <v>14311</v>
      </c>
      <c r="K813" t="s">
        <v>14312</v>
      </c>
      <c r="L813" t="s">
        <v>74</v>
      </c>
      <c r="M813" t="s">
        <v>78</v>
      </c>
      <c r="N813" t="s">
        <v>11976</v>
      </c>
      <c r="O813" t="s">
        <v>74</v>
      </c>
      <c r="P813" t="s">
        <v>74</v>
      </c>
      <c r="Q813" t="s">
        <v>74</v>
      </c>
      <c r="R813" t="s">
        <v>74</v>
      </c>
      <c r="S813" t="s">
        <v>74</v>
      </c>
      <c r="T813" t="s">
        <v>74</v>
      </c>
      <c r="U813" t="s">
        <v>74</v>
      </c>
      <c r="V813" t="s">
        <v>74</v>
      </c>
      <c r="W813" t="s">
        <v>14313</v>
      </c>
      <c r="X813" t="s">
        <v>10058</v>
      </c>
      <c r="Y813" t="s">
        <v>14314</v>
      </c>
      <c r="Z813" t="s">
        <v>14315</v>
      </c>
      <c r="AA813" t="s">
        <v>14316</v>
      </c>
      <c r="AB813" t="s">
        <v>14317</v>
      </c>
      <c r="AC813" t="s">
        <v>74</v>
      </c>
      <c r="AD813" t="s">
        <v>74</v>
      </c>
      <c r="AE813" t="s">
        <v>74</v>
      </c>
      <c r="AF813" t="s">
        <v>74</v>
      </c>
      <c r="AG813">
        <v>6</v>
      </c>
      <c r="AH813">
        <v>0</v>
      </c>
      <c r="AI813">
        <v>0</v>
      </c>
      <c r="AJ813">
        <v>0</v>
      </c>
      <c r="AK813">
        <v>0</v>
      </c>
      <c r="AL813" t="s">
        <v>13220</v>
      </c>
      <c r="AM813" t="s">
        <v>7815</v>
      </c>
      <c r="AN813" t="s">
        <v>13221</v>
      </c>
      <c r="AO813" t="s">
        <v>74</v>
      </c>
      <c r="AP813" t="s">
        <v>74</v>
      </c>
      <c r="AQ813" t="s">
        <v>14318</v>
      </c>
      <c r="AR813" t="s">
        <v>14319</v>
      </c>
      <c r="AS813" t="s">
        <v>74</v>
      </c>
      <c r="AT813" t="s">
        <v>74</v>
      </c>
      <c r="AU813">
        <v>2009</v>
      </c>
      <c r="AV813">
        <v>4</v>
      </c>
      <c r="AW813" t="s">
        <v>74</v>
      </c>
      <c r="AX813" t="s">
        <v>74</v>
      </c>
      <c r="AY813" t="s">
        <v>74</v>
      </c>
      <c r="AZ813" t="s">
        <v>74</v>
      </c>
      <c r="BA813" t="s">
        <v>74</v>
      </c>
      <c r="BB813">
        <v>951</v>
      </c>
      <c r="BC813">
        <v>960</v>
      </c>
      <c r="BD813" t="s">
        <v>74</v>
      </c>
      <c r="BE813" t="s">
        <v>74</v>
      </c>
      <c r="BF813" t="s">
        <v>74</v>
      </c>
      <c r="BG813" t="s">
        <v>14320</v>
      </c>
      <c r="BH813" t="s">
        <v>74</v>
      </c>
      <c r="BI813">
        <v>10</v>
      </c>
      <c r="BJ813" t="s">
        <v>1654</v>
      </c>
      <c r="BK813" t="s">
        <v>11989</v>
      </c>
      <c r="BL813" t="s">
        <v>424</v>
      </c>
      <c r="BM813" t="s">
        <v>14321</v>
      </c>
      <c r="BN813" t="s">
        <v>74</v>
      </c>
      <c r="BO813" t="s">
        <v>217</v>
      </c>
      <c r="BP813" t="s">
        <v>74</v>
      </c>
      <c r="BQ813" t="s">
        <v>74</v>
      </c>
      <c r="BR813" t="s">
        <v>103</v>
      </c>
      <c r="BS813" t="s">
        <v>14322</v>
      </c>
      <c r="BT813" t="str">
        <f>HYPERLINK("https%3A%2F%2Fwww.webofscience.com%2Fwos%2Fwoscc%2Ffull-record%2FWOS:000271893300082","View Full Record in Web of Science")</f>
        <v>View Full Record in Web of Science</v>
      </c>
    </row>
    <row r="814" spans="1:72" x14ac:dyDescent="0.15">
      <c r="A814" t="s">
        <v>5277</v>
      </c>
      <c r="B814" t="s">
        <v>14323</v>
      </c>
      <c r="C814" t="s">
        <v>74</v>
      </c>
      <c r="D814" t="s">
        <v>14324</v>
      </c>
      <c r="E814" t="s">
        <v>74</v>
      </c>
      <c r="F814" t="s">
        <v>14325</v>
      </c>
      <c r="G814" t="s">
        <v>74</v>
      </c>
      <c r="H814" t="s">
        <v>74</v>
      </c>
      <c r="I814" t="s">
        <v>14326</v>
      </c>
      <c r="J814" t="s">
        <v>14327</v>
      </c>
      <c r="K814" t="s">
        <v>74</v>
      </c>
      <c r="L814" t="s">
        <v>74</v>
      </c>
      <c r="M814" t="s">
        <v>78</v>
      </c>
      <c r="N814" t="s">
        <v>11976</v>
      </c>
      <c r="O814" t="s">
        <v>74</v>
      </c>
      <c r="P814" t="s">
        <v>74</v>
      </c>
      <c r="Q814" t="s">
        <v>74</v>
      </c>
      <c r="R814" t="s">
        <v>74</v>
      </c>
      <c r="S814" t="s">
        <v>74</v>
      </c>
      <c r="T814" t="s">
        <v>74</v>
      </c>
      <c r="U814" t="s">
        <v>14328</v>
      </c>
      <c r="V814" t="s">
        <v>74</v>
      </c>
      <c r="W814" t="s">
        <v>14329</v>
      </c>
      <c r="X814" t="s">
        <v>14330</v>
      </c>
      <c r="Y814" t="s">
        <v>12241</v>
      </c>
      <c r="Z814" t="s">
        <v>14331</v>
      </c>
      <c r="AA814" t="s">
        <v>12243</v>
      </c>
      <c r="AB814" t="s">
        <v>74</v>
      </c>
      <c r="AC814" t="s">
        <v>74</v>
      </c>
      <c r="AD814" t="s">
        <v>74</v>
      </c>
      <c r="AE814" t="s">
        <v>74</v>
      </c>
      <c r="AF814" t="s">
        <v>74</v>
      </c>
      <c r="AG814">
        <v>29</v>
      </c>
      <c r="AH814">
        <v>6</v>
      </c>
      <c r="AI814">
        <v>6</v>
      </c>
      <c r="AJ814">
        <v>0</v>
      </c>
      <c r="AK814">
        <v>0</v>
      </c>
      <c r="AL814" t="s">
        <v>14332</v>
      </c>
      <c r="AM814" t="s">
        <v>14333</v>
      </c>
      <c r="AN814" t="s">
        <v>14334</v>
      </c>
      <c r="AO814" t="s">
        <v>74</v>
      </c>
      <c r="AP814" t="s">
        <v>74</v>
      </c>
      <c r="AQ814" t="s">
        <v>14335</v>
      </c>
      <c r="AR814" t="s">
        <v>74</v>
      </c>
      <c r="AS814" t="s">
        <v>74</v>
      </c>
      <c r="AT814" t="s">
        <v>74</v>
      </c>
      <c r="AU814">
        <v>2009</v>
      </c>
      <c r="AV814" t="s">
        <v>74</v>
      </c>
      <c r="AW814" t="s">
        <v>74</v>
      </c>
      <c r="AX814" t="s">
        <v>74</v>
      </c>
      <c r="AY814" t="s">
        <v>74</v>
      </c>
      <c r="AZ814" t="s">
        <v>74</v>
      </c>
      <c r="BA814" t="s">
        <v>74</v>
      </c>
      <c r="BB814">
        <v>259</v>
      </c>
      <c r="BC814">
        <v>282</v>
      </c>
      <c r="BD814" t="s">
        <v>74</v>
      </c>
      <c r="BE814" t="s">
        <v>74</v>
      </c>
      <c r="BF814" t="s">
        <v>74</v>
      </c>
      <c r="BG814" t="s">
        <v>74</v>
      </c>
      <c r="BH814" t="s">
        <v>74</v>
      </c>
      <c r="BI814">
        <v>24</v>
      </c>
      <c r="BJ814" t="s">
        <v>4650</v>
      </c>
      <c r="BK814" t="s">
        <v>11989</v>
      </c>
      <c r="BL814" t="s">
        <v>4651</v>
      </c>
      <c r="BM814" t="s">
        <v>14336</v>
      </c>
      <c r="BN814" t="s">
        <v>74</v>
      </c>
      <c r="BO814" t="s">
        <v>74</v>
      </c>
      <c r="BP814" t="s">
        <v>74</v>
      </c>
      <c r="BQ814" t="s">
        <v>74</v>
      </c>
      <c r="BR814" t="s">
        <v>103</v>
      </c>
      <c r="BS814" t="s">
        <v>14337</v>
      </c>
      <c r="BT814" t="str">
        <f>HYPERLINK("https%3A%2F%2Fwww.webofscience.com%2Fwos%2Fwoscc%2Ffull-record%2FWOS:000294414900012","View Full Record in Web of Science")</f>
        <v>View Full Record in Web of Science</v>
      </c>
    </row>
    <row r="815" spans="1:72" x14ac:dyDescent="0.15">
      <c r="A815" t="s">
        <v>5277</v>
      </c>
      <c r="B815" t="s">
        <v>14338</v>
      </c>
      <c r="C815" t="s">
        <v>74</v>
      </c>
      <c r="D815" t="s">
        <v>14324</v>
      </c>
      <c r="E815" t="s">
        <v>74</v>
      </c>
      <c r="F815" t="s">
        <v>14339</v>
      </c>
      <c r="G815" t="s">
        <v>74</v>
      </c>
      <c r="H815" t="s">
        <v>74</v>
      </c>
      <c r="I815" t="s">
        <v>14340</v>
      </c>
      <c r="J815" t="s">
        <v>14327</v>
      </c>
      <c r="K815" t="s">
        <v>74</v>
      </c>
      <c r="L815" t="s">
        <v>74</v>
      </c>
      <c r="M815" t="s">
        <v>78</v>
      </c>
      <c r="N815" t="s">
        <v>11976</v>
      </c>
      <c r="O815" t="s">
        <v>74</v>
      </c>
      <c r="P815" t="s">
        <v>74</v>
      </c>
      <c r="Q815" t="s">
        <v>74</v>
      </c>
      <c r="R815" t="s">
        <v>74</v>
      </c>
      <c r="S815" t="s">
        <v>74</v>
      </c>
      <c r="T815" t="s">
        <v>74</v>
      </c>
      <c r="U815" t="s">
        <v>14341</v>
      </c>
      <c r="V815" t="s">
        <v>74</v>
      </c>
      <c r="W815" t="s">
        <v>14342</v>
      </c>
      <c r="X815" t="s">
        <v>14343</v>
      </c>
      <c r="Y815" t="s">
        <v>14344</v>
      </c>
      <c r="Z815" t="s">
        <v>14345</v>
      </c>
      <c r="AA815" t="s">
        <v>14346</v>
      </c>
      <c r="AB815" t="s">
        <v>74</v>
      </c>
      <c r="AC815" t="s">
        <v>74</v>
      </c>
      <c r="AD815" t="s">
        <v>74</v>
      </c>
      <c r="AE815" t="s">
        <v>74</v>
      </c>
      <c r="AF815" t="s">
        <v>74</v>
      </c>
      <c r="AG815">
        <v>23</v>
      </c>
      <c r="AH815">
        <v>1</v>
      </c>
      <c r="AI815">
        <v>1</v>
      </c>
      <c r="AJ815">
        <v>0</v>
      </c>
      <c r="AK815">
        <v>0</v>
      </c>
      <c r="AL815" t="s">
        <v>14332</v>
      </c>
      <c r="AM815" t="s">
        <v>14333</v>
      </c>
      <c r="AN815" t="s">
        <v>14334</v>
      </c>
      <c r="AO815" t="s">
        <v>74</v>
      </c>
      <c r="AP815" t="s">
        <v>74</v>
      </c>
      <c r="AQ815" t="s">
        <v>14335</v>
      </c>
      <c r="AR815" t="s">
        <v>74</v>
      </c>
      <c r="AS815" t="s">
        <v>74</v>
      </c>
      <c r="AT815" t="s">
        <v>74</v>
      </c>
      <c r="AU815">
        <v>2009</v>
      </c>
      <c r="AV815" t="s">
        <v>74</v>
      </c>
      <c r="AW815" t="s">
        <v>74</v>
      </c>
      <c r="AX815" t="s">
        <v>74</v>
      </c>
      <c r="AY815" t="s">
        <v>74</v>
      </c>
      <c r="AZ815" t="s">
        <v>74</v>
      </c>
      <c r="BA815" t="s">
        <v>74</v>
      </c>
      <c r="BB815">
        <v>365</v>
      </c>
      <c r="BC815">
        <v>381</v>
      </c>
      <c r="BD815" t="s">
        <v>74</v>
      </c>
      <c r="BE815" t="s">
        <v>74</v>
      </c>
      <c r="BF815" t="s">
        <v>74</v>
      </c>
      <c r="BG815" t="s">
        <v>74</v>
      </c>
      <c r="BH815" t="s">
        <v>74</v>
      </c>
      <c r="BI815">
        <v>17</v>
      </c>
      <c r="BJ815" t="s">
        <v>4650</v>
      </c>
      <c r="BK815" t="s">
        <v>11989</v>
      </c>
      <c r="BL815" t="s">
        <v>4651</v>
      </c>
      <c r="BM815" t="s">
        <v>14336</v>
      </c>
      <c r="BN815" t="s">
        <v>74</v>
      </c>
      <c r="BO815" t="s">
        <v>74</v>
      </c>
      <c r="BP815" t="s">
        <v>74</v>
      </c>
      <c r="BQ815" t="s">
        <v>74</v>
      </c>
      <c r="BR815" t="s">
        <v>103</v>
      </c>
      <c r="BS815" t="s">
        <v>14347</v>
      </c>
      <c r="BT815" t="str">
        <f>HYPERLINK("https%3A%2F%2Fwww.webofscience.com%2Fwos%2Fwoscc%2Ffull-record%2FWOS:000294414900016","View Full Record in Web of Science")</f>
        <v>View Full Record in Web of Science</v>
      </c>
    </row>
    <row r="816" spans="1:72" x14ac:dyDescent="0.15">
      <c r="A816" t="s">
        <v>5277</v>
      </c>
      <c r="B816" t="s">
        <v>14348</v>
      </c>
      <c r="C816" t="s">
        <v>74</v>
      </c>
      <c r="D816" t="s">
        <v>14324</v>
      </c>
      <c r="E816" t="s">
        <v>74</v>
      </c>
      <c r="F816" t="s">
        <v>14349</v>
      </c>
      <c r="G816" t="s">
        <v>74</v>
      </c>
      <c r="H816" t="s">
        <v>74</v>
      </c>
      <c r="I816" t="s">
        <v>14350</v>
      </c>
      <c r="J816" t="s">
        <v>14327</v>
      </c>
      <c r="K816" t="s">
        <v>74</v>
      </c>
      <c r="L816" t="s">
        <v>74</v>
      </c>
      <c r="M816" t="s">
        <v>78</v>
      </c>
      <c r="N816" t="s">
        <v>11976</v>
      </c>
      <c r="O816" t="s">
        <v>74</v>
      </c>
      <c r="P816" t="s">
        <v>74</v>
      </c>
      <c r="Q816" t="s">
        <v>74</v>
      </c>
      <c r="R816" t="s">
        <v>74</v>
      </c>
      <c r="S816" t="s">
        <v>74</v>
      </c>
      <c r="T816" t="s">
        <v>74</v>
      </c>
      <c r="U816" t="s">
        <v>14351</v>
      </c>
      <c r="V816" t="s">
        <v>74</v>
      </c>
      <c r="W816" t="s">
        <v>14352</v>
      </c>
      <c r="X816" t="s">
        <v>14353</v>
      </c>
      <c r="Y816" t="s">
        <v>14354</v>
      </c>
      <c r="Z816" t="s">
        <v>74</v>
      </c>
      <c r="AA816" t="s">
        <v>74</v>
      </c>
      <c r="AB816" t="s">
        <v>14355</v>
      </c>
      <c r="AC816" t="s">
        <v>74</v>
      </c>
      <c r="AD816" t="s">
        <v>74</v>
      </c>
      <c r="AE816" t="s">
        <v>74</v>
      </c>
      <c r="AF816" t="s">
        <v>74</v>
      </c>
      <c r="AG816">
        <v>117</v>
      </c>
      <c r="AH816">
        <v>3</v>
      </c>
      <c r="AI816">
        <v>3</v>
      </c>
      <c r="AJ816">
        <v>0</v>
      </c>
      <c r="AK816">
        <v>1</v>
      </c>
      <c r="AL816" t="s">
        <v>14332</v>
      </c>
      <c r="AM816" t="s">
        <v>14333</v>
      </c>
      <c r="AN816" t="s">
        <v>14334</v>
      </c>
      <c r="AO816" t="s">
        <v>74</v>
      </c>
      <c r="AP816" t="s">
        <v>74</v>
      </c>
      <c r="AQ816" t="s">
        <v>14335</v>
      </c>
      <c r="AR816" t="s">
        <v>74</v>
      </c>
      <c r="AS816" t="s">
        <v>74</v>
      </c>
      <c r="AT816" t="s">
        <v>74</v>
      </c>
      <c r="AU816">
        <v>2009</v>
      </c>
      <c r="AV816" t="s">
        <v>74</v>
      </c>
      <c r="AW816" t="s">
        <v>74</v>
      </c>
      <c r="AX816" t="s">
        <v>74</v>
      </c>
      <c r="AY816" t="s">
        <v>74</v>
      </c>
      <c r="AZ816" t="s">
        <v>74</v>
      </c>
      <c r="BA816" t="s">
        <v>74</v>
      </c>
      <c r="BB816">
        <v>405</v>
      </c>
      <c r="BC816">
        <v>466</v>
      </c>
      <c r="BD816" t="s">
        <v>74</v>
      </c>
      <c r="BE816" t="s">
        <v>74</v>
      </c>
      <c r="BF816" t="s">
        <v>74</v>
      </c>
      <c r="BG816" t="s">
        <v>74</v>
      </c>
      <c r="BH816" t="s">
        <v>74</v>
      </c>
      <c r="BI816">
        <v>62</v>
      </c>
      <c r="BJ816" t="s">
        <v>4650</v>
      </c>
      <c r="BK816" t="s">
        <v>11989</v>
      </c>
      <c r="BL816" t="s">
        <v>4651</v>
      </c>
      <c r="BM816" t="s">
        <v>14336</v>
      </c>
      <c r="BN816" t="s">
        <v>74</v>
      </c>
      <c r="BO816" t="s">
        <v>74</v>
      </c>
      <c r="BP816" t="s">
        <v>74</v>
      </c>
      <c r="BQ816" t="s">
        <v>74</v>
      </c>
      <c r="BR816" t="s">
        <v>103</v>
      </c>
      <c r="BS816" t="s">
        <v>14356</v>
      </c>
      <c r="BT816" t="str">
        <f>HYPERLINK("https%3A%2F%2Fwww.webofscience.com%2Fwos%2Fwoscc%2Ffull-record%2FWOS:000294414900019","View Full Record in Web of Science")</f>
        <v>View Full Record in Web of Science</v>
      </c>
    </row>
    <row r="817" spans="1:72" x14ac:dyDescent="0.15">
      <c r="A817" t="s">
        <v>72</v>
      </c>
      <c r="B817" t="s">
        <v>14357</v>
      </c>
      <c r="C817" t="s">
        <v>74</v>
      </c>
      <c r="D817" t="s">
        <v>74</v>
      </c>
      <c r="E817" t="s">
        <v>74</v>
      </c>
      <c r="F817" t="s">
        <v>14358</v>
      </c>
      <c r="G817" t="s">
        <v>74</v>
      </c>
      <c r="H817" t="s">
        <v>74</v>
      </c>
      <c r="I817" t="s">
        <v>14359</v>
      </c>
      <c r="J817" t="s">
        <v>14360</v>
      </c>
      <c r="K817" t="s">
        <v>74</v>
      </c>
      <c r="L817" t="s">
        <v>74</v>
      </c>
      <c r="M817" t="s">
        <v>78</v>
      </c>
      <c r="N817" t="s">
        <v>79</v>
      </c>
      <c r="O817" t="s">
        <v>74</v>
      </c>
      <c r="P817" t="s">
        <v>74</v>
      </c>
      <c r="Q817" t="s">
        <v>74</v>
      </c>
      <c r="R817" t="s">
        <v>74</v>
      </c>
      <c r="S817" t="s">
        <v>74</v>
      </c>
      <c r="T817" t="s">
        <v>14361</v>
      </c>
      <c r="U817" t="s">
        <v>14362</v>
      </c>
      <c r="V817" t="s">
        <v>14363</v>
      </c>
      <c r="W817" t="s">
        <v>14364</v>
      </c>
      <c r="X817" t="s">
        <v>14365</v>
      </c>
      <c r="Y817" t="s">
        <v>14366</v>
      </c>
      <c r="Z817" t="s">
        <v>14367</v>
      </c>
      <c r="AA817" t="s">
        <v>14368</v>
      </c>
      <c r="AB817" t="s">
        <v>74</v>
      </c>
      <c r="AC817" t="s">
        <v>14369</v>
      </c>
      <c r="AD817" t="s">
        <v>14370</v>
      </c>
      <c r="AE817" t="s">
        <v>14371</v>
      </c>
      <c r="AF817" t="s">
        <v>74</v>
      </c>
      <c r="AG817">
        <v>84</v>
      </c>
      <c r="AH817">
        <v>35</v>
      </c>
      <c r="AI817">
        <v>40</v>
      </c>
      <c r="AJ817">
        <v>1</v>
      </c>
      <c r="AK817">
        <v>27</v>
      </c>
      <c r="AL817" t="s">
        <v>489</v>
      </c>
      <c r="AM817" t="s">
        <v>490</v>
      </c>
      <c r="AN817" t="s">
        <v>491</v>
      </c>
      <c r="AO817" t="s">
        <v>14372</v>
      </c>
      <c r="AP817" t="s">
        <v>14373</v>
      </c>
      <c r="AQ817" t="s">
        <v>74</v>
      </c>
      <c r="AR817" t="s">
        <v>14374</v>
      </c>
      <c r="AS817" t="s">
        <v>14375</v>
      </c>
      <c r="AT817" t="s">
        <v>74</v>
      </c>
      <c r="AU817">
        <v>2009</v>
      </c>
      <c r="AV817">
        <v>18</v>
      </c>
      <c r="AW817">
        <v>1</v>
      </c>
      <c r="AX817" t="s">
        <v>74</v>
      </c>
      <c r="AY817" t="s">
        <v>74</v>
      </c>
      <c r="AZ817" t="s">
        <v>74</v>
      </c>
      <c r="BA817" t="s">
        <v>74</v>
      </c>
      <c r="BB817">
        <v>20</v>
      </c>
      <c r="BC817">
        <v>35</v>
      </c>
      <c r="BD817" t="s">
        <v>74</v>
      </c>
      <c r="BE817" t="s">
        <v>14376</v>
      </c>
      <c r="BF817" t="str">
        <f>HYPERLINK("http://dx.doi.org/10.1111/j.1365-2419.2008.00490.x","http://dx.doi.org/10.1111/j.1365-2419.2008.00490.x")</f>
        <v>http://dx.doi.org/10.1111/j.1365-2419.2008.00490.x</v>
      </c>
      <c r="BG817" t="s">
        <v>74</v>
      </c>
      <c r="BH817" t="s">
        <v>74</v>
      </c>
      <c r="BI817">
        <v>16</v>
      </c>
      <c r="BJ817" t="s">
        <v>14377</v>
      </c>
      <c r="BK817" t="s">
        <v>100</v>
      </c>
      <c r="BL817" t="s">
        <v>14377</v>
      </c>
      <c r="BM817" t="s">
        <v>14378</v>
      </c>
      <c r="BN817" t="s">
        <v>74</v>
      </c>
      <c r="BO817" t="s">
        <v>499</v>
      </c>
      <c r="BP817" t="s">
        <v>74</v>
      </c>
      <c r="BQ817" t="s">
        <v>74</v>
      </c>
      <c r="BR817" t="s">
        <v>103</v>
      </c>
      <c r="BS817" t="s">
        <v>14379</v>
      </c>
      <c r="BT817" t="str">
        <f>HYPERLINK("https%3A%2F%2Fwww.webofscience.com%2Fwos%2Fwoscc%2Ffull-record%2FWOS:000262887400002","View Full Record in Web of Science")</f>
        <v>View Full Record in Web of Science</v>
      </c>
    </row>
    <row r="818" spans="1:72" x14ac:dyDescent="0.15">
      <c r="A818" t="s">
        <v>72</v>
      </c>
      <c r="B818" t="s">
        <v>14380</v>
      </c>
      <c r="C818" t="s">
        <v>74</v>
      </c>
      <c r="D818" t="s">
        <v>74</v>
      </c>
      <c r="E818" t="s">
        <v>74</v>
      </c>
      <c r="F818" t="s">
        <v>14381</v>
      </c>
      <c r="G818" t="s">
        <v>74</v>
      </c>
      <c r="H818" t="s">
        <v>74</v>
      </c>
      <c r="I818" t="s">
        <v>14382</v>
      </c>
      <c r="J818" t="s">
        <v>14383</v>
      </c>
      <c r="K818" t="s">
        <v>74</v>
      </c>
      <c r="L818" t="s">
        <v>74</v>
      </c>
      <c r="M818" t="s">
        <v>78</v>
      </c>
      <c r="N818" t="s">
        <v>79</v>
      </c>
      <c r="O818" t="s">
        <v>74</v>
      </c>
      <c r="P818" t="s">
        <v>74</v>
      </c>
      <c r="Q818" t="s">
        <v>74</v>
      </c>
      <c r="R818" t="s">
        <v>74</v>
      </c>
      <c r="S818" t="s">
        <v>74</v>
      </c>
      <c r="T818" t="s">
        <v>14384</v>
      </c>
      <c r="U818" t="s">
        <v>14385</v>
      </c>
      <c r="V818" t="s">
        <v>14386</v>
      </c>
      <c r="W818" t="s">
        <v>14387</v>
      </c>
      <c r="X818" t="s">
        <v>8622</v>
      </c>
      <c r="Y818" t="s">
        <v>9254</v>
      </c>
      <c r="Z818" t="s">
        <v>9255</v>
      </c>
      <c r="AA818" t="s">
        <v>9256</v>
      </c>
      <c r="AB818" t="s">
        <v>9257</v>
      </c>
      <c r="AC818" t="s">
        <v>2357</v>
      </c>
      <c r="AD818" t="s">
        <v>2357</v>
      </c>
      <c r="AE818" t="s">
        <v>14388</v>
      </c>
      <c r="AF818" t="s">
        <v>74</v>
      </c>
      <c r="AG818">
        <v>45</v>
      </c>
      <c r="AH818">
        <v>36</v>
      </c>
      <c r="AI818">
        <v>37</v>
      </c>
      <c r="AJ818">
        <v>0</v>
      </c>
      <c r="AK818">
        <v>16</v>
      </c>
      <c r="AL818" t="s">
        <v>2878</v>
      </c>
      <c r="AM818" t="s">
        <v>2879</v>
      </c>
      <c r="AN818" t="s">
        <v>2880</v>
      </c>
      <c r="AO818" t="s">
        <v>14389</v>
      </c>
      <c r="AP818" t="s">
        <v>14390</v>
      </c>
      <c r="AQ818" t="s">
        <v>74</v>
      </c>
      <c r="AR818" t="s">
        <v>14391</v>
      </c>
      <c r="AS818" t="s">
        <v>14392</v>
      </c>
      <c r="AT818" t="s">
        <v>74</v>
      </c>
      <c r="AU818">
        <v>2009</v>
      </c>
      <c r="AV818">
        <v>36</v>
      </c>
      <c r="AW818">
        <v>3</v>
      </c>
      <c r="AX818" t="s">
        <v>74</v>
      </c>
      <c r="AY818" t="s">
        <v>74</v>
      </c>
      <c r="AZ818" t="s">
        <v>74</v>
      </c>
      <c r="BA818" t="s">
        <v>74</v>
      </c>
      <c r="BB818">
        <v>214</v>
      </c>
      <c r="BC818">
        <v>221</v>
      </c>
      <c r="BD818" t="s">
        <v>74</v>
      </c>
      <c r="BE818" t="s">
        <v>14393</v>
      </c>
      <c r="BF818" t="str">
        <f>HYPERLINK("http://dx.doi.org/10.1071/FP08286","http://dx.doi.org/10.1071/FP08286")</f>
        <v>http://dx.doi.org/10.1071/FP08286</v>
      </c>
      <c r="BG818" t="s">
        <v>74</v>
      </c>
      <c r="BH818" t="s">
        <v>74</v>
      </c>
      <c r="BI818">
        <v>8</v>
      </c>
      <c r="BJ818" t="s">
        <v>2573</v>
      </c>
      <c r="BK818" t="s">
        <v>100</v>
      </c>
      <c r="BL818" t="s">
        <v>2573</v>
      </c>
      <c r="BM818" t="s">
        <v>14394</v>
      </c>
      <c r="BN818">
        <v>32688640</v>
      </c>
      <c r="BO818" t="s">
        <v>74</v>
      </c>
      <c r="BP818" t="s">
        <v>74</v>
      </c>
      <c r="BQ818" t="s">
        <v>74</v>
      </c>
      <c r="BR818" t="s">
        <v>103</v>
      </c>
      <c r="BS818" t="s">
        <v>14395</v>
      </c>
      <c r="BT818" t="str">
        <f>HYPERLINK("https%3A%2F%2Fwww.webofscience.com%2Fwos%2Fwoscc%2Ffull-record%2FWOS:000263763200002","View Full Record in Web of Science")</f>
        <v>View Full Record in Web of Science</v>
      </c>
    </row>
    <row r="819" spans="1:72" x14ac:dyDescent="0.15">
      <c r="A819" t="s">
        <v>2434</v>
      </c>
      <c r="B819" t="s">
        <v>14396</v>
      </c>
      <c r="C819" t="s">
        <v>74</v>
      </c>
      <c r="D819" t="s">
        <v>14397</v>
      </c>
      <c r="E819" t="s">
        <v>74</v>
      </c>
      <c r="F819" t="s">
        <v>14398</v>
      </c>
      <c r="G819" t="s">
        <v>74</v>
      </c>
      <c r="H819" t="s">
        <v>74</v>
      </c>
      <c r="I819" t="s">
        <v>14399</v>
      </c>
      <c r="J819" t="s">
        <v>14400</v>
      </c>
      <c r="K819" t="s">
        <v>74</v>
      </c>
      <c r="L819" t="s">
        <v>74</v>
      </c>
      <c r="M819" t="s">
        <v>78</v>
      </c>
      <c r="N819" t="s">
        <v>2440</v>
      </c>
      <c r="O819" t="s">
        <v>14401</v>
      </c>
      <c r="P819" t="s">
        <v>14402</v>
      </c>
      <c r="Q819" t="s">
        <v>14403</v>
      </c>
      <c r="R819" t="s">
        <v>74</v>
      </c>
      <c r="S819" t="s">
        <v>14404</v>
      </c>
      <c r="T819" t="s">
        <v>74</v>
      </c>
      <c r="U819" t="s">
        <v>14405</v>
      </c>
      <c r="V819" t="s">
        <v>14406</v>
      </c>
      <c r="W819" t="s">
        <v>14407</v>
      </c>
      <c r="X819" t="s">
        <v>14408</v>
      </c>
      <c r="Y819" t="s">
        <v>14409</v>
      </c>
      <c r="Z819" t="s">
        <v>74</v>
      </c>
      <c r="AA819" t="s">
        <v>74</v>
      </c>
      <c r="AB819" t="s">
        <v>74</v>
      </c>
      <c r="AC819" t="s">
        <v>74</v>
      </c>
      <c r="AD819" t="s">
        <v>74</v>
      </c>
      <c r="AE819" t="s">
        <v>74</v>
      </c>
      <c r="AF819" t="s">
        <v>74</v>
      </c>
      <c r="AG819">
        <v>24</v>
      </c>
      <c r="AH819">
        <v>1</v>
      </c>
      <c r="AI819">
        <v>3</v>
      </c>
      <c r="AJ819">
        <v>0</v>
      </c>
      <c r="AK819">
        <v>7</v>
      </c>
      <c r="AL819" t="s">
        <v>14410</v>
      </c>
      <c r="AM819" t="s">
        <v>606</v>
      </c>
      <c r="AN819" t="s">
        <v>14411</v>
      </c>
      <c r="AO819" t="s">
        <v>74</v>
      </c>
      <c r="AP819" t="s">
        <v>74</v>
      </c>
      <c r="AQ819" t="s">
        <v>14412</v>
      </c>
      <c r="AR819" t="s">
        <v>74</v>
      </c>
      <c r="AS819" t="s">
        <v>74</v>
      </c>
      <c r="AT819" t="s">
        <v>74</v>
      </c>
      <c r="AU819">
        <v>2009</v>
      </c>
      <c r="AV819" t="s">
        <v>74</v>
      </c>
      <c r="AW819" t="s">
        <v>74</v>
      </c>
      <c r="AX819" t="s">
        <v>74</v>
      </c>
      <c r="AY819" t="s">
        <v>74</v>
      </c>
      <c r="AZ819" t="s">
        <v>74</v>
      </c>
      <c r="BA819" t="s">
        <v>74</v>
      </c>
      <c r="BB819">
        <v>153</v>
      </c>
      <c r="BC819">
        <v>159</v>
      </c>
      <c r="BD819" t="s">
        <v>74</v>
      </c>
      <c r="BE819" t="s">
        <v>74</v>
      </c>
      <c r="BF819" t="s">
        <v>74</v>
      </c>
      <c r="BG819" t="s">
        <v>74</v>
      </c>
      <c r="BH819" t="s">
        <v>74</v>
      </c>
      <c r="BI819">
        <v>7</v>
      </c>
      <c r="BJ819" t="s">
        <v>14413</v>
      </c>
      <c r="BK819" t="s">
        <v>2457</v>
      </c>
      <c r="BL819" t="s">
        <v>14413</v>
      </c>
      <c r="BM819" t="s">
        <v>14414</v>
      </c>
      <c r="BN819" t="s">
        <v>74</v>
      </c>
      <c r="BO819" t="s">
        <v>74</v>
      </c>
      <c r="BP819" t="s">
        <v>74</v>
      </c>
      <c r="BQ819" t="s">
        <v>74</v>
      </c>
      <c r="BR819" t="s">
        <v>103</v>
      </c>
      <c r="BS819" t="s">
        <v>14415</v>
      </c>
      <c r="BT819" t="str">
        <f>HYPERLINK("https%3A%2F%2Fwww.webofscience.com%2Fwos%2Fwoscc%2Ffull-record%2FWOS:000273561900029","View Full Record in Web of Science")</f>
        <v>View Full Record in Web of Science</v>
      </c>
    </row>
    <row r="820" spans="1:72" x14ac:dyDescent="0.15">
      <c r="A820" t="s">
        <v>2434</v>
      </c>
      <c r="B820" t="s">
        <v>14416</v>
      </c>
      <c r="C820" t="s">
        <v>74</v>
      </c>
      <c r="D820" t="s">
        <v>14417</v>
      </c>
      <c r="E820" t="s">
        <v>74</v>
      </c>
      <c r="F820" t="s">
        <v>14418</v>
      </c>
      <c r="G820" t="s">
        <v>74</v>
      </c>
      <c r="H820" t="s">
        <v>74</v>
      </c>
      <c r="I820" t="s">
        <v>14419</v>
      </c>
      <c r="J820" t="s">
        <v>14420</v>
      </c>
      <c r="K820" t="s">
        <v>14421</v>
      </c>
      <c r="L820" t="s">
        <v>74</v>
      </c>
      <c r="M820" t="s">
        <v>78</v>
      </c>
      <c r="N820" t="s">
        <v>2440</v>
      </c>
      <c r="O820" t="s">
        <v>14422</v>
      </c>
      <c r="P820" t="s">
        <v>14423</v>
      </c>
      <c r="Q820" t="s">
        <v>14424</v>
      </c>
      <c r="R820" t="s">
        <v>74</v>
      </c>
      <c r="S820" t="s">
        <v>14425</v>
      </c>
      <c r="T820" t="s">
        <v>14426</v>
      </c>
      <c r="U820" t="s">
        <v>14427</v>
      </c>
      <c r="V820" t="s">
        <v>14428</v>
      </c>
      <c r="W820" t="s">
        <v>74</v>
      </c>
      <c r="X820" t="s">
        <v>74</v>
      </c>
      <c r="Y820" t="s">
        <v>74</v>
      </c>
      <c r="Z820" t="s">
        <v>74</v>
      </c>
      <c r="AA820" t="s">
        <v>74</v>
      </c>
      <c r="AB820" t="s">
        <v>74</v>
      </c>
      <c r="AC820" t="s">
        <v>74</v>
      </c>
      <c r="AD820" t="s">
        <v>74</v>
      </c>
      <c r="AE820" t="s">
        <v>74</v>
      </c>
      <c r="AF820" t="s">
        <v>74</v>
      </c>
      <c r="AG820">
        <v>185</v>
      </c>
      <c r="AH820">
        <v>27</v>
      </c>
      <c r="AI820">
        <v>31</v>
      </c>
      <c r="AJ820">
        <v>4</v>
      </c>
      <c r="AK820">
        <v>31</v>
      </c>
      <c r="AL820" t="s">
        <v>91</v>
      </c>
      <c r="AM820" t="s">
        <v>374</v>
      </c>
      <c r="AN820" t="s">
        <v>14429</v>
      </c>
      <c r="AO820" t="s">
        <v>14430</v>
      </c>
      <c r="AP820" t="s">
        <v>74</v>
      </c>
      <c r="AQ820" t="s">
        <v>14431</v>
      </c>
      <c r="AR820" t="s">
        <v>14432</v>
      </c>
      <c r="AS820" t="s">
        <v>14433</v>
      </c>
      <c r="AT820" t="s">
        <v>74</v>
      </c>
      <c r="AU820">
        <v>2009</v>
      </c>
      <c r="AV820">
        <v>31</v>
      </c>
      <c r="AW820" t="s">
        <v>74</v>
      </c>
      <c r="AX820" t="s">
        <v>74</v>
      </c>
      <c r="AY820" t="s">
        <v>74</v>
      </c>
      <c r="AZ820" t="s">
        <v>74</v>
      </c>
      <c r="BA820" t="s">
        <v>74</v>
      </c>
      <c r="BB820">
        <v>313</v>
      </c>
      <c r="BC820">
        <v>343</v>
      </c>
      <c r="BD820" t="s">
        <v>74</v>
      </c>
      <c r="BE820" t="s">
        <v>14434</v>
      </c>
      <c r="BF820" t="str">
        <f>HYPERLINK("http://dx.doi.org/10.1007/978-1-4020-9210-7_18","http://dx.doi.org/10.1007/978-1-4020-9210-7_18")</f>
        <v>http://dx.doi.org/10.1007/978-1-4020-9210-7_18</v>
      </c>
      <c r="BG820" t="s">
        <v>74</v>
      </c>
      <c r="BH820" t="s">
        <v>74</v>
      </c>
      <c r="BI820">
        <v>31</v>
      </c>
      <c r="BJ820" t="s">
        <v>6525</v>
      </c>
      <c r="BK820" t="s">
        <v>2457</v>
      </c>
      <c r="BL820" t="s">
        <v>6525</v>
      </c>
      <c r="BM820" t="s">
        <v>14435</v>
      </c>
      <c r="BN820" t="s">
        <v>74</v>
      </c>
      <c r="BO820" t="s">
        <v>74</v>
      </c>
      <c r="BP820" t="s">
        <v>74</v>
      </c>
      <c r="BQ820" t="s">
        <v>74</v>
      </c>
      <c r="BR820" t="s">
        <v>103</v>
      </c>
      <c r="BS820" t="s">
        <v>14436</v>
      </c>
      <c r="BT820" t="str">
        <f>HYPERLINK("https%3A%2F%2Fwww.webofscience.com%2Fwos%2Fwoscc%2Ffull-record%2FWOS:000265786100018","View Full Record in Web of Science")</f>
        <v>View Full Record in Web of Science</v>
      </c>
    </row>
    <row r="821" spans="1:72" x14ac:dyDescent="0.15">
      <c r="A821" t="s">
        <v>2434</v>
      </c>
      <c r="B821" t="s">
        <v>14437</v>
      </c>
      <c r="C821" t="s">
        <v>74</v>
      </c>
      <c r="D821" t="s">
        <v>14438</v>
      </c>
      <c r="E821" t="s">
        <v>74</v>
      </c>
      <c r="F821" t="s">
        <v>14439</v>
      </c>
      <c r="G821" t="s">
        <v>74</v>
      </c>
      <c r="H821" t="s">
        <v>74</v>
      </c>
      <c r="I821" t="s">
        <v>14440</v>
      </c>
      <c r="J821" t="s">
        <v>14441</v>
      </c>
      <c r="K821" t="s">
        <v>13860</v>
      </c>
      <c r="L821" t="s">
        <v>74</v>
      </c>
      <c r="M821" t="s">
        <v>78</v>
      </c>
      <c r="N821" t="s">
        <v>2440</v>
      </c>
      <c r="O821" t="s">
        <v>14442</v>
      </c>
      <c r="P821" t="s">
        <v>14443</v>
      </c>
      <c r="Q821" t="s">
        <v>14444</v>
      </c>
      <c r="R821" t="s">
        <v>74</v>
      </c>
      <c r="S821" t="s">
        <v>74</v>
      </c>
      <c r="T821" t="s">
        <v>74</v>
      </c>
      <c r="U821" t="s">
        <v>74</v>
      </c>
      <c r="V821" t="s">
        <v>14445</v>
      </c>
      <c r="W821" t="s">
        <v>14446</v>
      </c>
      <c r="X821" t="s">
        <v>14447</v>
      </c>
      <c r="Y821" t="s">
        <v>14448</v>
      </c>
      <c r="Z821" t="s">
        <v>74</v>
      </c>
      <c r="AA821" t="s">
        <v>14449</v>
      </c>
      <c r="AB821" t="s">
        <v>74</v>
      </c>
      <c r="AC821" t="s">
        <v>14450</v>
      </c>
      <c r="AD821" t="s">
        <v>14451</v>
      </c>
      <c r="AE821" t="s">
        <v>14452</v>
      </c>
      <c r="AF821" t="s">
        <v>74</v>
      </c>
      <c r="AG821">
        <v>9</v>
      </c>
      <c r="AH821">
        <v>0</v>
      </c>
      <c r="AI821">
        <v>0</v>
      </c>
      <c r="AJ821">
        <v>0</v>
      </c>
      <c r="AK821">
        <v>1</v>
      </c>
      <c r="AL821" t="s">
        <v>347</v>
      </c>
      <c r="AM821" t="s">
        <v>348</v>
      </c>
      <c r="AN821" t="s">
        <v>13871</v>
      </c>
      <c r="AO821" t="s">
        <v>13872</v>
      </c>
      <c r="AP821" t="s">
        <v>74</v>
      </c>
      <c r="AQ821" t="s">
        <v>14453</v>
      </c>
      <c r="AR821" t="s">
        <v>13874</v>
      </c>
      <c r="AS821" t="s">
        <v>74</v>
      </c>
      <c r="AT821" t="s">
        <v>74</v>
      </c>
      <c r="AU821">
        <v>2009</v>
      </c>
      <c r="AV821">
        <v>1144</v>
      </c>
      <c r="AW821" t="s">
        <v>74</v>
      </c>
      <c r="AX821" t="s">
        <v>74</v>
      </c>
      <c r="AY821" t="s">
        <v>74</v>
      </c>
      <c r="AZ821" t="s">
        <v>74</v>
      </c>
      <c r="BA821" t="s">
        <v>74</v>
      </c>
      <c r="BB821">
        <v>192</v>
      </c>
      <c r="BC821" t="s">
        <v>10944</v>
      </c>
      <c r="BD821" t="s">
        <v>74</v>
      </c>
      <c r="BE821" t="s">
        <v>74</v>
      </c>
      <c r="BF821" t="s">
        <v>74</v>
      </c>
      <c r="BG821" t="s">
        <v>74</v>
      </c>
      <c r="BH821" t="s">
        <v>74</v>
      </c>
      <c r="BI821">
        <v>2</v>
      </c>
      <c r="BJ821" t="s">
        <v>285</v>
      </c>
      <c r="BK821" t="s">
        <v>2457</v>
      </c>
      <c r="BL821" t="s">
        <v>285</v>
      </c>
      <c r="BM821" t="s">
        <v>14454</v>
      </c>
      <c r="BN821" t="s">
        <v>74</v>
      </c>
      <c r="BO821" t="s">
        <v>74</v>
      </c>
      <c r="BP821" t="s">
        <v>74</v>
      </c>
      <c r="BQ821" t="s">
        <v>74</v>
      </c>
      <c r="BR821" t="s">
        <v>103</v>
      </c>
      <c r="BS821" t="s">
        <v>14455</v>
      </c>
      <c r="BT821" t="str">
        <f>HYPERLINK("https%3A%2F%2Fwww.webofscience.com%2Fwos%2Fwoscc%2Ffull-record%2FWOS:000270932100031","View Full Record in Web of Science")</f>
        <v>View Full Record in Web of Science</v>
      </c>
    </row>
    <row r="822" spans="1:72" x14ac:dyDescent="0.15">
      <c r="A822" t="s">
        <v>72</v>
      </c>
      <c r="B822" t="s">
        <v>14456</v>
      </c>
      <c r="C822" t="s">
        <v>74</v>
      </c>
      <c r="D822" t="s">
        <v>74</v>
      </c>
      <c r="E822" t="s">
        <v>74</v>
      </c>
      <c r="F822" t="s">
        <v>14457</v>
      </c>
      <c r="G822" t="s">
        <v>74</v>
      </c>
      <c r="H822" t="s">
        <v>74</v>
      </c>
      <c r="I822" t="s">
        <v>14458</v>
      </c>
      <c r="J822" t="s">
        <v>14459</v>
      </c>
      <c r="K822" t="s">
        <v>74</v>
      </c>
      <c r="L822" t="s">
        <v>74</v>
      </c>
      <c r="M822" t="s">
        <v>78</v>
      </c>
      <c r="N822" t="s">
        <v>79</v>
      </c>
      <c r="O822" t="s">
        <v>74</v>
      </c>
      <c r="P822" t="s">
        <v>74</v>
      </c>
      <c r="Q822" t="s">
        <v>74</v>
      </c>
      <c r="R822" t="s">
        <v>74</v>
      </c>
      <c r="S822" t="s">
        <v>74</v>
      </c>
      <c r="T822" t="s">
        <v>14460</v>
      </c>
      <c r="U822" t="s">
        <v>14461</v>
      </c>
      <c r="V822" t="s">
        <v>14462</v>
      </c>
      <c r="W822" t="s">
        <v>14463</v>
      </c>
      <c r="X822" t="s">
        <v>14464</v>
      </c>
      <c r="Y822" t="s">
        <v>14465</v>
      </c>
      <c r="Z822" t="s">
        <v>14466</v>
      </c>
      <c r="AA822" t="s">
        <v>14467</v>
      </c>
      <c r="AB822" t="s">
        <v>74</v>
      </c>
      <c r="AC822" t="s">
        <v>74</v>
      </c>
      <c r="AD822" t="s">
        <v>74</v>
      </c>
      <c r="AE822" t="s">
        <v>74</v>
      </c>
      <c r="AF822" t="s">
        <v>74</v>
      </c>
      <c r="AG822">
        <v>26</v>
      </c>
      <c r="AH822">
        <v>18</v>
      </c>
      <c r="AI822">
        <v>18</v>
      </c>
      <c r="AJ822">
        <v>0</v>
      </c>
      <c r="AK822">
        <v>10</v>
      </c>
      <c r="AL822" t="s">
        <v>1167</v>
      </c>
      <c r="AM822" t="s">
        <v>1168</v>
      </c>
      <c r="AN822" t="s">
        <v>1169</v>
      </c>
      <c r="AO822" t="s">
        <v>14468</v>
      </c>
      <c r="AP822" t="s">
        <v>14469</v>
      </c>
      <c r="AQ822" t="s">
        <v>74</v>
      </c>
      <c r="AR822" t="s">
        <v>14470</v>
      </c>
      <c r="AS822" t="s">
        <v>14471</v>
      </c>
      <c r="AT822" t="s">
        <v>74</v>
      </c>
      <c r="AU822">
        <v>2009</v>
      </c>
      <c r="AV822" t="s">
        <v>14472</v>
      </c>
      <c r="AW822">
        <v>2</v>
      </c>
      <c r="AX822" t="s">
        <v>74</v>
      </c>
      <c r="AY822" t="s">
        <v>74</v>
      </c>
      <c r="AZ822" t="s">
        <v>74</v>
      </c>
      <c r="BA822" t="s">
        <v>74</v>
      </c>
      <c r="BB822">
        <v>99</v>
      </c>
      <c r="BC822">
        <v>111</v>
      </c>
      <c r="BD822" t="s">
        <v>74</v>
      </c>
      <c r="BE822" t="s">
        <v>14473</v>
      </c>
      <c r="BF822" t="str">
        <f>HYPERLINK("http://dx.doi.org/10.1111/j.1468-0459.2009.00357.x","http://dx.doi.org/10.1111/j.1468-0459.2009.00357.x")</f>
        <v>http://dx.doi.org/10.1111/j.1468-0459.2009.00357.x</v>
      </c>
      <c r="BG822" t="s">
        <v>74</v>
      </c>
      <c r="BH822" t="s">
        <v>74</v>
      </c>
      <c r="BI822">
        <v>13</v>
      </c>
      <c r="BJ822" t="s">
        <v>14474</v>
      </c>
      <c r="BK822" t="s">
        <v>100</v>
      </c>
      <c r="BL822" t="s">
        <v>313</v>
      </c>
      <c r="BM822" t="s">
        <v>14475</v>
      </c>
      <c r="BN822" t="s">
        <v>74</v>
      </c>
      <c r="BO822" t="s">
        <v>74</v>
      </c>
      <c r="BP822" t="s">
        <v>74</v>
      </c>
      <c r="BQ822" t="s">
        <v>74</v>
      </c>
      <c r="BR822" t="s">
        <v>103</v>
      </c>
      <c r="BS822" t="s">
        <v>14476</v>
      </c>
      <c r="BT822" t="str">
        <f>HYPERLINK("https%3A%2F%2Fwww.webofscience.com%2Fwos%2Fwoscc%2Ffull-record%2FWOS:000266700400004","View Full Record in Web of Science")</f>
        <v>View Full Record in Web of Science</v>
      </c>
    </row>
    <row r="823" spans="1:72" x14ac:dyDescent="0.15">
      <c r="A823" t="s">
        <v>72</v>
      </c>
      <c r="B823" t="s">
        <v>14477</v>
      </c>
      <c r="C823" t="s">
        <v>74</v>
      </c>
      <c r="D823" t="s">
        <v>74</v>
      </c>
      <c r="E823" t="s">
        <v>74</v>
      </c>
      <c r="F823" t="s">
        <v>14478</v>
      </c>
      <c r="G823" t="s">
        <v>74</v>
      </c>
      <c r="H823" t="s">
        <v>74</v>
      </c>
      <c r="I823" t="s">
        <v>14479</v>
      </c>
      <c r="J823" t="s">
        <v>14459</v>
      </c>
      <c r="K823" t="s">
        <v>74</v>
      </c>
      <c r="L823" t="s">
        <v>74</v>
      </c>
      <c r="M823" t="s">
        <v>78</v>
      </c>
      <c r="N823" t="s">
        <v>79</v>
      </c>
      <c r="O823" t="s">
        <v>74</v>
      </c>
      <c r="P823" t="s">
        <v>74</v>
      </c>
      <c r="Q823" t="s">
        <v>74</v>
      </c>
      <c r="R823" t="s">
        <v>74</v>
      </c>
      <c r="S823" t="s">
        <v>74</v>
      </c>
      <c r="T823" t="s">
        <v>14480</v>
      </c>
      <c r="U823" t="s">
        <v>14481</v>
      </c>
      <c r="V823" t="s">
        <v>14482</v>
      </c>
      <c r="W823" t="s">
        <v>14483</v>
      </c>
      <c r="X823" t="s">
        <v>14484</v>
      </c>
      <c r="Y823" t="s">
        <v>14485</v>
      </c>
      <c r="Z823" t="s">
        <v>14486</v>
      </c>
      <c r="AA823" t="s">
        <v>14487</v>
      </c>
      <c r="AB823" t="s">
        <v>14488</v>
      </c>
      <c r="AC823" t="s">
        <v>14489</v>
      </c>
      <c r="AD823" t="s">
        <v>14489</v>
      </c>
      <c r="AE823" t="s">
        <v>14490</v>
      </c>
      <c r="AF823" t="s">
        <v>74</v>
      </c>
      <c r="AG823">
        <v>45</v>
      </c>
      <c r="AH823">
        <v>21</v>
      </c>
      <c r="AI823">
        <v>22</v>
      </c>
      <c r="AJ823">
        <v>2</v>
      </c>
      <c r="AK823">
        <v>24</v>
      </c>
      <c r="AL823" t="s">
        <v>1167</v>
      </c>
      <c r="AM823" t="s">
        <v>1168</v>
      </c>
      <c r="AN823" t="s">
        <v>1169</v>
      </c>
      <c r="AO823" t="s">
        <v>14468</v>
      </c>
      <c r="AP823" t="s">
        <v>14469</v>
      </c>
      <c r="AQ823" t="s">
        <v>74</v>
      </c>
      <c r="AR823" t="s">
        <v>14470</v>
      </c>
      <c r="AS823" t="s">
        <v>14471</v>
      </c>
      <c r="AT823" t="s">
        <v>74</v>
      </c>
      <c r="AU823">
        <v>2009</v>
      </c>
      <c r="AV823" t="s">
        <v>14472</v>
      </c>
      <c r="AW823">
        <v>4</v>
      </c>
      <c r="AX823" t="s">
        <v>74</v>
      </c>
      <c r="AY823" t="s">
        <v>74</v>
      </c>
      <c r="AZ823" t="s">
        <v>74</v>
      </c>
      <c r="BA823" t="s">
        <v>74</v>
      </c>
      <c r="BB823">
        <v>257</v>
      </c>
      <c r="BC823">
        <v>268</v>
      </c>
      <c r="BD823" t="s">
        <v>74</v>
      </c>
      <c r="BE823" t="s">
        <v>14491</v>
      </c>
      <c r="BF823" t="str">
        <f>HYPERLINK("http://dx.doi.org/10.1111/j.1468-0459.2009.00368.x","http://dx.doi.org/10.1111/j.1468-0459.2009.00368.x")</f>
        <v>http://dx.doi.org/10.1111/j.1468-0459.2009.00368.x</v>
      </c>
      <c r="BG823" t="s">
        <v>74</v>
      </c>
      <c r="BH823" t="s">
        <v>74</v>
      </c>
      <c r="BI823">
        <v>12</v>
      </c>
      <c r="BJ823" t="s">
        <v>14474</v>
      </c>
      <c r="BK823" t="s">
        <v>100</v>
      </c>
      <c r="BL823" t="s">
        <v>313</v>
      </c>
      <c r="BM823" t="s">
        <v>14492</v>
      </c>
      <c r="BN823" t="s">
        <v>74</v>
      </c>
      <c r="BO823" t="s">
        <v>74</v>
      </c>
      <c r="BP823" t="s">
        <v>74</v>
      </c>
      <c r="BQ823" t="s">
        <v>74</v>
      </c>
      <c r="BR823" t="s">
        <v>103</v>
      </c>
      <c r="BS823" t="s">
        <v>14493</v>
      </c>
      <c r="BT823" t="str">
        <f>HYPERLINK("https%3A%2F%2Fwww.webofscience.com%2Fwos%2Fwoscc%2Ffull-record%2FWOS:000272836700003","View Full Record in Web of Science")</f>
        <v>View Full Record in Web of Science</v>
      </c>
    </row>
    <row r="824" spans="1:72" x14ac:dyDescent="0.15">
      <c r="A824" t="s">
        <v>72</v>
      </c>
      <c r="B824" t="s">
        <v>14494</v>
      </c>
      <c r="C824" t="s">
        <v>74</v>
      </c>
      <c r="D824" t="s">
        <v>74</v>
      </c>
      <c r="E824" t="s">
        <v>74</v>
      </c>
      <c r="F824" t="s">
        <v>14495</v>
      </c>
      <c r="G824" t="s">
        <v>74</v>
      </c>
      <c r="H824" t="s">
        <v>74</v>
      </c>
      <c r="I824" t="s">
        <v>14496</v>
      </c>
      <c r="J824" t="s">
        <v>14459</v>
      </c>
      <c r="K824" t="s">
        <v>74</v>
      </c>
      <c r="L824" t="s">
        <v>74</v>
      </c>
      <c r="M824" t="s">
        <v>78</v>
      </c>
      <c r="N824" t="s">
        <v>79</v>
      </c>
      <c r="O824" t="s">
        <v>74</v>
      </c>
      <c r="P824" t="s">
        <v>74</v>
      </c>
      <c r="Q824" t="s">
        <v>74</v>
      </c>
      <c r="R824" t="s">
        <v>74</v>
      </c>
      <c r="S824" t="s">
        <v>74</v>
      </c>
      <c r="T824" t="s">
        <v>14497</v>
      </c>
      <c r="U824" t="s">
        <v>14498</v>
      </c>
      <c r="V824" t="s">
        <v>14499</v>
      </c>
      <c r="W824" t="s">
        <v>14500</v>
      </c>
      <c r="X824" t="s">
        <v>14501</v>
      </c>
      <c r="Y824" t="s">
        <v>14502</v>
      </c>
      <c r="Z824" t="s">
        <v>14503</v>
      </c>
      <c r="AA824" t="s">
        <v>74</v>
      </c>
      <c r="AB824" t="s">
        <v>14504</v>
      </c>
      <c r="AC824" t="s">
        <v>14505</v>
      </c>
      <c r="AD824" t="s">
        <v>14506</v>
      </c>
      <c r="AE824" t="s">
        <v>14507</v>
      </c>
      <c r="AF824" t="s">
        <v>74</v>
      </c>
      <c r="AG824">
        <v>30</v>
      </c>
      <c r="AH824">
        <v>8</v>
      </c>
      <c r="AI824">
        <v>8</v>
      </c>
      <c r="AJ824">
        <v>1</v>
      </c>
      <c r="AK824">
        <v>10</v>
      </c>
      <c r="AL824" t="s">
        <v>1167</v>
      </c>
      <c r="AM824" t="s">
        <v>1168</v>
      </c>
      <c r="AN824" t="s">
        <v>1169</v>
      </c>
      <c r="AO824" t="s">
        <v>14468</v>
      </c>
      <c r="AP824" t="s">
        <v>14469</v>
      </c>
      <c r="AQ824" t="s">
        <v>74</v>
      </c>
      <c r="AR824" t="s">
        <v>14470</v>
      </c>
      <c r="AS824" t="s">
        <v>14471</v>
      </c>
      <c r="AT824" t="s">
        <v>74</v>
      </c>
      <c r="AU824">
        <v>2009</v>
      </c>
      <c r="AV824" t="s">
        <v>14472</v>
      </c>
      <c r="AW824">
        <v>4</v>
      </c>
      <c r="AX824" t="s">
        <v>74</v>
      </c>
      <c r="AY824" t="s">
        <v>74</v>
      </c>
      <c r="AZ824" t="s">
        <v>74</v>
      </c>
      <c r="BA824" t="s">
        <v>74</v>
      </c>
      <c r="BB824">
        <v>313</v>
      </c>
      <c r="BC824">
        <v>319</v>
      </c>
      <c r="BD824" t="s">
        <v>74</v>
      </c>
      <c r="BE824" t="s">
        <v>14508</v>
      </c>
      <c r="BF824" t="str">
        <f>HYPERLINK("http://dx.doi.org/10.1111/j.1468-0459.2009.00372.x","http://dx.doi.org/10.1111/j.1468-0459.2009.00372.x")</f>
        <v>http://dx.doi.org/10.1111/j.1468-0459.2009.00372.x</v>
      </c>
      <c r="BG824" t="s">
        <v>74</v>
      </c>
      <c r="BH824" t="s">
        <v>74</v>
      </c>
      <c r="BI824">
        <v>7</v>
      </c>
      <c r="BJ824" t="s">
        <v>14474</v>
      </c>
      <c r="BK824" t="s">
        <v>100</v>
      </c>
      <c r="BL824" t="s">
        <v>313</v>
      </c>
      <c r="BM824" t="s">
        <v>14492</v>
      </c>
      <c r="BN824" t="s">
        <v>74</v>
      </c>
      <c r="BO824" t="s">
        <v>74</v>
      </c>
      <c r="BP824" t="s">
        <v>74</v>
      </c>
      <c r="BQ824" t="s">
        <v>74</v>
      </c>
      <c r="BR824" t="s">
        <v>103</v>
      </c>
      <c r="BS824" t="s">
        <v>14509</v>
      </c>
      <c r="BT824" t="str">
        <f>HYPERLINK("https%3A%2F%2Fwww.webofscience.com%2Fwos%2Fwoscc%2Ffull-record%2FWOS:000272836700007","View Full Record in Web of Science")</f>
        <v>View Full Record in Web of Science</v>
      </c>
    </row>
    <row r="825" spans="1:72" x14ac:dyDescent="0.15">
      <c r="A825" t="s">
        <v>5277</v>
      </c>
      <c r="B825" t="s">
        <v>14510</v>
      </c>
      <c r="C825" t="s">
        <v>74</v>
      </c>
      <c r="D825" t="s">
        <v>14511</v>
      </c>
      <c r="E825" t="s">
        <v>74</v>
      </c>
      <c r="F825" t="s">
        <v>14512</v>
      </c>
      <c r="G825" t="s">
        <v>74</v>
      </c>
      <c r="H825" t="s">
        <v>74</v>
      </c>
      <c r="I825" t="s">
        <v>14513</v>
      </c>
      <c r="J825" t="s">
        <v>14514</v>
      </c>
      <c r="K825" t="s">
        <v>74</v>
      </c>
      <c r="L825" t="s">
        <v>74</v>
      </c>
      <c r="M825" t="s">
        <v>78</v>
      </c>
      <c r="N825" t="s">
        <v>11976</v>
      </c>
      <c r="O825" t="s">
        <v>74</v>
      </c>
      <c r="P825" t="s">
        <v>74</v>
      </c>
      <c r="Q825" t="s">
        <v>74</v>
      </c>
      <c r="R825" t="s">
        <v>74</v>
      </c>
      <c r="S825" t="s">
        <v>74</v>
      </c>
      <c r="T825" t="s">
        <v>74</v>
      </c>
      <c r="U825" t="s">
        <v>14515</v>
      </c>
      <c r="V825" t="s">
        <v>74</v>
      </c>
      <c r="W825" t="s">
        <v>14516</v>
      </c>
      <c r="X825" t="s">
        <v>12058</v>
      </c>
      <c r="Y825" t="s">
        <v>14517</v>
      </c>
      <c r="Z825" t="s">
        <v>74</v>
      </c>
      <c r="AA825" t="s">
        <v>74</v>
      </c>
      <c r="AB825" t="s">
        <v>74</v>
      </c>
      <c r="AC825" t="s">
        <v>74</v>
      </c>
      <c r="AD825" t="s">
        <v>74</v>
      </c>
      <c r="AE825" t="s">
        <v>74</v>
      </c>
      <c r="AF825" t="s">
        <v>74</v>
      </c>
      <c r="AG825">
        <v>114</v>
      </c>
      <c r="AH825">
        <v>2</v>
      </c>
      <c r="AI825">
        <v>2</v>
      </c>
      <c r="AJ825">
        <v>0</v>
      </c>
      <c r="AK825">
        <v>0</v>
      </c>
      <c r="AL825" t="s">
        <v>3728</v>
      </c>
      <c r="AM825" t="s">
        <v>5833</v>
      </c>
      <c r="AN825" t="s">
        <v>14518</v>
      </c>
      <c r="AO825" t="s">
        <v>74</v>
      </c>
      <c r="AP825" t="s">
        <v>74</v>
      </c>
      <c r="AQ825" t="s">
        <v>14519</v>
      </c>
      <c r="AR825" t="s">
        <v>74</v>
      </c>
      <c r="AS825" t="s">
        <v>74</v>
      </c>
      <c r="AT825" t="s">
        <v>74</v>
      </c>
      <c r="AU825">
        <v>2009</v>
      </c>
      <c r="AV825" t="s">
        <v>74</v>
      </c>
      <c r="AW825" t="s">
        <v>74</v>
      </c>
      <c r="AX825" t="s">
        <v>74</v>
      </c>
      <c r="AY825" t="s">
        <v>74</v>
      </c>
      <c r="AZ825" t="s">
        <v>74</v>
      </c>
      <c r="BA825" t="s">
        <v>74</v>
      </c>
      <c r="BB825">
        <v>368</v>
      </c>
      <c r="BC825">
        <v>402</v>
      </c>
      <c r="BD825" t="s">
        <v>74</v>
      </c>
      <c r="BE825" t="s">
        <v>74</v>
      </c>
      <c r="BF825" t="s">
        <v>74</v>
      </c>
      <c r="BG825" t="s">
        <v>74</v>
      </c>
      <c r="BH825" t="s">
        <v>74</v>
      </c>
      <c r="BI825">
        <v>35</v>
      </c>
      <c r="BJ825" t="s">
        <v>1927</v>
      </c>
      <c r="BK825" t="s">
        <v>11989</v>
      </c>
      <c r="BL825" t="s">
        <v>1928</v>
      </c>
      <c r="BM825" t="s">
        <v>14520</v>
      </c>
      <c r="BN825" t="s">
        <v>74</v>
      </c>
      <c r="BO825" t="s">
        <v>74</v>
      </c>
      <c r="BP825" t="s">
        <v>74</v>
      </c>
      <c r="BQ825" t="s">
        <v>74</v>
      </c>
      <c r="BR825" t="s">
        <v>103</v>
      </c>
      <c r="BS825" t="s">
        <v>14521</v>
      </c>
      <c r="BT825" t="str">
        <f>HYPERLINK("https%3A%2F%2Fwww.webofscience.com%2Fwos%2Fwoscc%2Ffull-record%2FWOS:000321448100015","View Full Record in Web of Science")</f>
        <v>View Full Record in Web of Science</v>
      </c>
    </row>
    <row r="826" spans="1:72" x14ac:dyDescent="0.15">
      <c r="A826" t="s">
        <v>5277</v>
      </c>
      <c r="B826" t="s">
        <v>14522</v>
      </c>
      <c r="C826" t="s">
        <v>14522</v>
      </c>
      <c r="D826" t="s">
        <v>74</v>
      </c>
      <c r="E826" t="s">
        <v>74</v>
      </c>
      <c r="F826" t="s">
        <v>14523</v>
      </c>
      <c r="G826" t="s">
        <v>14522</v>
      </c>
      <c r="H826" t="s">
        <v>74</v>
      </c>
      <c r="I826" t="s">
        <v>14524</v>
      </c>
      <c r="J826" t="s">
        <v>14525</v>
      </c>
      <c r="K826" t="s">
        <v>74</v>
      </c>
      <c r="L826" t="s">
        <v>74</v>
      </c>
      <c r="M826" t="s">
        <v>78</v>
      </c>
      <c r="N826" t="s">
        <v>11976</v>
      </c>
      <c r="O826" t="s">
        <v>74</v>
      </c>
      <c r="P826" t="s">
        <v>74</v>
      </c>
      <c r="Q826" t="s">
        <v>74</v>
      </c>
      <c r="R826" t="s">
        <v>74</v>
      </c>
      <c r="S826" t="s">
        <v>74</v>
      </c>
      <c r="T826" t="s">
        <v>14526</v>
      </c>
      <c r="U826" t="s">
        <v>14527</v>
      </c>
      <c r="V826" t="s">
        <v>14528</v>
      </c>
      <c r="W826" t="s">
        <v>14529</v>
      </c>
      <c r="X826" t="s">
        <v>4992</v>
      </c>
      <c r="Y826" t="s">
        <v>14530</v>
      </c>
      <c r="Z826" t="s">
        <v>14531</v>
      </c>
      <c r="AA826" t="s">
        <v>14532</v>
      </c>
      <c r="AB826" t="s">
        <v>14533</v>
      </c>
      <c r="AC826" t="s">
        <v>74</v>
      </c>
      <c r="AD826" t="s">
        <v>74</v>
      </c>
      <c r="AE826" t="s">
        <v>74</v>
      </c>
      <c r="AF826" t="s">
        <v>74</v>
      </c>
      <c r="AG826">
        <v>0</v>
      </c>
      <c r="AH826">
        <v>1</v>
      </c>
      <c r="AI826">
        <v>1</v>
      </c>
      <c r="AJ826">
        <v>0</v>
      </c>
      <c r="AK826">
        <v>3</v>
      </c>
      <c r="AL826" t="s">
        <v>91</v>
      </c>
      <c r="AM826" t="s">
        <v>92</v>
      </c>
      <c r="AN826" t="s">
        <v>14534</v>
      </c>
      <c r="AO826" t="s">
        <v>74</v>
      </c>
      <c r="AP826" t="s">
        <v>74</v>
      </c>
      <c r="AQ826" t="s">
        <v>14535</v>
      </c>
      <c r="AR826" t="s">
        <v>74</v>
      </c>
      <c r="AS826" t="s">
        <v>74</v>
      </c>
      <c r="AT826" t="s">
        <v>74</v>
      </c>
      <c r="AU826">
        <v>2009</v>
      </c>
      <c r="AV826" t="s">
        <v>74</v>
      </c>
      <c r="AW826" t="s">
        <v>74</v>
      </c>
      <c r="AX826" t="s">
        <v>74</v>
      </c>
      <c r="AY826" t="s">
        <v>74</v>
      </c>
      <c r="AZ826" t="s">
        <v>74</v>
      </c>
      <c r="BA826" t="s">
        <v>74</v>
      </c>
      <c r="BB826">
        <v>1</v>
      </c>
      <c r="BC826" t="s">
        <v>10944</v>
      </c>
      <c r="BD826" t="s">
        <v>74</v>
      </c>
      <c r="BE826" t="s">
        <v>14536</v>
      </c>
      <c r="BF826" t="str">
        <f>HYPERLINK("http://dx.doi.org/10.1007/978-90-481-2415-2_1","http://dx.doi.org/10.1007/978-90-481-2415-2_1")</f>
        <v>http://dx.doi.org/10.1007/978-90-481-2415-2_1</v>
      </c>
      <c r="BG826" t="s">
        <v>14537</v>
      </c>
      <c r="BH826" t="s">
        <v>74</v>
      </c>
      <c r="BI826">
        <v>65</v>
      </c>
      <c r="BJ826" t="s">
        <v>14538</v>
      </c>
      <c r="BK826" t="s">
        <v>11989</v>
      </c>
      <c r="BL826" t="s">
        <v>14539</v>
      </c>
      <c r="BM826" t="s">
        <v>14540</v>
      </c>
      <c r="BN826" t="s">
        <v>74</v>
      </c>
      <c r="BO826" t="s">
        <v>74</v>
      </c>
      <c r="BP826" t="s">
        <v>74</v>
      </c>
      <c r="BQ826" t="s">
        <v>74</v>
      </c>
      <c r="BR826" t="s">
        <v>103</v>
      </c>
      <c r="BS826" t="s">
        <v>14541</v>
      </c>
      <c r="BT826" t="str">
        <f>HYPERLINK("https%3A%2F%2Fwww.webofscience.com%2Fwos%2Fwoscc%2Ffull-record%2FWOS:000273748400001","View Full Record in Web of Science")</f>
        <v>View Full Record in Web of Science</v>
      </c>
    </row>
    <row r="827" spans="1:72" x14ac:dyDescent="0.15">
      <c r="A827" t="s">
        <v>2434</v>
      </c>
      <c r="B827" t="s">
        <v>14542</v>
      </c>
      <c r="C827" t="s">
        <v>74</v>
      </c>
      <c r="D827" t="s">
        <v>14543</v>
      </c>
      <c r="E827" t="s">
        <v>74</v>
      </c>
      <c r="F827" t="s">
        <v>14544</v>
      </c>
      <c r="G827" t="s">
        <v>74</v>
      </c>
      <c r="H827" t="s">
        <v>74</v>
      </c>
      <c r="I827" t="s">
        <v>14545</v>
      </c>
      <c r="J827" t="s">
        <v>14546</v>
      </c>
      <c r="K827" t="s">
        <v>14547</v>
      </c>
      <c r="L827" t="s">
        <v>74</v>
      </c>
      <c r="M827" t="s">
        <v>78</v>
      </c>
      <c r="N827" t="s">
        <v>2440</v>
      </c>
      <c r="O827" t="s">
        <v>14548</v>
      </c>
      <c r="P827" t="s">
        <v>14549</v>
      </c>
      <c r="Q827" t="s">
        <v>14550</v>
      </c>
      <c r="R827" t="s">
        <v>74</v>
      </c>
      <c r="S827" t="s">
        <v>14551</v>
      </c>
      <c r="T827" t="s">
        <v>74</v>
      </c>
      <c r="U827" t="s">
        <v>74</v>
      </c>
      <c r="V827" t="s">
        <v>14552</v>
      </c>
      <c r="W827" t="s">
        <v>14553</v>
      </c>
      <c r="X827" t="s">
        <v>14554</v>
      </c>
      <c r="Y827" t="s">
        <v>74</v>
      </c>
      <c r="Z827" t="s">
        <v>14555</v>
      </c>
      <c r="AA827" t="s">
        <v>74</v>
      </c>
      <c r="AB827" t="s">
        <v>74</v>
      </c>
      <c r="AC827" t="s">
        <v>74</v>
      </c>
      <c r="AD827" t="s">
        <v>74</v>
      </c>
      <c r="AE827" t="s">
        <v>74</v>
      </c>
      <c r="AF827" t="s">
        <v>74</v>
      </c>
      <c r="AG827">
        <v>5</v>
      </c>
      <c r="AH827">
        <v>0</v>
      </c>
      <c r="AI827">
        <v>0</v>
      </c>
      <c r="AJ827">
        <v>0</v>
      </c>
      <c r="AK827">
        <v>4</v>
      </c>
      <c r="AL827" t="s">
        <v>14556</v>
      </c>
      <c r="AM827" t="s">
        <v>252</v>
      </c>
      <c r="AN827" t="s">
        <v>14557</v>
      </c>
      <c r="AO827" t="s">
        <v>14558</v>
      </c>
      <c r="AP827" t="s">
        <v>74</v>
      </c>
      <c r="AQ827" t="s">
        <v>14559</v>
      </c>
      <c r="AR827" t="s">
        <v>14560</v>
      </c>
      <c r="AS827" t="s">
        <v>74</v>
      </c>
      <c r="AT827" t="s">
        <v>74</v>
      </c>
      <c r="AU827">
        <v>2009</v>
      </c>
      <c r="AV827" t="s">
        <v>74</v>
      </c>
      <c r="AW827">
        <v>11</v>
      </c>
      <c r="AX827" t="s">
        <v>74</v>
      </c>
      <c r="AY827" t="s">
        <v>74</v>
      </c>
      <c r="AZ827" t="s">
        <v>74</v>
      </c>
      <c r="BA827" t="s">
        <v>74</v>
      </c>
      <c r="BB827">
        <v>68</v>
      </c>
      <c r="BC827">
        <v>72</v>
      </c>
      <c r="BD827" t="s">
        <v>74</v>
      </c>
      <c r="BE827" t="s">
        <v>74</v>
      </c>
      <c r="BF827" t="s">
        <v>74</v>
      </c>
      <c r="BG827" t="s">
        <v>74</v>
      </c>
      <c r="BH827" t="s">
        <v>74</v>
      </c>
      <c r="BI827">
        <v>5</v>
      </c>
      <c r="BJ827" t="s">
        <v>14561</v>
      </c>
      <c r="BK827" t="s">
        <v>14562</v>
      </c>
      <c r="BL827" t="s">
        <v>14561</v>
      </c>
      <c r="BM827" t="s">
        <v>14563</v>
      </c>
      <c r="BN827" t="s">
        <v>74</v>
      </c>
      <c r="BO827" t="s">
        <v>74</v>
      </c>
      <c r="BP827" t="s">
        <v>74</v>
      </c>
      <c r="BQ827" t="s">
        <v>74</v>
      </c>
      <c r="BR827" t="s">
        <v>103</v>
      </c>
      <c r="BS827" t="s">
        <v>14564</v>
      </c>
      <c r="BT827" t="str">
        <f>HYPERLINK("https%3A%2F%2Fwww.webofscience.com%2Fwos%2Fwoscc%2Ffull-record%2FWOS:000277988800010","View Full Record in Web of Science")</f>
        <v>View Full Record in Web of Science</v>
      </c>
    </row>
    <row r="828" spans="1:72" x14ac:dyDescent="0.15">
      <c r="A828" t="s">
        <v>5277</v>
      </c>
      <c r="B828" t="s">
        <v>14565</v>
      </c>
      <c r="C828" t="s">
        <v>74</v>
      </c>
      <c r="D828" t="s">
        <v>14566</v>
      </c>
      <c r="E828" t="s">
        <v>74</v>
      </c>
      <c r="F828" t="s">
        <v>14567</v>
      </c>
      <c r="G828" t="s">
        <v>74</v>
      </c>
      <c r="H828" t="s">
        <v>74</v>
      </c>
      <c r="I828" t="s">
        <v>14568</v>
      </c>
      <c r="J828" t="s">
        <v>14569</v>
      </c>
      <c r="K828" t="s">
        <v>74</v>
      </c>
      <c r="L828" t="s">
        <v>74</v>
      </c>
      <c r="M828" t="s">
        <v>78</v>
      </c>
      <c r="N828" t="s">
        <v>11976</v>
      </c>
      <c r="O828" t="s">
        <v>74</v>
      </c>
      <c r="P828" t="s">
        <v>74</v>
      </c>
      <c r="Q828" t="s">
        <v>74</v>
      </c>
      <c r="R828" t="s">
        <v>74</v>
      </c>
      <c r="S828" t="s">
        <v>74</v>
      </c>
      <c r="T828" t="s">
        <v>74</v>
      </c>
      <c r="U828" t="s">
        <v>14570</v>
      </c>
      <c r="V828" t="s">
        <v>14571</v>
      </c>
      <c r="W828" t="s">
        <v>14572</v>
      </c>
      <c r="X828" t="s">
        <v>389</v>
      </c>
      <c r="Y828" t="s">
        <v>14573</v>
      </c>
      <c r="Z828" t="s">
        <v>14574</v>
      </c>
      <c r="AA828" t="s">
        <v>74</v>
      </c>
      <c r="AB828" t="s">
        <v>74</v>
      </c>
      <c r="AC828" t="s">
        <v>74</v>
      </c>
      <c r="AD828" t="s">
        <v>74</v>
      </c>
      <c r="AE828" t="s">
        <v>74</v>
      </c>
      <c r="AF828" t="s">
        <v>74</v>
      </c>
      <c r="AG828">
        <v>23</v>
      </c>
      <c r="AH828">
        <v>0</v>
      </c>
      <c r="AI828">
        <v>0</v>
      </c>
      <c r="AJ828">
        <v>0</v>
      </c>
      <c r="AK828">
        <v>0</v>
      </c>
      <c r="AL828" t="s">
        <v>14575</v>
      </c>
      <c r="AM828" t="s">
        <v>14576</v>
      </c>
      <c r="AN828" t="s">
        <v>14577</v>
      </c>
      <c r="AO828" t="s">
        <v>74</v>
      </c>
      <c r="AP828" t="s">
        <v>74</v>
      </c>
      <c r="AQ828" t="s">
        <v>14578</v>
      </c>
      <c r="AR828" t="s">
        <v>74</v>
      </c>
      <c r="AS828" t="s">
        <v>74</v>
      </c>
      <c r="AT828" t="s">
        <v>74</v>
      </c>
      <c r="AU828">
        <v>2009</v>
      </c>
      <c r="AV828" t="s">
        <v>74</v>
      </c>
      <c r="AW828" t="s">
        <v>74</v>
      </c>
      <c r="AX828" t="s">
        <v>74</v>
      </c>
      <c r="AY828" t="s">
        <v>74</v>
      </c>
      <c r="AZ828" t="s">
        <v>74</v>
      </c>
      <c r="BA828" t="s">
        <v>74</v>
      </c>
      <c r="BB828">
        <v>177</v>
      </c>
      <c r="BC828">
        <v>196</v>
      </c>
      <c r="BD828" t="s">
        <v>74</v>
      </c>
      <c r="BE828" t="s">
        <v>74</v>
      </c>
      <c r="BF828" t="s">
        <v>74</v>
      </c>
      <c r="BG828" t="s">
        <v>74</v>
      </c>
      <c r="BH828" t="s">
        <v>74</v>
      </c>
      <c r="BI828">
        <v>20</v>
      </c>
      <c r="BJ828" t="s">
        <v>14579</v>
      </c>
      <c r="BK828" t="s">
        <v>11989</v>
      </c>
      <c r="BL828" t="s">
        <v>14579</v>
      </c>
      <c r="BM828" t="s">
        <v>14580</v>
      </c>
      <c r="BN828" t="s">
        <v>74</v>
      </c>
      <c r="BO828" t="s">
        <v>74</v>
      </c>
      <c r="BP828" t="s">
        <v>74</v>
      </c>
      <c r="BQ828" t="s">
        <v>74</v>
      </c>
      <c r="BR828" t="s">
        <v>103</v>
      </c>
      <c r="BS828" t="s">
        <v>14581</v>
      </c>
      <c r="BT828" t="str">
        <f>HYPERLINK("https%3A%2F%2Fwww.webofscience.com%2Fwos%2Fwoscc%2Ffull-record%2FWOS:000271116300004","View Full Record in Web of Science")</f>
        <v>View Full Record in Web of Science</v>
      </c>
    </row>
    <row r="829" spans="1:72" x14ac:dyDescent="0.15">
      <c r="A829" t="s">
        <v>72</v>
      </c>
      <c r="B829" t="s">
        <v>14582</v>
      </c>
      <c r="C829" t="s">
        <v>74</v>
      </c>
      <c r="D829" t="s">
        <v>74</v>
      </c>
      <c r="E829" t="s">
        <v>74</v>
      </c>
      <c r="F829" t="s">
        <v>14583</v>
      </c>
      <c r="G829" t="s">
        <v>74</v>
      </c>
      <c r="H829" t="s">
        <v>74</v>
      </c>
      <c r="I829" t="s">
        <v>14584</v>
      </c>
      <c r="J829" t="s">
        <v>14585</v>
      </c>
      <c r="K829" t="s">
        <v>74</v>
      </c>
      <c r="L829" t="s">
        <v>74</v>
      </c>
      <c r="M829" t="s">
        <v>78</v>
      </c>
      <c r="N829" t="s">
        <v>79</v>
      </c>
      <c r="O829" t="s">
        <v>74</v>
      </c>
      <c r="P829" t="s">
        <v>74</v>
      </c>
      <c r="Q829" t="s">
        <v>74</v>
      </c>
      <c r="R829" t="s">
        <v>74</v>
      </c>
      <c r="S829" t="s">
        <v>74</v>
      </c>
      <c r="T829" t="s">
        <v>74</v>
      </c>
      <c r="U829" t="s">
        <v>14586</v>
      </c>
      <c r="V829" t="s">
        <v>14587</v>
      </c>
      <c r="W829" t="s">
        <v>14588</v>
      </c>
      <c r="X829" t="s">
        <v>14589</v>
      </c>
      <c r="Y829" t="s">
        <v>14590</v>
      </c>
      <c r="Z829" t="s">
        <v>14591</v>
      </c>
      <c r="AA829" t="s">
        <v>14592</v>
      </c>
      <c r="AB829" t="s">
        <v>14593</v>
      </c>
      <c r="AC829" t="s">
        <v>1592</v>
      </c>
      <c r="AD829" t="s">
        <v>1593</v>
      </c>
      <c r="AE829" t="s">
        <v>74</v>
      </c>
      <c r="AF829" t="s">
        <v>74</v>
      </c>
      <c r="AG829">
        <v>25</v>
      </c>
      <c r="AH829">
        <v>13</v>
      </c>
      <c r="AI829">
        <v>13</v>
      </c>
      <c r="AJ829">
        <v>0</v>
      </c>
      <c r="AK829">
        <v>9</v>
      </c>
      <c r="AL829" t="s">
        <v>7730</v>
      </c>
      <c r="AM829" t="s">
        <v>7731</v>
      </c>
      <c r="AN829" t="s">
        <v>7732</v>
      </c>
      <c r="AO829" t="s">
        <v>14594</v>
      </c>
      <c r="AP829" t="s">
        <v>14595</v>
      </c>
      <c r="AQ829" t="s">
        <v>74</v>
      </c>
      <c r="AR829" t="s">
        <v>14596</v>
      </c>
      <c r="AS829" t="s">
        <v>14597</v>
      </c>
      <c r="AT829" t="s">
        <v>74</v>
      </c>
      <c r="AU829">
        <v>2009</v>
      </c>
      <c r="AV829">
        <v>13</v>
      </c>
      <c r="AW829">
        <v>9</v>
      </c>
      <c r="AX829" t="s">
        <v>74</v>
      </c>
      <c r="AY829" t="s">
        <v>74</v>
      </c>
      <c r="AZ829" t="s">
        <v>74</v>
      </c>
      <c r="BA829" t="s">
        <v>74</v>
      </c>
      <c r="BB829">
        <v>1545</v>
      </c>
      <c r="BC829">
        <v>1553</v>
      </c>
      <c r="BD829" t="s">
        <v>74</v>
      </c>
      <c r="BE829" t="s">
        <v>14598</v>
      </c>
      <c r="BF829" t="str">
        <f>HYPERLINK("http://dx.doi.org/10.5194/hess-13-1545-2009","http://dx.doi.org/10.5194/hess-13-1545-2009")</f>
        <v>http://dx.doi.org/10.5194/hess-13-1545-2009</v>
      </c>
      <c r="BG829" t="s">
        <v>74</v>
      </c>
      <c r="BH829" t="s">
        <v>74</v>
      </c>
      <c r="BI829">
        <v>9</v>
      </c>
      <c r="BJ829" t="s">
        <v>14599</v>
      </c>
      <c r="BK829" t="s">
        <v>100</v>
      </c>
      <c r="BL829" t="s">
        <v>14600</v>
      </c>
      <c r="BM829" t="s">
        <v>14601</v>
      </c>
      <c r="BN829" t="s">
        <v>74</v>
      </c>
      <c r="BO829" t="s">
        <v>450</v>
      </c>
      <c r="BP829" t="s">
        <v>74</v>
      </c>
      <c r="BQ829" t="s">
        <v>74</v>
      </c>
      <c r="BR829" t="s">
        <v>103</v>
      </c>
      <c r="BS829" t="s">
        <v>14602</v>
      </c>
      <c r="BT829" t="str">
        <f>HYPERLINK("https%3A%2F%2Fwww.webofscience.com%2Fwos%2Fwoscc%2Ffull-record%2FWOS:000270321700001","View Full Record in Web of Science")</f>
        <v>View Full Record in Web of Science</v>
      </c>
    </row>
    <row r="830" spans="1:72" x14ac:dyDescent="0.15">
      <c r="A830" t="s">
        <v>72</v>
      </c>
      <c r="B830" t="s">
        <v>14603</v>
      </c>
      <c r="C830" t="s">
        <v>74</v>
      </c>
      <c r="D830" t="s">
        <v>74</v>
      </c>
      <c r="E830" t="s">
        <v>74</v>
      </c>
      <c r="F830" t="s">
        <v>14604</v>
      </c>
      <c r="G830" t="s">
        <v>74</v>
      </c>
      <c r="H830" t="s">
        <v>74</v>
      </c>
      <c r="I830" t="s">
        <v>14605</v>
      </c>
      <c r="J830" t="s">
        <v>14585</v>
      </c>
      <c r="K830" t="s">
        <v>74</v>
      </c>
      <c r="L830" t="s">
        <v>74</v>
      </c>
      <c r="M830" t="s">
        <v>78</v>
      </c>
      <c r="N830" t="s">
        <v>79</v>
      </c>
      <c r="O830" t="s">
        <v>74</v>
      </c>
      <c r="P830" t="s">
        <v>74</v>
      </c>
      <c r="Q830" t="s">
        <v>74</v>
      </c>
      <c r="R830" t="s">
        <v>74</v>
      </c>
      <c r="S830" t="s">
        <v>74</v>
      </c>
      <c r="T830" t="s">
        <v>74</v>
      </c>
      <c r="U830" t="s">
        <v>14606</v>
      </c>
      <c r="V830" t="s">
        <v>14607</v>
      </c>
      <c r="W830" t="s">
        <v>14608</v>
      </c>
      <c r="X830" t="s">
        <v>14609</v>
      </c>
      <c r="Y830" t="s">
        <v>14610</v>
      </c>
      <c r="Z830" t="s">
        <v>14611</v>
      </c>
      <c r="AA830" t="s">
        <v>14612</v>
      </c>
      <c r="AB830" t="s">
        <v>14613</v>
      </c>
      <c r="AC830" t="s">
        <v>14614</v>
      </c>
      <c r="AD830" t="s">
        <v>14615</v>
      </c>
      <c r="AE830" t="s">
        <v>14616</v>
      </c>
      <c r="AF830" t="s">
        <v>74</v>
      </c>
      <c r="AG830">
        <v>49</v>
      </c>
      <c r="AH830">
        <v>36</v>
      </c>
      <c r="AI830">
        <v>50</v>
      </c>
      <c r="AJ830">
        <v>0</v>
      </c>
      <c r="AK830">
        <v>20</v>
      </c>
      <c r="AL830" t="s">
        <v>7730</v>
      </c>
      <c r="AM830" t="s">
        <v>7731</v>
      </c>
      <c r="AN830" t="s">
        <v>7732</v>
      </c>
      <c r="AO830" t="s">
        <v>14594</v>
      </c>
      <c r="AP830" t="s">
        <v>14595</v>
      </c>
      <c r="AQ830" t="s">
        <v>74</v>
      </c>
      <c r="AR830" t="s">
        <v>14596</v>
      </c>
      <c r="AS830" t="s">
        <v>14597</v>
      </c>
      <c r="AT830" t="s">
        <v>74</v>
      </c>
      <c r="AU830">
        <v>2009</v>
      </c>
      <c r="AV830">
        <v>13</v>
      </c>
      <c r="AW830">
        <v>12</v>
      </c>
      <c r="AX830" t="s">
        <v>74</v>
      </c>
      <c r="AY830" t="s">
        <v>74</v>
      </c>
      <c r="AZ830" t="s">
        <v>74</v>
      </c>
      <c r="BA830" t="s">
        <v>74</v>
      </c>
      <c r="BB830">
        <v>2349</v>
      </c>
      <c r="BC830">
        <v>2358</v>
      </c>
      <c r="BD830" t="s">
        <v>74</v>
      </c>
      <c r="BE830" t="s">
        <v>14617</v>
      </c>
      <c r="BF830" t="str">
        <f>HYPERLINK("http://dx.doi.org/10.5194/hess-13-2349-2009","http://dx.doi.org/10.5194/hess-13-2349-2009")</f>
        <v>http://dx.doi.org/10.5194/hess-13-2349-2009</v>
      </c>
      <c r="BG830" t="s">
        <v>74</v>
      </c>
      <c r="BH830" t="s">
        <v>74</v>
      </c>
      <c r="BI830">
        <v>10</v>
      </c>
      <c r="BJ830" t="s">
        <v>14599</v>
      </c>
      <c r="BK830" t="s">
        <v>100</v>
      </c>
      <c r="BL830" t="s">
        <v>14600</v>
      </c>
      <c r="BM830" t="s">
        <v>14618</v>
      </c>
      <c r="BN830" t="s">
        <v>74</v>
      </c>
      <c r="BO830" t="s">
        <v>11694</v>
      </c>
      <c r="BP830" t="s">
        <v>74</v>
      </c>
      <c r="BQ830" t="s">
        <v>74</v>
      </c>
      <c r="BR830" t="s">
        <v>103</v>
      </c>
      <c r="BS830" t="s">
        <v>14619</v>
      </c>
      <c r="BT830" t="str">
        <f>HYPERLINK("https%3A%2F%2Fwww.webofscience.com%2Fwos%2Fwoscc%2Ffull-record%2FWOS:000273059900006","View Full Record in Web of Science")</f>
        <v>View Full Record in Web of Science</v>
      </c>
    </row>
    <row r="831" spans="1:72" x14ac:dyDescent="0.15">
      <c r="A831" t="s">
        <v>5277</v>
      </c>
      <c r="B831" t="s">
        <v>14620</v>
      </c>
      <c r="C831" t="s">
        <v>14620</v>
      </c>
      <c r="D831" t="s">
        <v>74</v>
      </c>
      <c r="E831" t="s">
        <v>74</v>
      </c>
      <c r="F831" t="s">
        <v>14621</v>
      </c>
      <c r="G831" t="s">
        <v>14620</v>
      </c>
      <c r="H831" t="s">
        <v>74</v>
      </c>
      <c r="I831" t="s">
        <v>14622</v>
      </c>
      <c r="J831" t="s">
        <v>14623</v>
      </c>
      <c r="K831" t="s">
        <v>14624</v>
      </c>
      <c r="L831" t="s">
        <v>74</v>
      </c>
      <c r="M831" t="s">
        <v>78</v>
      </c>
      <c r="N831" t="s">
        <v>11976</v>
      </c>
      <c r="O831" t="s">
        <v>74</v>
      </c>
      <c r="P831" t="s">
        <v>74</v>
      </c>
      <c r="Q831" t="s">
        <v>74</v>
      </c>
      <c r="R831" t="s">
        <v>74</v>
      </c>
      <c r="S831" t="s">
        <v>74</v>
      </c>
      <c r="T831" t="s">
        <v>74</v>
      </c>
      <c r="U831" t="s">
        <v>14625</v>
      </c>
      <c r="V831" t="s">
        <v>74</v>
      </c>
      <c r="W831" t="s">
        <v>74</v>
      </c>
      <c r="X831" t="s">
        <v>74</v>
      </c>
      <c r="Y831" t="s">
        <v>74</v>
      </c>
      <c r="Z831" t="s">
        <v>74</v>
      </c>
      <c r="AA831" t="s">
        <v>74</v>
      </c>
      <c r="AB831" t="s">
        <v>74</v>
      </c>
      <c r="AC831" t="s">
        <v>74</v>
      </c>
      <c r="AD831" t="s">
        <v>74</v>
      </c>
      <c r="AE831" t="s">
        <v>74</v>
      </c>
      <c r="AF831" t="s">
        <v>74</v>
      </c>
      <c r="AG831">
        <v>239</v>
      </c>
      <c r="AH831">
        <v>0</v>
      </c>
      <c r="AI831">
        <v>0</v>
      </c>
      <c r="AJ831">
        <v>1</v>
      </c>
      <c r="AK831">
        <v>1</v>
      </c>
      <c r="AL831" t="s">
        <v>14626</v>
      </c>
      <c r="AM831" t="s">
        <v>14627</v>
      </c>
      <c r="AN831" t="s">
        <v>14628</v>
      </c>
      <c r="AO831" t="s">
        <v>74</v>
      </c>
      <c r="AP831" t="s">
        <v>74</v>
      </c>
      <c r="AQ831" t="s">
        <v>14629</v>
      </c>
      <c r="AR831" t="s">
        <v>14630</v>
      </c>
      <c r="AS831" t="s">
        <v>74</v>
      </c>
      <c r="AT831" t="s">
        <v>74</v>
      </c>
      <c r="AU831">
        <v>2009</v>
      </c>
      <c r="AV831" t="s">
        <v>74</v>
      </c>
      <c r="AW831" t="s">
        <v>74</v>
      </c>
      <c r="AX831" t="s">
        <v>74</v>
      </c>
      <c r="AY831" t="s">
        <v>74</v>
      </c>
      <c r="AZ831" t="s">
        <v>74</v>
      </c>
      <c r="BA831" t="s">
        <v>74</v>
      </c>
      <c r="BB831">
        <v>1</v>
      </c>
      <c r="BC831" t="s">
        <v>10944</v>
      </c>
      <c r="BD831" t="s">
        <v>74</v>
      </c>
      <c r="BE831" t="s">
        <v>74</v>
      </c>
      <c r="BF831" t="s">
        <v>74</v>
      </c>
      <c r="BG831" t="s">
        <v>14631</v>
      </c>
      <c r="BH831" t="s">
        <v>74</v>
      </c>
      <c r="BI831">
        <v>24</v>
      </c>
      <c r="BJ831" t="s">
        <v>8329</v>
      </c>
      <c r="BK831" t="s">
        <v>11989</v>
      </c>
      <c r="BL831" t="s">
        <v>260</v>
      </c>
      <c r="BM831" t="s">
        <v>14632</v>
      </c>
      <c r="BN831" t="s">
        <v>74</v>
      </c>
      <c r="BO831" t="s">
        <v>1106</v>
      </c>
      <c r="BP831" t="s">
        <v>74</v>
      </c>
      <c r="BQ831" t="s">
        <v>74</v>
      </c>
      <c r="BR831" t="s">
        <v>103</v>
      </c>
      <c r="BS831" t="s">
        <v>14633</v>
      </c>
      <c r="BT831" t="str">
        <f>HYPERLINK("https%3A%2F%2Fwww.webofscience.com%2Fwos%2Fwoscc%2Ffull-record%2FWOS:000268395800001","View Full Record in Web of Science")</f>
        <v>View Full Record in Web of Science</v>
      </c>
    </row>
    <row r="832" spans="1:72" x14ac:dyDescent="0.15">
      <c r="A832" t="s">
        <v>2434</v>
      </c>
      <c r="B832" t="s">
        <v>14634</v>
      </c>
      <c r="C832" t="s">
        <v>74</v>
      </c>
      <c r="D832" t="s">
        <v>74</v>
      </c>
      <c r="E832" t="s">
        <v>10901</v>
      </c>
      <c r="F832" t="s">
        <v>14635</v>
      </c>
      <c r="G832" t="s">
        <v>74</v>
      </c>
      <c r="H832" t="s">
        <v>74</v>
      </c>
      <c r="I832" t="s">
        <v>14636</v>
      </c>
      <c r="J832" t="s">
        <v>14637</v>
      </c>
      <c r="K832" t="s">
        <v>74</v>
      </c>
      <c r="L832" t="s">
        <v>74</v>
      </c>
      <c r="M832" t="s">
        <v>78</v>
      </c>
      <c r="N832" t="s">
        <v>2440</v>
      </c>
      <c r="O832" t="s">
        <v>14638</v>
      </c>
      <c r="P832" t="s">
        <v>14639</v>
      </c>
      <c r="Q832" t="s">
        <v>14640</v>
      </c>
      <c r="R832" t="s">
        <v>74</v>
      </c>
      <c r="S832" t="s">
        <v>74</v>
      </c>
      <c r="T832" t="s">
        <v>14641</v>
      </c>
      <c r="U832" t="s">
        <v>74</v>
      </c>
      <c r="V832" t="s">
        <v>14642</v>
      </c>
      <c r="W832" t="s">
        <v>14643</v>
      </c>
      <c r="X832" t="s">
        <v>14644</v>
      </c>
      <c r="Y832" t="s">
        <v>14645</v>
      </c>
      <c r="Z832" t="s">
        <v>11079</v>
      </c>
      <c r="AA832" t="s">
        <v>14646</v>
      </c>
      <c r="AB832" t="s">
        <v>14647</v>
      </c>
      <c r="AC832" t="s">
        <v>74</v>
      </c>
      <c r="AD832" t="s">
        <v>74</v>
      </c>
      <c r="AE832" t="s">
        <v>74</v>
      </c>
      <c r="AF832" t="s">
        <v>74</v>
      </c>
      <c r="AG832">
        <v>9</v>
      </c>
      <c r="AH832">
        <v>0</v>
      </c>
      <c r="AI832">
        <v>0</v>
      </c>
      <c r="AJ832">
        <v>0</v>
      </c>
      <c r="AK832">
        <v>3</v>
      </c>
      <c r="AL832" t="s">
        <v>10901</v>
      </c>
      <c r="AM832" t="s">
        <v>92</v>
      </c>
      <c r="AN832" t="s">
        <v>10914</v>
      </c>
      <c r="AO832" t="s">
        <v>74</v>
      </c>
      <c r="AP832" t="s">
        <v>74</v>
      </c>
      <c r="AQ832" t="s">
        <v>14648</v>
      </c>
      <c r="AR832" t="s">
        <v>74</v>
      </c>
      <c r="AS832" t="s">
        <v>74</v>
      </c>
      <c r="AT832" t="s">
        <v>74</v>
      </c>
      <c r="AU832">
        <v>2009</v>
      </c>
      <c r="AV832" t="s">
        <v>74</v>
      </c>
      <c r="AW832" t="s">
        <v>74</v>
      </c>
      <c r="AX832" t="s">
        <v>74</v>
      </c>
      <c r="AY832" t="s">
        <v>74</v>
      </c>
      <c r="AZ832" t="s">
        <v>74</v>
      </c>
      <c r="BA832" t="s">
        <v>74</v>
      </c>
      <c r="BB832">
        <v>21</v>
      </c>
      <c r="BC832">
        <v>23</v>
      </c>
      <c r="BD832" t="s">
        <v>74</v>
      </c>
      <c r="BE832" t="s">
        <v>74</v>
      </c>
      <c r="BF832" t="s">
        <v>74</v>
      </c>
      <c r="BG832" t="s">
        <v>74</v>
      </c>
      <c r="BH832" t="s">
        <v>74</v>
      </c>
      <c r="BI832">
        <v>3</v>
      </c>
      <c r="BJ832" t="s">
        <v>14649</v>
      </c>
      <c r="BK832" t="s">
        <v>2457</v>
      </c>
      <c r="BL832" t="s">
        <v>14650</v>
      </c>
      <c r="BM832" t="s">
        <v>14651</v>
      </c>
      <c r="BN832" t="s">
        <v>74</v>
      </c>
      <c r="BO832" t="s">
        <v>74</v>
      </c>
      <c r="BP832" t="s">
        <v>74</v>
      </c>
      <c r="BQ832" t="s">
        <v>74</v>
      </c>
      <c r="BR832" t="s">
        <v>103</v>
      </c>
      <c r="BS832" t="s">
        <v>14652</v>
      </c>
      <c r="BT832" t="str">
        <f>HYPERLINK("https%3A%2F%2Fwww.webofscience.com%2Fwos%2Fwoscc%2Ffull-record%2FWOS:000280118800005","View Full Record in Web of Science")</f>
        <v>View Full Record in Web of Science</v>
      </c>
    </row>
    <row r="833" spans="1:72" x14ac:dyDescent="0.15">
      <c r="A833" t="s">
        <v>2434</v>
      </c>
      <c r="B833" t="s">
        <v>14653</v>
      </c>
      <c r="C833" t="s">
        <v>74</v>
      </c>
      <c r="D833" t="s">
        <v>74</v>
      </c>
      <c r="E833" t="s">
        <v>10901</v>
      </c>
      <c r="F833" t="s">
        <v>14654</v>
      </c>
      <c r="G833" t="s">
        <v>74</v>
      </c>
      <c r="H833" t="s">
        <v>74</v>
      </c>
      <c r="I833" t="s">
        <v>14655</v>
      </c>
      <c r="J833" t="s">
        <v>14656</v>
      </c>
      <c r="K833" t="s">
        <v>74</v>
      </c>
      <c r="L833" t="s">
        <v>74</v>
      </c>
      <c r="M833" t="s">
        <v>78</v>
      </c>
      <c r="N833" t="s">
        <v>2440</v>
      </c>
      <c r="O833" t="s">
        <v>14657</v>
      </c>
      <c r="P833" t="s">
        <v>14658</v>
      </c>
      <c r="Q833" t="s">
        <v>14659</v>
      </c>
      <c r="R833" t="s">
        <v>74</v>
      </c>
      <c r="S833" t="s">
        <v>14660</v>
      </c>
      <c r="T833" t="s">
        <v>14661</v>
      </c>
      <c r="U833" t="s">
        <v>74</v>
      </c>
      <c r="V833" t="s">
        <v>14662</v>
      </c>
      <c r="W833" t="s">
        <v>14663</v>
      </c>
      <c r="X833" t="s">
        <v>14664</v>
      </c>
      <c r="Y833" t="s">
        <v>14665</v>
      </c>
      <c r="Z833" t="s">
        <v>14666</v>
      </c>
      <c r="AA833" t="s">
        <v>74</v>
      </c>
      <c r="AB833" t="s">
        <v>74</v>
      </c>
      <c r="AC833" t="s">
        <v>74</v>
      </c>
      <c r="AD833" t="s">
        <v>74</v>
      </c>
      <c r="AE833" t="s">
        <v>74</v>
      </c>
      <c r="AF833" t="s">
        <v>74</v>
      </c>
      <c r="AG833">
        <v>14</v>
      </c>
      <c r="AH833">
        <v>0</v>
      </c>
      <c r="AI833">
        <v>0</v>
      </c>
      <c r="AJ833">
        <v>0</v>
      </c>
      <c r="AK833">
        <v>1</v>
      </c>
      <c r="AL833" t="s">
        <v>10901</v>
      </c>
      <c r="AM833" t="s">
        <v>92</v>
      </c>
      <c r="AN833" t="s">
        <v>10914</v>
      </c>
      <c r="AO833" t="s">
        <v>74</v>
      </c>
      <c r="AP833" t="s">
        <v>74</v>
      </c>
      <c r="AQ833" t="s">
        <v>14667</v>
      </c>
      <c r="AR833" t="s">
        <v>74</v>
      </c>
      <c r="AS833" t="s">
        <v>74</v>
      </c>
      <c r="AT833" t="s">
        <v>74</v>
      </c>
      <c r="AU833">
        <v>2009</v>
      </c>
      <c r="AV833" t="s">
        <v>74</v>
      </c>
      <c r="AW833" t="s">
        <v>74</v>
      </c>
      <c r="AX833" t="s">
        <v>74</v>
      </c>
      <c r="AY833" t="s">
        <v>74</v>
      </c>
      <c r="AZ833" t="s">
        <v>74</v>
      </c>
      <c r="BA833" t="s">
        <v>74</v>
      </c>
      <c r="BB833">
        <v>1068</v>
      </c>
      <c r="BC833" t="s">
        <v>10944</v>
      </c>
      <c r="BD833" t="s">
        <v>74</v>
      </c>
      <c r="BE833" t="s">
        <v>14668</v>
      </c>
      <c r="BF833" t="str">
        <f>HYPERLINK("http://dx.doi.org/10.1109/ICPADM.2009.5252452","http://dx.doi.org/10.1109/ICPADM.2009.5252452")</f>
        <v>http://dx.doi.org/10.1109/ICPADM.2009.5252452</v>
      </c>
      <c r="BG833" t="s">
        <v>74</v>
      </c>
      <c r="BH833" t="s">
        <v>74</v>
      </c>
      <c r="BI833">
        <v>3</v>
      </c>
      <c r="BJ833" t="s">
        <v>14669</v>
      </c>
      <c r="BK833" t="s">
        <v>2457</v>
      </c>
      <c r="BL833" t="s">
        <v>14670</v>
      </c>
      <c r="BM833" t="s">
        <v>14671</v>
      </c>
      <c r="BN833" t="s">
        <v>74</v>
      </c>
      <c r="BO833" t="s">
        <v>74</v>
      </c>
      <c r="BP833" t="s">
        <v>74</v>
      </c>
      <c r="BQ833" t="s">
        <v>74</v>
      </c>
      <c r="BR833" t="s">
        <v>103</v>
      </c>
      <c r="BS833" t="s">
        <v>14672</v>
      </c>
      <c r="BT833" t="str">
        <f>HYPERLINK("https%3A%2F%2Fwww.webofscience.com%2Fwos%2Fwoscc%2Ffull-record%2FWOS:000275656500265","View Full Record in Web of Science")</f>
        <v>View Full Record in Web of Science</v>
      </c>
    </row>
    <row r="834" spans="1:72" x14ac:dyDescent="0.15">
      <c r="A834" t="s">
        <v>2434</v>
      </c>
      <c r="B834" t="s">
        <v>14673</v>
      </c>
      <c r="C834" t="s">
        <v>74</v>
      </c>
      <c r="D834" t="s">
        <v>14674</v>
      </c>
      <c r="E834" t="s">
        <v>74</v>
      </c>
      <c r="F834" t="s">
        <v>14675</v>
      </c>
      <c r="G834" t="s">
        <v>74</v>
      </c>
      <c r="H834" t="s">
        <v>74</v>
      </c>
      <c r="I834" t="s">
        <v>14676</v>
      </c>
      <c r="J834" t="s">
        <v>14677</v>
      </c>
      <c r="K834" t="s">
        <v>74</v>
      </c>
      <c r="L834" t="s">
        <v>74</v>
      </c>
      <c r="M834" t="s">
        <v>78</v>
      </c>
      <c r="N834" t="s">
        <v>2440</v>
      </c>
      <c r="O834" t="s">
        <v>14678</v>
      </c>
      <c r="P834" t="s">
        <v>14679</v>
      </c>
      <c r="Q834" t="s">
        <v>14680</v>
      </c>
      <c r="R834" t="s">
        <v>74</v>
      </c>
      <c r="S834" t="s">
        <v>74</v>
      </c>
      <c r="T834" t="s">
        <v>14681</v>
      </c>
      <c r="U834" t="s">
        <v>74</v>
      </c>
      <c r="V834" t="s">
        <v>14682</v>
      </c>
      <c r="W834" t="s">
        <v>14683</v>
      </c>
      <c r="X834" t="s">
        <v>14684</v>
      </c>
      <c r="Y834" t="s">
        <v>14685</v>
      </c>
      <c r="Z834" t="s">
        <v>14686</v>
      </c>
      <c r="AA834" t="s">
        <v>14687</v>
      </c>
      <c r="AB834" t="s">
        <v>14688</v>
      </c>
      <c r="AC834" t="s">
        <v>14689</v>
      </c>
      <c r="AD834" t="s">
        <v>14690</v>
      </c>
      <c r="AE834" t="s">
        <v>14691</v>
      </c>
      <c r="AF834" t="s">
        <v>74</v>
      </c>
      <c r="AG834">
        <v>10</v>
      </c>
      <c r="AH834">
        <v>1</v>
      </c>
      <c r="AI834">
        <v>1</v>
      </c>
      <c r="AJ834">
        <v>0</v>
      </c>
      <c r="AK834">
        <v>1</v>
      </c>
      <c r="AL834" t="s">
        <v>10901</v>
      </c>
      <c r="AM834" t="s">
        <v>92</v>
      </c>
      <c r="AN834" t="s">
        <v>10914</v>
      </c>
      <c r="AO834" t="s">
        <v>74</v>
      </c>
      <c r="AP834" t="s">
        <v>74</v>
      </c>
      <c r="AQ834" t="s">
        <v>14692</v>
      </c>
      <c r="AR834" t="s">
        <v>74</v>
      </c>
      <c r="AS834" t="s">
        <v>74</v>
      </c>
      <c r="AT834" t="s">
        <v>74</v>
      </c>
      <c r="AU834">
        <v>2009</v>
      </c>
      <c r="AV834" t="s">
        <v>74</v>
      </c>
      <c r="AW834" t="s">
        <v>74</v>
      </c>
      <c r="AX834" t="s">
        <v>74</v>
      </c>
      <c r="AY834" t="s">
        <v>74</v>
      </c>
      <c r="AZ834" t="s">
        <v>74</v>
      </c>
      <c r="BA834" t="s">
        <v>74</v>
      </c>
      <c r="BB834">
        <v>54</v>
      </c>
      <c r="BC834" t="s">
        <v>10944</v>
      </c>
      <c r="BD834" t="s">
        <v>74</v>
      </c>
      <c r="BE834" t="s">
        <v>74</v>
      </c>
      <c r="BF834" t="s">
        <v>74</v>
      </c>
      <c r="BG834" t="s">
        <v>74</v>
      </c>
      <c r="BH834" t="s">
        <v>74</v>
      </c>
      <c r="BI834">
        <v>2</v>
      </c>
      <c r="BJ834" t="s">
        <v>11044</v>
      </c>
      <c r="BK834" t="s">
        <v>2457</v>
      </c>
      <c r="BL834" t="s">
        <v>6122</v>
      </c>
      <c r="BM834" t="s">
        <v>14693</v>
      </c>
      <c r="BN834" t="s">
        <v>74</v>
      </c>
      <c r="BO834" t="s">
        <v>74</v>
      </c>
      <c r="BP834" t="s">
        <v>74</v>
      </c>
      <c r="BQ834" t="s">
        <v>74</v>
      </c>
      <c r="BR834" t="s">
        <v>103</v>
      </c>
      <c r="BS834" t="s">
        <v>14694</v>
      </c>
      <c r="BT834" t="str">
        <f>HYPERLINK("https%3A%2F%2Fwww.webofscience.com%2Fwos%2Fwoscc%2Ffull-record%2FWOS:000273389100015","View Full Record in Web of Science")</f>
        <v>View Full Record in Web of Science</v>
      </c>
    </row>
    <row r="835" spans="1:72" x14ac:dyDescent="0.15">
      <c r="A835" t="s">
        <v>72</v>
      </c>
      <c r="B835" t="s">
        <v>14695</v>
      </c>
      <c r="C835" t="s">
        <v>74</v>
      </c>
      <c r="D835" t="s">
        <v>74</v>
      </c>
      <c r="E835" t="s">
        <v>74</v>
      </c>
      <c r="F835" t="s">
        <v>14696</v>
      </c>
      <c r="G835" t="s">
        <v>74</v>
      </c>
      <c r="H835" t="s">
        <v>74</v>
      </c>
      <c r="I835" t="s">
        <v>14697</v>
      </c>
      <c r="J835" t="s">
        <v>14698</v>
      </c>
      <c r="K835" t="s">
        <v>74</v>
      </c>
      <c r="L835" t="s">
        <v>74</v>
      </c>
      <c r="M835" t="s">
        <v>78</v>
      </c>
      <c r="N835" t="s">
        <v>79</v>
      </c>
      <c r="O835" t="s">
        <v>74</v>
      </c>
      <c r="P835" t="s">
        <v>74</v>
      </c>
      <c r="Q835" t="s">
        <v>74</v>
      </c>
      <c r="R835" t="s">
        <v>74</v>
      </c>
      <c r="S835" t="s">
        <v>74</v>
      </c>
      <c r="T835" t="s">
        <v>14699</v>
      </c>
      <c r="U835" t="s">
        <v>74</v>
      </c>
      <c r="V835" t="s">
        <v>14700</v>
      </c>
      <c r="W835" t="s">
        <v>14701</v>
      </c>
      <c r="X835" t="s">
        <v>14702</v>
      </c>
      <c r="Y835" t="s">
        <v>14703</v>
      </c>
      <c r="Z835" t="s">
        <v>14704</v>
      </c>
      <c r="AA835" t="s">
        <v>14705</v>
      </c>
      <c r="AB835" t="s">
        <v>14706</v>
      </c>
      <c r="AC835" t="s">
        <v>14707</v>
      </c>
      <c r="AD835" t="s">
        <v>14708</v>
      </c>
      <c r="AE835" t="s">
        <v>14709</v>
      </c>
      <c r="AF835" t="s">
        <v>74</v>
      </c>
      <c r="AG835">
        <v>26</v>
      </c>
      <c r="AH835">
        <v>26</v>
      </c>
      <c r="AI835">
        <v>27</v>
      </c>
      <c r="AJ835">
        <v>0</v>
      </c>
      <c r="AK835">
        <v>9</v>
      </c>
      <c r="AL835" t="s">
        <v>14710</v>
      </c>
      <c r="AM835" t="s">
        <v>14711</v>
      </c>
      <c r="AN835" t="s">
        <v>14712</v>
      </c>
      <c r="AO835" t="s">
        <v>74</v>
      </c>
      <c r="AP835" t="s">
        <v>14713</v>
      </c>
      <c r="AQ835" t="s">
        <v>74</v>
      </c>
      <c r="AR835" t="s">
        <v>14714</v>
      </c>
      <c r="AS835" t="s">
        <v>14715</v>
      </c>
      <c r="AT835" t="s">
        <v>14716</v>
      </c>
      <c r="AU835">
        <v>2009</v>
      </c>
      <c r="AV835">
        <v>64</v>
      </c>
      <c r="AW835">
        <v>1</v>
      </c>
      <c r="AX835" t="s">
        <v>74</v>
      </c>
      <c r="AY835" t="s">
        <v>74</v>
      </c>
      <c r="AZ835" t="s">
        <v>74</v>
      </c>
      <c r="BA835" t="s">
        <v>74</v>
      </c>
      <c r="BB835">
        <v>81</v>
      </c>
      <c r="BC835">
        <v>91</v>
      </c>
      <c r="BD835" t="s">
        <v>74</v>
      </c>
      <c r="BE835" t="s">
        <v>74</v>
      </c>
      <c r="BF835" t="s">
        <v>74</v>
      </c>
      <c r="BG835" t="s">
        <v>74</v>
      </c>
      <c r="BH835" t="s">
        <v>74</v>
      </c>
      <c r="BI835">
        <v>11</v>
      </c>
      <c r="BJ835" t="s">
        <v>2573</v>
      </c>
      <c r="BK835" t="s">
        <v>100</v>
      </c>
      <c r="BL835" t="s">
        <v>2573</v>
      </c>
      <c r="BM835" t="s">
        <v>14717</v>
      </c>
      <c r="BN835" t="s">
        <v>74</v>
      </c>
      <c r="BO835" t="s">
        <v>74</v>
      </c>
      <c r="BP835" t="s">
        <v>74</v>
      </c>
      <c r="BQ835" t="s">
        <v>74</v>
      </c>
      <c r="BR835" t="s">
        <v>103</v>
      </c>
      <c r="BS835" t="s">
        <v>14718</v>
      </c>
      <c r="BT835" t="str">
        <f>HYPERLINK("https%3A%2F%2Fwww.webofscience.com%2Fwos%2Fwoscc%2Ffull-record%2FWOS:000270848400009","View Full Record in Web of Science")</f>
        <v>View Full Record in Web of Science</v>
      </c>
    </row>
    <row r="836" spans="1:72" x14ac:dyDescent="0.15">
      <c r="A836" t="s">
        <v>2434</v>
      </c>
      <c r="B836" t="s">
        <v>14719</v>
      </c>
      <c r="C836" t="s">
        <v>74</v>
      </c>
      <c r="D836" t="s">
        <v>74</v>
      </c>
      <c r="E836" t="s">
        <v>14720</v>
      </c>
      <c r="F836" t="s">
        <v>14721</v>
      </c>
      <c r="G836" t="s">
        <v>74</v>
      </c>
      <c r="H836" t="s">
        <v>74</v>
      </c>
      <c r="I836" t="s">
        <v>14722</v>
      </c>
      <c r="J836" t="s">
        <v>14723</v>
      </c>
      <c r="K836" t="s">
        <v>74</v>
      </c>
      <c r="L836" t="s">
        <v>74</v>
      </c>
      <c r="M836" t="s">
        <v>78</v>
      </c>
      <c r="N836" t="s">
        <v>2440</v>
      </c>
      <c r="O836" t="s">
        <v>14724</v>
      </c>
      <c r="P836" t="s">
        <v>14725</v>
      </c>
      <c r="Q836" t="s">
        <v>9355</v>
      </c>
      <c r="R836" t="s">
        <v>74</v>
      </c>
      <c r="S836" t="s">
        <v>74</v>
      </c>
      <c r="T836" t="s">
        <v>74</v>
      </c>
      <c r="U836" t="s">
        <v>74</v>
      </c>
      <c r="V836" t="s">
        <v>14726</v>
      </c>
      <c r="W836" t="s">
        <v>14727</v>
      </c>
      <c r="X836" t="s">
        <v>14728</v>
      </c>
      <c r="Y836" t="s">
        <v>14729</v>
      </c>
      <c r="Z836" t="s">
        <v>14730</v>
      </c>
      <c r="AA836" t="s">
        <v>74</v>
      </c>
      <c r="AB836" t="s">
        <v>14731</v>
      </c>
      <c r="AC836" t="s">
        <v>74</v>
      </c>
      <c r="AD836" t="s">
        <v>74</v>
      </c>
      <c r="AE836" t="s">
        <v>74</v>
      </c>
      <c r="AF836" t="s">
        <v>74</v>
      </c>
      <c r="AG836">
        <v>6</v>
      </c>
      <c r="AH836">
        <v>0</v>
      </c>
      <c r="AI836">
        <v>0</v>
      </c>
      <c r="AJ836">
        <v>0</v>
      </c>
      <c r="AK836">
        <v>1</v>
      </c>
      <c r="AL836" t="s">
        <v>14732</v>
      </c>
      <c r="AM836" t="s">
        <v>92</v>
      </c>
      <c r="AN836" t="s">
        <v>14733</v>
      </c>
      <c r="AO836" t="s">
        <v>74</v>
      </c>
      <c r="AP836" t="s">
        <v>74</v>
      </c>
      <c r="AQ836" t="s">
        <v>14734</v>
      </c>
      <c r="AR836" t="s">
        <v>74</v>
      </c>
      <c r="AS836" t="s">
        <v>74</v>
      </c>
      <c r="AT836" t="s">
        <v>74</v>
      </c>
      <c r="AU836">
        <v>2009</v>
      </c>
      <c r="AV836" t="s">
        <v>74</v>
      </c>
      <c r="AW836" t="s">
        <v>74</v>
      </c>
      <c r="AX836" t="s">
        <v>74</v>
      </c>
      <c r="AY836" t="s">
        <v>74</v>
      </c>
      <c r="AZ836" t="s">
        <v>74</v>
      </c>
      <c r="BA836" t="s">
        <v>74</v>
      </c>
      <c r="BB836">
        <v>587</v>
      </c>
      <c r="BC836">
        <v>596</v>
      </c>
      <c r="BD836" t="s">
        <v>74</v>
      </c>
      <c r="BE836" t="s">
        <v>74</v>
      </c>
      <c r="BF836" t="s">
        <v>74</v>
      </c>
      <c r="BG836" t="s">
        <v>74</v>
      </c>
      <c r="BH836" t="s">
        <v>74</v>
      </c>
      <c r="BI836">
        <v>10</v>
      </c>
      <c r="BJ836" t="s">
        <v>14735</v>
      </c>
      <c r="BK836" t="s">
        <v>2457</v>
      </c>
      <c r="BL836" t="s">
        <v>14736</v>
      </c>
      <c r="BM836" t="s">
        <v>14737</v>
      </c>
      <c r="BN836" t="s">
        <v>74</v>
      </c>
      <c r="BO836" t="s">
        <v>74</v>
      </c>
      <c r="BP836" t="s">
        <v>74</v>
      </c>
      <c r="BQ836" t="s">
        <v>74</v>
      </c>
      <c r="BR836" t="s">
        <v>103</v>
      </c>
      <c r="BS836" t="s">
        <v>14738</v>
      </c>
      <c r="BT836" t="str">
        <f>HYPERLINK("https%3A%2F%2Fwww.webofscience.com%2Fwos%2Fwoscc%2Ffull-record%2FWOS:000265684200062","View Full Record in Web of Science")</f>
        <v>View Full Record in Web of Science</v>
      </c>
    </row>
    <row r="837" spans="1:72" x14ac:dyDescent="0.15">
      <c r="A837" t="s">
        <v>11414</v>
      </c>
      <c r="B837" t="s">
        <v>14739</v>
      </c>
      <c r="C837" t="s">
        <v>74</v>
      </c>
      <c r="D837" t="s">
        <v>14740</v>
      </c>
      <c r="E837" t="s">
        <v>74</v>
      </c>
      <c r="F837" t="s">
        <v>14741</v>
      </c>
      <c r="G837" t="s">
        <v>74</v>
      </c>
      <c r="H837" t="s">
        <v>74</v>
      </c>
      <c r="I837" t="s">
        <v>14742</v>
      </c>
      <c r="J837" t="s">
        <v>14743</v>
      </c>
      <c r="K837" t="s">
        <v>14744</v>
      </c>
      <c r="L837" t="s">
        <v>74</v>
      </c>
      <c r="M837" t="s">
        <v>78</v>
      </c>
      <c r="N837" t="s">
        <v>11976</v>
      </c>
      <c r="O837" t="s">
        <v>74</v>
      </c>
      <c r="P837" t="s">
        <v>74</v>
      </c>
      <c r="Q837" t="s">
        <v>74</v>
      </c>
      <c r="R837" t="s">
        <v>74</v>
      </c>
      <c r="S837" t="s">
        <v>74</v>
      </c>
      <c r="T837" t="s">
        <v>74</v>
      </c>
      <c r="U837" t="s">
        <v>14745</v>
      </c>
      <c r="V837" t="s">
        <v>14746</v>
      </c>
      <c r="W837" t="s">
        <v>14747</v>
      </c>
      <c r="X837" t="s">
        <v>14748</v>
      </c>
      <c r="Y837" t="s">
        <v>14749</v>
      </c>
      <c r="Z837" t="s">
        <v>14750</v>
      </c>
      <c r="AA837" t="s">
        <v>74</v>
      </c>
      <c r="AB837" t="s">
        <v>74</v>
      </c>
      <c r="AC837" t="s">
        <v>74</v>
      </c>
      <c r="AD837" t="s">
        <v>74</v>
      </c>
      <c r="AE837" t="s">
        <v>74</v>
      </c>
      <c r="AF837" t="s">
        <v>74</v>
      </c>
      <c r="AG837">
        <v>50</v>
      </c>
      <c r="AH837">
        <v>4</v>
      </c>
      <c r="AI837">
        <v>4</v>
      </c>
      <c r="AJ837">
        <v>0</v>
      </c>
      <c r="AK837">
        <v>1</v>
      </c>
      <c r="AL837" t="s">
        <v>605</v>
      </c>
      <c r="AM837" t="s">
        <v>606</v>
      </c>
      <c r="AN837" t="s">
        <v>607</v>
      </c>
      <c r="AO837" t="s">
        <v>14751</v>
      </c>
      <c r="AP837" t="s">
        <v>74</v>
      </c>
      <c r="AQ837" t="s">
        <v>14752</v>
      </c>
      <c r="AR837" t="s">
        <v>14753</v>
      </c>
      <c r="AS837" t="s">
        <v>74</v>
      </c>
      <c r="AT837" t="s">
        <v>74</v>
      </c>
      <c r="AU837">
        <v>2009</v>
      </c>
      <c r="AV837">
        <v>185</v>
      </c>
      <c r="AW837" t="s">
        <v>74</v>
      </c>
      <c r="AX837" t="s">
        <v>74</v>
      </c>
      <c r="AY837" t="s">
        <v>74</v>
      </c>
      <c r="AZ837" t="s">
        <v>74</v>
      </c>
      <c r="BA837" t="s">
        <v>74</v>
      </c>
      <c r="BB837">
        <v>231</v>
      </c>
      <c r="BC837">
        <v>237</v>
      </c>
      <c r="BD837" t="s">
        <v>74</v>
      </c>
      <c r="BE837" t="s">
        <v>14754</v>
      </c>
      <c r="BF837" t="str">
        <f>HYPERLINK("http://dx.doi.org/10.1029/2008GM000754","http://dx.doi.org/10.1029/2008GM000754")</f>
        <v>http://dx.doi.org/10.1029/2008GM000754</v>
      </c>
      <c r="BG837" t="s">
        <v>14755</v>
      </c>
      <c r="BH837" t="s">
        <v>74</v>
      </c>
      <c r="BI837">
        <v>7</v>
      </c>
      <c r="BJ837" t="s">
        <v>14756</v>
      </c>
      <c r="BK837" t="s">
        <v>11989</v>
      </c>
      <c r="BL837" t="s">
        <v>14756</v>
      </c>
      <c r="BM837" t="s">
        <v>14757</v>
      </c>
      <c r="BN837" t="s">
        <v>74</v>
      </c>
      <c r="BO837" t="s">
        <v>1106</v>
      </c>
      <c r="BP837" t="s">
        <v>74</v>
      </c>
      <c r="BQ837" t="s">
        <v>74</v>
      </c>
      <c r="BR837" t="s">
        <v>103</v>
      </c>
      <c r="BS837" t="s">
        <v>14758</v>
      </c>
      <c r="BT837" t="str">
        <f>HYPERLINK("https%3A%2F%2Fwww.webofscience.com%2Fwos%2Fwoscc%2Ffull-record%2FWOS:000289442900014","View Full Record in Web of Science")</f>
        <v>View Full Record in Web of Science</v>
      </c>
    </row>
    <row r="838" spans="1:72" x14ac:dyDescent="0.15">
      <c r="A838" t="s">
        <v>2434</v>
      </c>
      <c r="B838" t="s">
        <v>14759</v>
      </c>
      <c r="C838" t="s">
        <v>74</v>
      </c>
      <c r="D838" t="s">
        <v>14760</v>
      </c>
      <c r="E838" t="s">
        <v>74</v>
      </c>
      <c r="F838" t="s">
        <v>14761</v>
      </c>
      <c r="G838" t="s">
        <v>74</v>
      </c>
      <c r="H838" t="s">
        <v>74</v>
      </c>
      <c r="I838" t="s">
        <v>14762</v>
      </c>
      <c r="J838" t="s">
        <v>14763</v>
      </c>
      <c r="K838" t="s">
        <v>14764</v>
      </c>
      <c r="L838" t="s">
        <v>74</v>
      </c>
      <c r="M838" t="s">
        <v>78</v>
      </c>
      <c r="N838" t="s">
        <v>2440</v>
      </c>
      <c r="O838" t="s">
        <v>14765</v>
      </c>
      <c r="P838" t="s">
        <v>14766</v>
      </c>
      <c r="Q838" t="s">
        <v>14767</v>
      </c>
      <c r="R838" t="s">
        <v>74</v>
      </c>
      <c r="S838" t="s">
        <v>74</v>
      </c>
      <c r="T838" t="s">
        <v>14768</v>
      </c>
      <c r="U838" t="s">
        <v>74</v>
      </c>
      <c r="V838" t="s">
        <v>74</v>
      </c>
      <c r="W838" t="s">
        <v>14769</v>
      </c>
      <c r="X838" t="s">
        <v>14770</v>
      </c>
      <c r="Y838" t="s">
        <v>14771</v>
      </c>
      <c r="Z838" t="s">
        <v>14772</v>
      </c>
      <c r="AA838" t="s">
        <v>74</v>
      </c>
      <c r="AB838" t="s">
        <v>74</v>
      </c>
      <c r="AC838" t="s">
        <v>14773</v>
      </c>
      <c r="AD838" t="s">
        <v>14773</v>
      </c>
      <c r="AE838" t="s">
        <v>14774</v>
      </c>
      <c r="AF838" t="s">
        <v>74</v>
      </c>
      <c r="AG838">
        <v>10</v>
      </c>
      <c r="AH838">
        <v>1</v>
      </c>
      <c r="AI838">
        <v>1</v>
      </c>
      <c r="AJ838">
        <v>0</v>
      </c>
      <c r="AK838">
        <v>3</v>
      </c>
      <c r="AL838" t="s">
        <v>14775</v>
      </c>
      <c r="AM838" t="s">
        <v>9904</v>
      </c>
      <c r="AN838" t="s">
        <v>14776</v>
      </c>
      <c r="AO838" t="s">
        <v>14777</v>
      </c>
      <c r="AP838" t="s">
        <v>74</v>
      </c>
      <c r="AQ838" t="s">
        <v>14778</v>
      </c>
      <c r="AR838" t="s">
        <v>14779</v>
      </c>
      <c r="AS838" t="s">
        <v>14780</v>
      </c>
      <c r="AT838" t="s">
        <v>74</v>
      </c>
      <c r="AU838">
        <v>2009</v>
      </c>
      <c r="AV838">
        <v>30</v>
      </c>
      <c r="AW838" t="s">
        <v>74</v>
      </c>
      <c r="AX838">
        <v>7</v>
      </c>
      <c r="AY838" t="s">
        <v>74</v>
      </c>
      <c r="AZ838" t="s">
        <v>74</v>
      </c>
      <c r="BA838" t="s">
        <v>74</v>
      </c>
      <c r="BB838">
        <v>1124</v>
      </c>
      <c r="BC838" t="s">
        <v>10944</v>
      </c>
      <c r="BD838" t="s">
        <v>74</v>
      </c>
      <c r="BE838" t="s">
        <v>74</v>
      </c>
      <c r="BF838" t="s">
        <v>74</v>
      </c>
      <c r="BG838" t="s">
        <v>74</v>
      </c>
      <c r="BH838" t="s">
        <v>74</v>
      </c>
      <c r="BI838">
        <v>2</v>
      </c>
      <c r="BJ838" t="s">
        <v>14781</v>
      </c>
      <c r="BK838" t="s">
        <v>2457</v>
      </c>
      <c r="BL838" t="s">
        <v>448</v>
      </c>
      <c r="BM838" t="s">
        <v>14782</v>
      </c>
      <c r="BN838" t="s">
        <v>74</v>
      </c>
      <c r="BO838" t="s">
        <v>74</v>
      </c>
      <c r="BP838" t="s">
        <v>74</v>
      </c>
      <c r="BQ838" t="s">
        <v>74</v>
      </c>
      <c r="BR838" t="s">
        <v>103</v>
      </c>
      <c r="BS838" t="s">
        <v>14783</v>
      </c>
      <c r="BT838" t="str">
        <f>HYPERLINK("https%3A%2F%2Fwww.webofscience.com%2Fwos%2Fwoscc%2Ffull-record%2FWOS:000269050500033","View Full Record in Web of Science")</f>
        <v>View Full Record in Web of Science</v>
      </c>
    </row>
    <row r="839" spans="1:72" x14ac:dyDescent="0.15">
      <c r="A839" t="s">
        <v>72</v>
      </c>
      <c r="B839" t="s">
        <v>14784</v>
      </c>
      <c r="C839" t="s">
        <v>74</v>
      </c>
      <c r="D839" t="s">
        <v>74</v>
      </c>
      <c r="E839" t="s">
        <v>74</v>
      </c>
      <c r="F839" t="s">
        <v>14785</v>
      </c>
      <c r="G839" t="s">
        <v>74</v>
      </c>
      <c r="H839" t="s">
        <v>74</v>
      </c>
      <c r="I839" t="s">
        <v>14786</v>
      </c>
      <c r="J839" t="s">
        <v>14787</v>
      </c>
      <c r="K839" t="s">
        <v>74</v>
      </c>
      <c r="L839" t="s">
        <v>74</v>
      </c>
      <c r="M839" t="s">
        <v>78</v>
      </c>
      <c r="N839" t="s">
        <v>79</v>
      </c>
      <c r="O839" t="s">
        <v>74</v>
      </c>
      <c r="P839" t="s">
        <v>74</v>
      </c>
      <c r="Q839" t="s">
        <v>74</v>
      </c>
      <c r="R839" t="s">
        <v>74</v>
      </c>
      <c r="S839" t="s">
        <v>74</v>
      </c>
      <c r="T839" t="s">
        <v>14788</v>
      </c>
      <c r="U839" t="s">
        <v>14789</v>
      </c>
      <c r="V839" t="s">
        <v>14790</v>
      </c>
      <c r="W839" t="s">
        <v>14791</v>
      </c>
      <c r="X839" t="s">
        <v>8103</v>
      </c>
      <c r="Y839" t="s">
        <v>14792</v>
      </c>
      <c r="Z839" t="s">
        <v>14793</v>
      </c>
      <c r="AA839" t="s">
        <v>14794</v>
      </c>
      <c r="AB839" t="s">
        <v>14795</v>
      </c>
      <c r="AC839" t="s">
        <v>14796</v>
      </c>
      <c r="AD839" t="s">
        <v>14797</v>
      </c>
      <c r="AE839" t="s">
        <v>14798</v>
      </c>
      <c r="AF839" t="s">
        <v>74</v>
      </c>
      <c r="AG839">
        <v>29</v>
      </c>
      <c r="AH839">
        <v>23</v>
      </c>
      <c r="AI839">
        <v>28</v>
      </c>
      <c r="AJ839">
        <v>1</v>
      </c>
      <c r="AK839">
        <v>19</v>
      </c>
      <c r="AL839" t="s">
        <v>13588</v>
      </c>
      <c r="AM839" t="s">
        <v>13589</v>
      </c>
      <c r="AN839" t="s">
        <v>13590</v>
      </c>
      <c r="AO839" t="s">
        <v>14799</v>
      </c>
      <c r="AP839" t="s">
        <v>14800</v>
      </c>
      <c r="AQ839" t="s">
        <v>74</v>
      </c>
      <c r="AR839" t="s">
        <v>14801</v>
      </c>
      <c r="AS839" t="s">
        <v>14802</v>
      </c>
      <c r="AT839" t="s">
        <v>74</v>
      </c>
      <c r="AU839">
        <v>2009</v>
      </c>
      <c r="AV839">
        <v>51</v>
      </c>
      <c r="AW839">
        <v>1</v>
      </c>
      <c r="AX839" t="s">
        <v>74</v>
      </c>
      <c r="AY839" t="s">
        <v>74</v>
      </c>
      <c r="AZ839" t="s">
        <v>74</v>
      </c>
      <c r="BA839" t="s">
        <v>74</v>
      </c>
      <c r="BB839">
        <v>27</v>
      </c>
      <c r="BC839">
        <v>44</v>
      </c>
      <c r="BD839" t="s">
        <v>14803</v>
      </c>
      <c r="BE839" t="s">
        <v>14804</v>
      </c>
      <c r="BF839" t="str">
        <f>HYPERLINK("http://dx.doi.org/10.1080/00206810802622773","http://dx.doi.org/10.1080/00206810802622773")</f>
        <v>http://dx.doi.org/10.1080/00206810802622773</v>
      </c>
      <c r="BG839" t="s">
        <v>74</v>
      </c>
      <c r="BH839" t="s">
        <v>74</v>
      </c>
      <c r="BI839">
        <v>18</v>
      </c>
      <c r="BJ839" t="s">
        <v>497</v>
      </c>
      <c r="BK839" t="s">
        <v>100</v>
      </c>
      <c r="BL839" t="s">
        <v>497</v>
      </c>
      <c r="BM839" t="s">
        <v>14805</v>
      </c>
      <c r="BN839" t="s">
        <v>74</v>
      </c>
      <c r="BO839" t="s">
        <v>74</v>
      </c>
      <c r="BP839" t="s">
        <v>74</v>
      </c>
      <c r="BQ839" t="s">
        <v>74</v>
      </c>
      <c r="BR839" t="s">
        <v>103</v>
      </c>
      <c r="BS839" t="s">
        <v>14806</v>
      </c>
      <c r="BT839" t="str">
        <f>HYPERLINK("https%3A%2F%2Fwww.webofscience.com%2Fwos%2Fwoscc%2Ffull-record%2FWOS:000264824300002","View Full Record in Web of Science")</f>
        <v>View Full Record in Web of Science</v>
      </c>
    </row>
    <row r="840" spans="1:72" x14ac:dyDescent="0.15">
      <c r="A840" t="s">
        <v>72</v>
      </c>
      <c r="B840" t="s">
        <v>14807</v>
      </c>
      <c r="C840" t="s">
        <v>74</v>
      </c>
      <c r="D840" t="s">
        <v>74</v>
      </c>
      <c r="E840" t="s">
        <v>74</v>
      </c>
      <c r="F840" t="s">
        <v>14808</v>
      </c>
      <c r="G840" t="s">
        <v>74</v>
      </c>
      <c r="H840" t="s">
        <v>74</v>
      </c>
      <c r="I840" t="s">
        <v>14809</v>
      </c>
      <c r="J840" t="s">
        <v>4335</v>
      </c>
      <c r="K840" t="s">
        <v>74</v>
      </c>
      <c r="L840" t="s">
        <v>74</v>
      </c>
      <c r="M840" t="s">
        <v>78</v>
      </c>
      <c r="N840" t="s">
        <v>1437</v>
      </c>
      <c r="O840" t="s">
        <v>14810</v>
      </c>
      <c r="P840" t="s">
        <v>14811</v>
      </c>
      <c r="Q840" t="s">
        <v>14812</v>
      </c>
      <c r="R840" t="s">
        <v>74</v>
      </c>
      <c r="S840" t="s">
        <v>14813</v>
      </c>
      <c r="T840" t="s">
        <v>14814</v>
      </c>
      <c r="U840" t="s">
        <v>14815</v>
      </c>
      <c r="V840" t="s">
        <v>14816</v>
      </c>
      <c r="W840" t="s">
        <v>14817</v>
      </c>
      <c r="X840" t="s">
        <v>14818</v>
      </c>
      <c r="Y840" t="s">
        <v>14819</v>
      </c>
      <c r="Z840" t="s">
        <v>14820</v>
      </c>
      <c r="AA840" t="s">
        <v>14821</v>
      </c>
      <c r="AB840" t="s">
        <v>14822</v>
      </c>
      <c r="AC840" t="s">
        <v>1592</v>
      </c>
      <c r="AD840" t="s">
        <v>1593</v>
      </c>
      <c r="AE840" t="s">
        <v>74</v>
      </c>
      <c r="AF840" t="s">
        <v>74</v>
      </c>
      <c r="AG840">
        <v>50</v>
      </c>
      <c r="AH840">
        <v>14</v>
      </c>
      <c r="AI840">
        <v>17</v>
      </c>
      <c r="AJ840">
        <v>0</v>
      </c>
      <c r="AK840">
        <v>4</v>
      </c>
      <c r="AL840" t="s">
        <v>3728</v>
      </c>
      <c r="AM840" t="s">
        <v>92</v>
      </c>
      <c r="AN840" t="s">
        <v>3729</v>
      </c>
      <c r="AO840" t="s">
        <v>4343</v>
      </c>
      <c r="AP840" t="s">
        <v>4344</v>
      </c>
      <c r="AQ840" t="s">
        <v>74</v>
      </c>
      <c r="AR840" t="s">
        <v>4345</v>
      </c>
      <c r="AS840" t="s">
        <v>4346</v>
      </c>
      <c r="AT840" t="s">
        <v>11480</v>
      </c>
      <c r="AU840">
        <v>2009</v>
      </c>
      <c r="AV840">
        <v>8</v>
      </c>
      <c r="AW840">
        <v>1</v>
      </c>
      <c r="AX840" t="s">
        <v>74</v>
      </c>
      <c r="AY840" t="s">
        <v>74</v>
      </c>
      <c r="AZ840" t="s">
        <v>74</v>
      </c>
      <c r="BA840" t="s">
        <v>74</v>
      </c>
      <c r="BB840">
        <v>37</v>
      </c>
      <c r="BC840">
        <v>49</v>
      </c>
      <c r="BD840" t="s">
        <v>74</v>
      </c>
      <c r="BE840" t="s">
        <v>14823</v>
      </c>
      <c r="BF840" t="str">
        <f>HYPERLINK("http://dx.doi.org/10.1017/S1473550408004369","http://dx.doi.org/10.1017/S1473550408004369")</f>
        <v>http://dx.doi.org/10.1017/S1473550408004369</v>
      </c>
      <c r="BG840" t="s">
        <v>74</v>
      </c>
      <c r="BH840" t="s">
        <v>74</v>
      </c>
      <c r="BI840">
        <v>13</v>
      </c>
      <c r="BJ840" t="s">
        <v>4348</v>
      </c>
      <c r="BK840" t="s">
        <v>1453</v>
      </c>
      <c r="BL840" t="s">
        <v>4349</v>
      </c>
      <c r="BM840" t="s">
        <v>14824</v>
      </c>
      <c r="BN840" t="s">
        <v>74</v>
      </c>
      <c r="BO840" t="s">
        <v>74</v>
      </c>
      <c r="BP840" t="s">
        <v>74</v>
      </c>
      <c r="BQ840" t="s">
        <v>74</v>
      </c>
      <c r="BR840" t="s">
        <v>103</v>
      </c>
      <c r="BS840" t="s">
        <v>14825</v>
      </c>
      <c r="BT840" t="str">
        <f>HYPERLINK("https%3A%2F%2Fwww.webofscience.com%2Fwos%2Fwoscc%2Ffull-record%2FWOS:000273330800006","View Full Record in Web of Science")</f>
        <v>View Full Record in Web of Science</v>
      </c>
    </row>
    <row r="841" spans="1:72" x14ac:dyDescent="0.15">
      <c r="A841" t="s">
        <v>72</v>
      </c>
      <c r="B841" t="s">
        <v>14826</v>
      </c>
      <c r="C841" t="s">
        <v>74</v>
      </c>
      <c r="D841" t="s">
        <v>74</v>
      </c>
      <c r="E841" t="s">
        <v>74</v>
      </c>
      <c r="F841" t="s">
        <v>14827</v>
      </c>
      <c r="G841" t="s">
        <v>74</v>
      </c>
      <c r="H841" t="s">
        <v>74</v>
      </c>
      <c r="I841" t="s">
        <v>14828</v>
      </c>
      <c r="J841" t="s">
        <v>14829</v>
      </c>
      <c r="K841" t="s">
        <v>74</v>
      </c>
      <c r="L841" t="s">
        <v>74</v>
      </c>
      <c r="M841" t="s">
        <v>1061</v>
      </c>
      <c r="N841" t="s">
        <v>172</v>
      </c>
      <c r="O841" t="s">
        <v>74</v>
      </c>
      <c r="P841" t="s">
        <v>74</v>
      </c>
      <c r="Q841" t="s">
        <v>74</v>
      </c>
      <c r="R841" t="s">
        <v>74</v>
      </c>
      <c r="S841" t="s">
        <v>74</v>
      </c>
      <c r="T841" t="s">
        <v>74</v>
      </c>
      <c r="U841" t="s">
        <v>74</v>
      </c>
      <c r="V841" t="s">
        <v>14830</v>
      </c>
      <c r="W841" t="s">
        <v>14831</v>
      </c>
      <c r="X841" t="s">
        <v>74</v>
      </c>
      <c r="Y841" t="s">
        <v>14832</v>
      </c>
      <c r="Z841" t="s">
        <v>14833</v>
      </c>
      <c r="AA841" t="s">
        <v>74</v>
      </c>
      <c r="AB841" t="s">
        <v>74</v>
      </c>
      <c r="AC841" t="s">
        <v>74</v>
      </c>
      <c r="AD841" t="s">
        <v>74</v>
      </c>
      <c r="AE841" t="s">
        <v>74</v>
      </c>
      <c r="AF841" t="s">
        <v>74</v>
      </c>
      <c r="AG841">
        <v>8</v>
      </c>
      <c r="AH841">
        <v>0</v>
      </c>
      <c r="AI841">
        <v>0</v>
      </c>
      <c r="AJ841">
        <v>0</v>
      </c>
      <c r="AK841">
        <v>0</v>
      </c>
      <c r="AL841" t="s">
        <v>14834</v>
      </c>
      <c r="AM841" t="s">
        <v>14835</v>
      </c>
      <c r="AN841" t="s">
        <v>14836</v>
      </c>
      <c r="AO841" t="s">
        <v>14837</v>
      </c>
      <c r="AP841" t="s">
        <v>14838</v>
      </c>
      <c r="AQ841" t="s">
        <v>74</v>
      </c>
      <c r="AR841" t="s">
        <v>14839</v>
      </c>
      <c r="AS841" t="s">
        <v>14840</v>
      </c>
      <c r="AT841" t="s">
        <v>74</v>
      </c>
      <c r="AU841">
        <v>2009</v>
      </c>
      <c r="AV841">
        <v>26</v>
      </c>
      <c r="AW841">
        <v>4</v>
      </c>
      <c r="AX841" t="s">
        <v>74</v>
      </c>
      <c r="AY841" t="s">
        <v>74</v>
      </c>
      <c r="AZ841" t="s">
        <v>74</v>
      </c>
      <c r="BA841" t="s">
        <v>74</v>
      </c>
      <c r="BB841">
        <v>269</v>
      </c>
      <c r="BC841">
        <v>281</v>
      </c>
      <c r="BD841" t="s">
        <v>74</v>
      </c>
      <c r="BE841" t="s">
        <v>74</v>
      </c>
      <c r="BF841" t="s">
        <v>74</v>
      </c>
      <c r="BG841" t="s">
        <v>74</v>
      </c>
      <c r="BH841" t="s">
        <v>74</v>
      </c>
      <c r="BI841">
        <v>13</v>
      </c>
      <c r="BJ841" t="s">
        <v>14841</v>
      </c>
      <c r="BK841" t="s">
        <v>2781</v>
      </c>
      <c r="BL841" t="s">
        <v>2458</v>
      </c>
      <c r="BM841" t="s">
        <v>14842</v>
      </c>
      <c r="BN841" t="s">
        <v>74</v>
      </c>
      <c r="BO841" t="s">
        <v>74</v>
      </c>
      <c r="BP841" t="s">
        <v>74</v>
      </c>
      <c r="BQ841" t="s">
        <v>74</v>
      </c>
      <c r="BR841" t="s">
        <v>103</v>
      </c>
      <c r="BS841" t="s">
        <v>14843</v>
      </c>
      <c r="BT841" t="str">
        <f>HYPERLINK("https%3A%2F%2Fwww.webofscience.com%2Fwos%2Fwoscc%2Ffull-record%2FWOS:000420644200003","View Full Record in Web of Science")</f>
        <v>View Full Record in Web of Science</v>
      </c>
    </row>
    <row r="842" spans="1:72" x14ac:dyDescent="0.15">
      <c r="A842" t="s">
        <v>72</v>
      </c>
      <c r="B842" t="s">
        <v>14844</v>
      </c>
      <c r="C842" t="s">
        <v>74</v>
      </c>
      <c r="D842" t="s">
        <v>74</v>
      </c>
      <c r="E842" t="s">
        <v>74</v>
      </c>
      <c r="F842" t="s">
        <v>14845</v>
      </c>
      <c r="G842" t="s">
        <v>74</v>
      </c>
      <c r="H842" t="s">
        <v>74</v>
      </c>
      <c r="I842" t="s">
        <v>14846</v>
      </c>
      <c r="J842" t="s">
        <v>14847</v>
      </c>
      <c r="K842" t="s">
        <v>74</v>
      </c>
      <c r="L842" t="s">
        <v>74</v>
      </c>
      <c r="M842" t="s">
        <v>78</v>
      </c>
      <c r="N842" t="s">
        <v>79</v>
      </c>
      <c r="O842" t="s">
        <v>74</v>
      </c>
      <c r="P842" t="s">
        <v>74</v>
      </c>
      <c r="Q842" t="s">
        <v>74</v>
      </c>
      <c r="R842" t="s">
        <v>74</v>
      </c>
      <c r="S842" t="s">
        <v>74</v>
      </c>
      <c r="T842" t="s">
        <v>74</v>
      </c>
      <c r="U842" t="s">
        <v>14848</v>
      </c>
      <c r="V842" t="s">
        <v>14849</v>
      </c>
      <c r="W842" t="s">
        <v>14850</v>
      </c>
      <c r="X842" t="s">
        <v>14851</v>
      </c>
      <c r="Y842" t="s">
        <v>14852</v>
      </c>
      <c r="Z842" t="s">
        <v>14853</v>
      </c>
      <c r="AA842" t="s">
        <v>74</v>
      </c>
      <c r="AB842" t="s">
        <v>14854</v>
      </c>
      <c r="AC842" t="s">
        <v>14855</v>
      </c>
      <c r="AD842" t="s">
        <v>14855</v>
      </c>
      <c r="AE842" t="s">
        <v>14856</v>
      </c>
      <c r="AF842" t="s">
        <v>74</v>
      </c>
      <c r="AG842">
        <v>23</v>
      </c>
      <c r="AH842">
        <v>13</v>
      </c>
      <c r="AI842">
        <v>13</v>
      </c>
      <c r="AJ842">
        <v>0</v>
      </c>
      <c r="AK842">
        <v>10</v>
      </c>
      <c r="AL842" t="s">
        <v>1167</v>
      </c>
      <c r="AM842" t="s">
        <v>1168</v>
      </c>
      <c r="AN842" t="s">
        <v>1169</v>
      </c>
      <c r="AO842" t="s">
        <v>14857</v>
      </c>
      <c r="AP842" t="s">
        <v>14858</v>
      </c>
      <c r="AQ842" t="s">
        <v>74</v>
      </c>
      <c r="AR842" t="s">
        <v>14859</v>
      </c>
      <c r="AS842" t="s">
        <v>14860</v>
      </c>
      <c r="AT842" t="s">
        <v>74</v>
      </c>
      <c r="AU842">
        <v>2009</v>
      </c>
      <c r="AV842">
        <v>30</v>
      </c>
      <c r="AW842">
        <v>13</v>
      </c>
      <c r="AX842" t="s">
        <v>74</v>
      </c>
      <c r="AY842" t="s">
        <v>74</v>
      </c>
      <c r="AZ842" t="s">
        <v>74</v>
      </c>
      <c r="BA842" t="s">
        <v>74</v>
      </c>
      <c r="BB842">
        <v>3485</v>
      </c>
      <c r="BC842">
        <v>3494</v>
      </c>
      <c r="BD842" t="s">
        <v>14861</v>
      </c>
      <c r="BE842" t="s">
        <v>14862</v>
      </c>
      <c r="BF842" t="str">
        <f>HYPERLINK("http://dx.doi.org/10.1080/01431160802562248","http://dx.doi.org/10.1080/01431160802562248")</f>
        <v>http://dx.doi.org/10.1080/01431160802562248</v>
      </c>
      <c r="BG842" t="s">
        <v>74</v>
      </c>
      <c r="BH842" t="s">
        <v>74</v>
      </c>
      <c r="BI842">
        <v>10</v>
      </c>
      <c r="BJ842" t="s">
        <v>14863</v>
      </c>
      <c r="BK842" t="s">
        <v>100</v>
      </c>
      <c r="BL842" t="s">
        <v>14863</v>
      </c>
      <c r="BM842" t="s">
        <v>14864</v>
      </c>
      <c r="BN842" t="s">
        <v>74</v>
      </c>
      <c r="BO842" t="s">
        <v>74</v>
      </c>
      <c r="BP842" t="s">
        <v>74</v>
      </c>
      <c r="BQ842" t="s">
        <v>74</v>
      </c>
      <c r="BR842" t="s">
        <v>103</v>
      </c>
      <c r="BS842" t="s">
        <v>14865</v>
      </c>
      <c r="BT842" t="str">
        <f>HYPERLINK("https%3A%2F%2Fwww.webofscience.com%2Fwos%2Fwoscc%2Ffull-record%2FWOS:000268277600011","View Full Record in Web of Science")</f>
        <v>View Full Record in Web of Science</v>
      </c>
    </row>
    <row r="843" spans="1:72" x14ac:dyDescent="0.15">
      <c r="A843" t="s">
        <v>72</v>
      </c>
      <c r="B843" t="s">
        <v>14866</v>
      </c>
      <c r="C843" t="s">
        <v>74</v>
      </c>
      <c r="D843" t="s">
        <v>74</v>
      </c>
      <c r="E843" t="s">
        <v>74</v>
      </c>
      <c r="F843" t="s">
        <v>14867</v>
      </c>
      <c r="G843" t="s">
        <v>74</v>
      </c>
      <c r="H843" t="s">
        <v>74</v>
      </c>
      <c r="I843" t="s">
        <v>14868</v>
      </c>
      <c r="J843" t="s">
        <v>14847</v>
      </c>
      <c r="K843" t="s">
        <v>74</v>
      </c>
      <c r="L843" t="s">
        <v>74</v>
      </c>
      <c r="M843" t="s">
        <v>78</v>
      </c>
      <c r="N843" t="s">
        <v>79</v>
      </c>
      <c r="O843" t="s">
        <v>74</v>
      </c>
      <c r="P843" t="s">
        <v>74</v>
      </c>
      <c r="Q843" t="s">
        <v>74</v>
      </c>
      <c r="R843" t="s">
        <v>74</v>
      </c>
      <c r="S843" t="s">
        <v>74</v>
      </c>
      <c r="T843" t="s">
        <v>74</v>
      </c>
      <c r="U843" t="s">
        <v>14869</v>
      </c>
      <c r="V843" t="s">
        <v>14870</v>
      </c>
      <c r="W843" t="s">
        <v>14871</v>
      </c>
      <c r="X843" t="s">
        <v>14872</v>
      </c>
      <c r="Y843" t="s">
        <v>14873</v>
      </c>
      <c r="Z843" t="s">
        <v>14874</v>
      </c>
      <c r="AA843" t="s">
        <v>14875</v>
      </c>
      <c r="AB843" t="s">
        <v>14876</v>
      </c>
      <c r="AC843" t="s">
        <v>74</v>
      </c>
      <c r="AD843" t="s">
        <v>74</v>
      </c>
      <c r="AE843" t="s">
        <v>74</v>
      </c>
      <c r="AF843" t="s">
        <v>74</v>
      </c>
      <c r="AG843">
        <v>79</v>
      </c>
      <c r="AH843">
        <v>6</v>
      </c>
      <c r="AI843">
        <v>6</v>
      </c>
      <c r="AJ843">
        <v>0</v>
      </c>
      <c r="AK843">
        <v>13</v>
      </c>
      <c r="AL843" t="s">
        <v>1167</v>
      </c>
      <c r="AM843" t="s">
        <v>1168</v>
      </c>
      <c r="AN843" t="s">
        <v>1169</v>
      </c>
      <c r="AO843" t="s">
        <v>14857</v>
      </c>
      <c r="AP843" t="s">
        <v>14858</v>
      </c>
      <c r="AQ843" t="s">
        <v>74</v>
      </c>
      <c r="AR843" t="s">
        <v>14859</v>
      </c>
      <c r="AS843" t="s">
        <v>14860</v>
      </c>
      <c r="AT843" t="s">
        <v>74</v>
      </c>
      <c r="AU843">
        <v>2009</v>
      </c>
      <c r="AV843">
        <v>30</v>
      </c>
      <c r="AW843" t="s">
        <v>14877</v>
      </c>
      <c r="AX843" t="s">
        <v>74</v>
      </c>
      <c r="AY843" t="s">
        <v>74</v>
      </c>
      <c r="AZ843" t="s">
        <v>74</v>
      </c>
      <c r="BA843" t="s">
        <v>74</v>
      </c>
      <c r="BB843">
        <v>3853</v>
      </c>
      <c r="BC843">
        <v>3873</v>
      </c>
      <c r="BD843" t="s">
        <v>74</v>
      </c>
      <c r="BE843" t="s">
        <v>14878</v>
      </c>
      <c r="BF843" t="str">
        <f>HYPERLINK("http://dx.doi.org/10.1080/01431160902821999","http://dx.doi.org/10.1080/01431160902821999")</f>
        <v>http://dx.doi.org/10.1080/01431160902821999</v>
      </c>
      <c r="BG843" t="s">
        <v>74</v>
      </c>
      <c r="BH843" t="s">
        <v>74</v>
      </c>
      <c r="BI843">
        <v>21</v>
      </c>
      <c r="BJ843" t="s">
        <v>14863</v>
      </c>
      <c r="BK843" t="s">
        <v>100</v>
      </c>
      <c r="BL843" t="s">
        <v>14863</v>
      </c>
      <c r="BM843" t="s">
        <v>14879</v>
      </c>
      <c r="BN843" t="s">
        <v>74</v>
      </c>
      <c r="BO843" t="s">
        <v>74</v>
      </c>
      <c r="BP843" t="s">
        <v>74</v>
      </c>
      <c r="BQ843" t="s">
        <v>74</v>
      </c>
      <c r="BR843" t="s">
        <v>103</v>
      </c>
      <c r="BS843" t="s">
        <v>14880</v>
      </c>
      <c r="BT843" t="str">
        <f>HYPERLINK("https%3A%2F%2Fwww.webofscience.com%2Fwos%2Fwoscc%2Ffull-record%2FWOS:000269004200001","View Full Record in Web of Science")</f>
        <v>View Full Record in Web of Science</v>
      </c>
    </row>
    <row r="844" spans="1:72" x14ac:dyDescent="0.15">
      <c r="A844" t="s">
        <v>72</v>
      </c>
      <c r="B844" t="s">
        <v>14881</v>
      </c>
      <c r="C844" t="s">
        <v>74</v>
      </c>
      <c r="D844" t="s">
        <v>74</v>
      </c>
      <c r="E844" t="s">
        <v>74</v>
      </c>
      <c r="F844" t="s">
        <v>14882</v>
      </c>
      <c r="G844" t="s">
        <v>74</v>
      </c>
      <c r="H844" t="s">
        <v>74</v>
      </c>
      <c r="I844" t="s">
        <v>14883</v>
      </c>
      <c r="J844" t="s">
        <v>14847</v>
      </c>
      <c r="K844" t="s">
        <v>74</v>
      </c>
      <c r="L844" t="s">
        <v>74</v>
      </c>
      <c r="M844" t="s">
        <v>78</v>
      </c>
      <c r="N844" t="s">
        <v>79</v>
      </c>
      <c r="O844" t="s">
        <v>74</v>
      </c>
      <c r="P844" t="s">
        <v>74</v>
      </c>
      <c r="Q844" t="s">
        <v>74</v>
      </c>
      <c r="R844" t="s">
        <v>74</v>
      </c>
      <c r="S844" t="s">
        <v>74</v>
      </c>
      <c r="T844" t="s">
        <v>74</v>
      </c>
      <c r="U844" t="s">
        <v>14884</v>
      </c>
      <c r="V844" t="s">
        <v>14885</v>
      </c>
      <c r="W844" t="s">
        <v>14886</v>
      </c>
      <c r="X844" t="s">
        <v>74</v>
      </c>
      <c r="Y844" t="s">
        <v>14887</v>
      </c>
      <c r="Z844" t="s">
        <v>14888</v>
      </c>
      <c r="AA844" t="s">
        <v>74</v>
      </c>
      <c r="AB844" t="s">
        <v>74</v>
      </c>
      <c r="AC844" t="s">
        <v>74</v>
      </c>
      <c r="AD844" t="s">
        <v>74</v>
      </c>
      <c r="AE844" t="s">
        <v>74</v>
      </c>
      <c r="AF844" t="s">
        <v>74</v>
      </c>
      <c r="AG844">
        <v>8</v>
      </c>
      <c r="AH844">
        <v>2</v>
      </c>
      <c r="AI844">
        <v>2</v>
      </c>
      <c r="AJ844">
        <v>4</v>
      </c>
      <c r="AK844">
        <v>9</v>
      </c>
      <c r="AL844" t="s">
        <v>1167</v>
      </c>
      <c r="AM844" t="s">
        <v>1168</v>
      </c>
      <c r="AN844" t="s">
        <v>12840</v>
      </c>
      <c r="AO844" t="s">
        <v>14857</v>
      </c>
      <c r="AP844" t="s">
        <v>74</v>
      </c>
      <c r="AQ844" t="s">
        <v>74</v>
      </c>
      <c r="AR844" t="s">
        <v>14859</v>
      </c>
      <c r="AS844" t="s">
        <v>14860</v>
      </c>
      <c r="AT844" t="s">
        <v>74</v>
      </c>
      <c r="AU844">
        <v>2009</v>
      </c>
      <c r="AV844">
        <v>30</v>
      </c>
      <c r="AW844" t="s">
        <v>14877</v>
      </c>
      <c r="AX844" t="s">
        <v>74</v>
      </c>
      <c r="AY844" t="s">
        <v>74</v>
      </c>
      <c r="AZ844" t="s">
        <v>74</v>
      </c>
      <c r="BA844" t="s">
        <v>74</v>
      </c>
      <c r="BB844">
        <v>3907</v>
      </c>
      <c r="BC844">
        <v>3916</v>
      </c>
      <c r="BD844" t="s">
        <v>74</v>
      </c>
      <c r="BE844" t="s">
        <v>14889</v>
      </c>
      <c r="BF844" t="str">
        <f>HYPERLINK("http://dx.doi.org/10.1080/01431160902821957","http://dx.doi.org/10.1080/01431160902821957")</f>
        <v>http://dx.doi.org/10.1080/01431160902821957</v>
      </c>
      <c r="BG844" t="s">
        <v>74</v>
      </c>
      <c r="BH844" t="s">
        <v>74</v>
      </c>
      <c r="BI844">
        <v>10</v>
      </c>
      <c r="BJ844" t="s">
        <v>14863</v>
      </c>
      <c r="BK844" t="s">
        <v>100</v>
      </c>
      <c r="BL844" t="s">
        <v>14863</v>
      </c>
      <c r="BM844" t="s">
        <v>14879</v>
      </c>
      <c r="BN844" t="s">
        <v>74</v>
      </c>
      <c r="BO844" t="s">
        <v>74</v>
      </c>
      <c r="BP844" t="s">
        <v>74</v>
      </c>
      <c r="BQ844" t="s">
        <v>74</v>
      </c>
      <c r="BR844" t="s">
        <v>103</v>
      </c>
      <c r="BS844" t="s">
        <v>14890</v>
      </c>
      <c r="BT844" t="str">
        <f>HYPERLINK("https%3A%2F%2Fwww.webofscience.com%2Fwos%2Fwoscc%2Ffull-record%2FWOS:000269004200005","View Full Record in Web of Science")</f>
        <v>View Full Record in Web of Science</v>
      </c>
    </row>
    <row r="845" spans="1:72" x14ac:dyDescent="0.15">
      <c r="A845" t="s">
        <v>72</v>
      </c>
      <c r="B845" t="s">
        <v>14891</v>
      </c>
      <c r="C845" t="s">
        <v>74</v>
      </c>
      <c r="D845" t="s">
        <v>74</v>
      </c>
      <c r="E845" t="s">
        <v>74</v>
      </c>
      <c r="F845" t="s">
        <v>14892</v>
      </c>
      <c r="G845" t="s">
        <v>74</v>
      </c>
      <c r="H845" t="s">
        <v>74</v>
      </c>
      <c r="I845" t="s">
        <v>14893</v>
      </c>
      <c r="J845" t="s">
        <v>14847</v>
      </c>
      <c r="K845" t="s">
        <v>74</v>
      </c>
      <c r="L845" t="s">
        <v>74</v>
      </c>
      <c r="M845" t="s">
        <v>78</v>
      </c>
      <c r="N845" t="s">
        <v>79</v>
      </c>
      <c r="O845" t="s">
        <v>74</v>
      </c>
      <c r="P845" t="s">
        <v>74</v>
      </c>
      <c r="Q845" t="s">
        <v>74</v>
      </c>
      <c r="R845" t="s">
        <v>74</v>
      </c>
      <c r="S845" t="s">
        <v>74</v>
      </c>
      <c r="T845" t="s">
        <v>74</v>
      </c>
      <c r="U845" t="s">
        <v>14894</v>
      </c>
      <c r="V845" t="s">
        <v>14895</v>
      </c>
      <c r="W845" t="s">
        <v>14896</v>
      </c>
      <c r="X845" t="s">
        <v>14897</v>
      </c>
      <c r="Y845" t="s">
        <v>14898</v>
      </c>
      <c r="Z845" t="s">
        <v>14899</v>
      </c>
      <c r="AA845" t="s">
        <v>14900</v>
      </c>
      <c r="AB845" t="s">
        <v>74</v>
      </c>
      <c r="AC845" t="s">
        <v>14901</v>
      </c>
      <c r="AD845" t="s">
        <v>14902</v>
      </c>
      <c r="AE845" t="s">
        <v>14903</v>
      </c>
      <c r="AF845" t="s">
        <v>74</v>
      </c>
      <c r="AG845">
        <v>22</v>
      </c>
      <c r="AH845">
        <v>8</v>
      </c>
      <c r="AI845">
        <v>9</v>
      </c>
      <c r="AJ845">
        <v>0</v>
      </c>
      <c r="AK845">
        <v>1</v>
      </c>
      <c r="AL845" t="s">
        <v>1167</v>
      </c>
      <c r="AM845" t="s">
        <v>1168</v>
      </c>
      <c r="AN845" t="s">
        <v>1169</v>
      </c>
      <c r="AO845" t="s">
        <v>14857</v>
      </c>
      <c r="AP845" t="s">
        <v>14858</v>
      </c>
      <c r="AQ845" t="s">
        <v>74</v>
      </c>
      <c r="AR845" t="s">
        <v>14859</v>
      </c>
      <c r="AS845" t="s">
        <v>14860</v>
      </c>
      <c r="AT845" t="s">
        <v>74</v>
      </c>
      <c r="AU845">
        <v>2009</v>
      </c>
      <c r="AV845">
        <v>30</v>
      </c>
      <c r="AW845" t="s">
        <v>14877</v>
      </c>
      <c r="AX845" t="s">
        <v>74</v>
      </c>
      <c r="AY845" t="s">
        <v>74</v>
      </c>
      <c r="AZ845" t="s">
        <v>74</v>
      </c>
      <c r="BA845" t="s">
        <v>74</v>
      </c>
      <c r="BB845">
        <v>3975</v>
      </c>
      <c r="BC845">
        <v>3986</v>
      </c>
      <c r="BD845" t="s">
        <v>74</v>
      </c>
      <c r="BE845" t="s">
        <v>14904</v>
      </c>
      <c r="BF845" t="str">
        <f>HYPERLINK("http://dx.doi.org/10.1080/01431160902821924","http://dx.doi.org/10.1080/01431160902821924")</f>
        <v>http://dx.doi.org/10.1080/01431160902821924</v>
      </c>
      <c r="BG845" t="s">
        <v>74</v>
      </c>
      <c r="BH845" t="s">
        <v>74</v>
      </c>
      <c r="BI845">
        <v>12</v>
      </c>
      <c r="BJ845" t="s">
        <v>14863</v>
      </c>
      <c r="BK845" t="s">
        <v>100</v>
      </c>
      <c r="BL845" t="s">
        <v>14863</v>
      </c>
      <c r="BM845" t="s">
        <v>14879</v>
      </c>
      <c r="BN845" t="s">
        <v>74</v>
      </c>
      <c r="BO845" t="s">
        <v>74</v>
      </c>
      <c r="BP845" t="s">
        <v>74</v>
      </c>
      <c r="BQ845" t="s">
        <v>74</v>
      </c>
      <c r="BR845" t="s">
        <v>103</v>
      </c>
      <c r="BS845" t="s">
        <v>14905</v>
      </c>
      <c r="BT845" t="str">
        <f>HYPERLINK("https%3A%2F%2Fwww.webofscience.com%2Fwos%2Fwoscc%2Ffull-record%2FWOS:000269004200012","View Full Record in Web of Science")</f>
        <v>View Full Record in Web of Science</v>
      </c>
    </row>
    <row r="846" spans="1:72" x14ac:dyDescent="0.15">
      <c r="A846" t="s">
        <v>72</v>
      </c>
      <c r="B846" t="s">
        <v>14906</v>
      </c>
      <c r="C846" t="s">
        <v>74</v>
      </c>
      <c r="D846" t="s">
        <v>74</v>
      </c>
      <c r="E846" t="s">
        <v>74</v>
      </c>
      <c r="F846" t="s">
        <v>14907</v>
      </c>
      <c r="G846" t="s">
        <v>74</v>
      </c>
      <c r="H846" t="s">
        <v>74</v>
      </c>
      <c r="I846" t="s">
        <v>14908</v>
      </c>
      <c r="J846" t="s">
        <v>14847</v>
      </c>
      <c r="K846" t="s">
        <v>74</v>
      </c>
      <c r="L846" t="s">
        <v>74</v>
      </c>
      <c r="M846" t="s">
        <v>78</v>
      </c>
      <c r="N846" t="s">
        <v>79</v>
      </c>
      <c r="O846" t="s">
        <v>74</v>
      </c>
      <c r="P846" t="s">
        <v>74</v>
      </c>
      <c r="Q846" t="s">
        <v>74</v>
      </c>
      <c r="R846" t="s">
        <v>74</v>
      </c>
      <c r="S846" t="s">
        <v>74</v>
      </c>
      <c r="T846" t="s">
        <v>74</v>
      </c>
      <c r="U846" t="s">
        <v>14909</v>
      </c>
      <c r="V846" t="s">
        <v>14910</v>
      </c>
      <c r="W846" t="s">
        <v>14911</v>
      </c>
      <c r="X846" t="s">
        <v>14912</v>
      </c>
      <c r="Y846" t="s">
        <v>14913</v>
      </c>
      <c r="Z846" t="s">
        <v>14914</v>
      </c>
      <c r="AA846" t="s">
        <v>14915</v>
      </c>
      <c r="AB846" t="s">
        <v>14916</v>
      </c>
      <c r="AC846" t="s">
        <v>14917</v>
      </c>
      <c r="AD846" t="s">
        <v>14918</v>
      </c>
      <c r="AE846" t="s">
        <v>14919</v>
      </c>
      <c r="AF846" t="s">
        <v>74</v>
      </c>
      <c r="AG846">
        <v>21</v>
      </c>
      <c r="AH846">
        <v>7</v>
      </c>
      <c r="AI846">
        <v>7</v>
      </c>
      <c r="AJ846">
        <v>0</v>
      </c>
      <c r="AK846">
        <v>0</v>
      </c>
      <c r="AL846" t="s">
        <v>1167</v>
      </c>
      <c r="AM846" t="s">
        <v>1168</v>
      </c>
      <c r="AN846" t="s">
        <v>1169</v>
      </c>
      <c r="AO846" t="s">
        <v>14857</v>
      </c>
      <c r="AP846" t="s">
        <v>14858</v>
      </c>
      <c r="AQ846" t="s">
        <v>74</v>
      </c>
      <c r="AR846" t="s">
        <v>14859</v>
      </c>
      <c r="AS846" t="s">
        <v>14860</v>
      </c>
      <c r="AT846" t="s">
        <v>74</v>
      </c>
      <c r="AU846">
        <v>2009</v>
      </c>
      <c r="AV846">
        <v>30</v>
      </c>
      <c r="AW846" t="s">
        <v>14877</v>
      </c>
      <c r="AX846" t="s">
        <v>74</v>
      </c>
      <c r="AY846" t="s">
        <v>74</v>
      </c>
      <c r="AZ846" t="s">
        <v>74</v>
      </c>
      <c r="BA846" t="s">
        <v>74</v>
      </c>
      <c r="BB846">
        <v>4283</v>
      </c>
      <c r="BC846">
        <v>4294</v>
      </c>
      <c r="BD846" t="s">
        <v>74</v>
      </c>
      <c r="BE846" t="s">
        <v>14920</v>
      </c>
      <c r="BF846" t="str">
        <f>HYPERLINK("http://dx.doi.org/10.1080/01431160902825008","http://dx.doi.org/10.1080/01431160902825008")</f>
        <v>http://dx.doi.org/10.1080/01431160902825008</v>
      </c>
      <c r="BG846" t="s">
        <v>74</v>
      </c>
      <c r="BH846" t="s">
        <v>74</v>
      </c>
      <c r="BI846">
        <v>12</v>
      </c>
      <c r="BJ846" t="s">
        <v>14863</v>
      </c>
      <c r="BK846" t="s">
        <v>100</v>
      </c>
      <c r="BL846" t="s">
        <v>14863</v>
      </c>
      <c r="BM846" t="s">
        <v>14879</v>
      </c>
      <c r="BN846" t="s">
        <v>74</v>
      </c>
      <c r="BO846" t="s">
        <v>74</v>
      </c>
      <c r="BP846" t="s">
        <v>74</v>
      </c>
      <c r="BQ846" t="s">
        <v>74</v>
      </c>
      <c r="BR846" t="s">
        <v>103</v>
      </c>
      <c r="BS846" t="s">
        <v>14921</v>
      </c>
      <c r="BT846" t="str">
        <f>HYPERLINK("https%3A%2F%2Fwww.webofscience.com%2Fwos%2Fwoscc%2Ffull-record%2FWOS:000269004200036","View Full Record in Web of Science")</f>
        <v>View Full Record in Web of Science</v>
      </c>
    </row>
    <row r="847" spans="1:72" x14ac:dyDescent="0.15">
      <c r="A847" t="s">
        <v>72</v>
      </c>
      <c r="B847" t="s">
        <v>14922</v>
      </c>
      <c r="C847" t="s">
        <v>74</v>
      </c>
      <c r="D847" t="s">
        <v>74</v>
      </c>
      <c r="E847" t="s">
        <v>74</v>
      </c>
      <c r="F847" t="s">
        <v>14923</v>
      </c>
      <c r="G847" t="s">
        <v>74</v>
      </c>
      <c r="H847" t="s">
        <v>74</v>
      </c>
      <c r="I847" t="s">
        <v>14924</v>
      </c>
      <c r="J847" t="s">
        <v>14847</v>
      </c>
      <c r="K847" t="s">
        <v>74</v>
      </c>
      <c r="L847" t="s">
        <v>74</v>
      </c>
      <c r="M847" t="s">
        <v>78</v>
      </c>
      <c r="N847" t="s">
        <v>79</v>
      </c>
      <c r="O847" t="s">
        <v>74</v>
      </c>
      <c r="P847" t="s">
        <v>74</v>
      </c>
      <c r="Q847" t="s">
        <v>74</v>
      </c>
      <c r="R847" t="s">
        <v>74</v>
      </c>
      <c r="S847" t="s">
        <v>74</v>
      </c>
      <c r="T847" t="s">
        <v>74</v>
      </c>
      <c r="U847" t="s">
        <v>14925</v>
      </c>
      <c r="V847" t="s">
        <v>14926</v>
      </c>
      <c r="W847" t="s">
        <v>14927</v>
      </c>
      <c r="X847" t="s">
        <v>14928</v>
      </c>
      <c r="Y847" t="s">
        <v>14929</v>
      </c>
      <c r="Z847" t="s">
        <v>14930</v>
      </c>
      <c r="AA847" t="s">
        <v>14931</v>
      </c>
      <c r="AB847" t="s">
        <v>14932</v>
      </c>
      <c r="AC847" t="s">
        <v>14933</v>
      </c>
      <c r="AD847" t="s">
        <v>14934</v>
      </c>
      <c r="AE847" t="s">
        <v>14935</v>
      </c>
      <c r="AF847" t="s">
        <v>74</v>
      </c>
      <c r="AG847">
        <v>57</v>
      </c>
      <c r="AH847">
        <v>1</v>
      </c>
      <c r="AI847">
        <v>1</v>
      </c>
      <c r="AJ847">
        <v>0</v>
      </c>
      <c r="AK847">
        <v>7</v>
      </c>
      <c r="AL847" t="s">
        <v>1167</v>
      </c>
      <c r="AM847" t="s">
        <v>1168</v>
      </c>
      <c r="AN847" t="s">
        <v>1169</v>
      </c>
      <c r="AO847" t="s">
        <v>14857</v>
      </c>
      <c r="AP847" t="s">
        <v>14858</v>
      </c>
      <c r="AQ847" t="s">
        <v>74</v>
      </c>
      <c r="AR847" t="s">
        <v>14859</v>
      </c>
      <c r="AS847" t="s">
        <v>14860</v>
      </c>
      <c r="AT847" t="s">
        <v>74</v>
      </c>
      <c r="AU847">
        <v>2009</v>
      </c>
      <c r="AV847">
        <v>30</v>
      </c>
      <c r="AW847" t="s">
        <v>14877</v>
      </c>
      <c r="AX847" t="s">
        <v>74</v>
      </c>
      <c r="AY847" t="s">
        <v>74</v>
      </c>
      <c r="AZ847" t="s">
        <v>74</v>
      </c>
      <c r="BA847" t="s">
        <v>74</v>
      </c>
      <c r="BB847">
        <v>4319</v>
      </c>
      <c r="BC847">
        <v>4330</v>
      </c>
      <c r="BD847" t="s">
        <v>74</v>
      </c>
      <c r="BE847" t="s">
        <v>14936</v>
      </c>
      <c r="BF847" t="str">
        <f>HYPERLINK("http://dx.doi.org/10.1080/01431160902825065","http://dx.doi.org/10.1080/01431160902825065")</f>
        <v>http://dx.doi.org/10.1080/01431160902825065</v>
      </c>
      <c r="BG847" t="s">
        <v>74</v>
      </c>
      <c r="BH847" t="s">
        <v>74</v>
      </c>
      <c r="BI847">
        <v>12</v>
      </c>
      <c r="BJ847" t="s">
        <v>14863</v>
      </c>
      <c r="BK847" t="s">
        <v>100</v>
      </c>
      <c r="BL847" t="s">
        <v>14863</v>
      </c>
      <c r="BM847" t="s">
        <v>14879</v>
      </c>
      <c r="BN847" t="s">
        <v>74</v>
      </c>
      <c r="BO847" t="s">
        <v>74</v>
      </c>
      <c r="BP847" t="s">
        <v>74</v>
      </c>
      <c r="BQ847" t="s">
        <v>74</v>
      </c>
      <c r="BR847" t="s">
        <v>103</v>
      </c>
      <c r="BS847" t="s">
        <v>14937</v>
      </c>
      <c r="BT847" t="str">
        <f>HYPERLINK("https%3A%2F%2Fwww.webofscience.com%2Fwos%2Fwoscc%2Ffull-record%2FWOS:000269004200038","View Full Record in Web of Science")</f>
        <v>View Full Record in Web of Science</v>
      </c>
    </row>
    <row r="848" spans="1:72" x14ac:dyDescent="0.15">
      <c r="A848" t="s">
        <v>72</v>
      </c>
      <c r="B848" t="s">
        <v>14938</v>
      </c>
      <c r="C848" t="s">
        <v>74</v>
      </c>
      <c r="D848" t="s">
        <v>74</v>
      </c>
      <c r="E848" t="s">
        <v>74</v>
      </c>
      <c r="F848" t="s">
        <v>14939</v>
      </c>
      <c r="G848" t="s">
        <v>74</v>
      </c>
      <c r="H848" t="s">
        <v>74</v>
      </c>
      <c r="I848" t="s">
        <v>14940</v>
      </c>
      <c r="J848" t="s">
        <v>14847</v>
      </c>
      <c r="K848" t="s">
        <v>74</v>
      </c>
      <c r="L848" t="s">
        <v>74</v>
      </c>
      <c r="M848" t="s">
        <v>78</v>
      </c>
      <c r="N848" t="s">
        <v>79</v>
      </c>
      <c r="O848" t="s">
        <v>74</v>
      </c>
      <c r="P848" t="s">
        <v>74</v>
      </c>
      <c r="Q848" t="s">
        <v>74</v>
      </c>
      <c r="R848" t="s">
        <v>74</v>
      </c>
      <c r="S848" t="s">
        <v>74</v>
      </c>
      <c r="T848" t="s">
        <v>74</v>
      </c>
      <c r="U848" t="s">
        <v>14941</v>
      </c>
      <c r="V848" t="s">
        <v>14942</v>
      </c>
      <c r="W848" t="s">
        <v>14943</v>
      </c>
      <c r="X848" t="s">
        <v>14851</v>
      </c>
      <c r="Y848" t="s">
        <v>14944</v>
      </c>
      <c r="Z848" t="s">
        <v>14945</v>
      </c>
      <c r="AA848" t="s">
        <v>74</v>
      </c>
      <c r="AB848" t="s">
        <v>74</v>
      </c>
      <c r="AC848" t="s">
        <v>14946</v>
      </c>
      <c r="AD848" t="s">
        <v>14946</v>
      </c>
      <c r="AE848" t="s">
        <v>14947</v>
      </c>
      <c r="AF848" t="s">
        <v>74</v>
      </c>
      <c r="AG848">
        <v>38</v>
      </c>
      <c r="AH848">
        <v>6</v>
      </c>
      <c r="AI848">
        <v>6</v>
      </c>
      <c r="AJ848">
        <v>0</v>
      </c>
      <c r="AK848">
        <v>4</v>
      </c>
      <c r="AL848" t="s">
        <v>1167</v>
      </c>
      <c r="AM848" t="s">
        <v>1168</v>
      </c>
      <c r="AN848" t="s">
        <v>1169</v>
      </c>
      <c r="AO848" t="s">
        <v>14857</v>
      </c>
      <c r="AP848" t="s">
        <v>14858</v>
      </c>
      <c r="AQ848" t="s">
        <v>74</v>
      </c>
      <c r="AR848" t="s">
        <v>14859</v>
      </c>
      <c r="AS848" t="s">
        <v>14860</v>
      </c>
      <c r="AT848" t="s">
        <v>74</v>
      </c>
      <c r="AU848">
        <v>2009</v>
      </c>
      <c r="AV848">
        <v>30</v>
      </c>
      <c r="AW848" t="s">
        <v>14877</v>
      </c>
      <c r="AX848" t="s">
        <v>74</v>
      </c>
      <c r="AY848" t="s">
        <v>74</v>
      </c>
      <c r="AZ848" t="s">
        <v>74</v>
      </c>
      <c r="BA848" t="s">
        <v>74</v>
      </c>
      <c r="BB848">
        <v>4331</v>
      </c>
      <c r="BC848">
        <v>4341</v>
      </c>
      <c r="BD848" t="s">
        <v>74</v>
      </c>
      <c r="BE848" t="s">
        <v>14948</v>
      </c>
      <c r="BF848" t="str">
        <f>HYPERLINK("http://dx.doi.org/10.1080/01431160902826592","http://dx.doi.org/10.1080/01431160902826592")</f>
        <v>http://dx.doi.org/10.1080/01431160902826592</v>
      </c>
      <c r="BG848" t="s">
        <v>74</v>
      </c>
      <c r="BH848" t="s">
        <v>74</v>
      </c>
      <c r="BI848">
        <v>11</v>
      </c>
      <c r="BJ848" t="s">
        <v>14863</v>
      </c>
      <c r="BK848" t="s">
        <v>100</v>
      </c>
      <c r="BL848" t="s">
        <v>14863</v>
      </c>
      <c r="BM848" t="s">
        <v>14879</v>
      </c>
      <c r="BN848" t="s">
        <v>74</v>
      </c>
      <c r="BO848" t="s">
        <v>74</v>
      </c>
      <c r="BP848" t="s">
        <v>74</v>
      </c>
      <c r="BQ848" t="s">
        <v>74</v>
      </c>
      <c r="BR848" t="s">
        <v>103</v>
      </c>
      <c r="BS848" t="s">
        <v>14949</v>
      </c>
      <c r="BT848" t="str">
        <f>HYPERLINK("https%3A%2F%2Fwww.webofscience.com%2Fwos%2Fwoscc%2Ffull-record%2FWOS:000269004200039","View Full Record in Web of Science")</f>
        <v>View Full Record in Web of Science</v>
      </c>
    </row>
    <row r="849" spans="1:72" x14ac:dyDescent="0.15">
      <c r="A849" t="s">
        <v>72</v>
      </c>
      <c r="B849" t="s">
        <v>14950</v>
      </c>
      <c r="C849" t="s">
        <v>74</v>
      </c>
      <c r="D849" t="s">
        <v>74</v>
      </c>
      <c r="E849" t="s">
        <v>74</v>
      </c>
      <c r="F849" t="s">
        <v>14951</v>
      </c>
      <c r="G849" t="s">
        <v>74</v>
      </c>
      <c r="H849" t="s">
        <v>74</v>
      </c>
      <c r="I849" t="s">
        <v>14952</v>
      </c>
      <c r="J849" t="s">
        <v>14847</v>
      </c>
      <c r="K849" t="s">
        <v>74</v>
      </c>
      <c r="L849" t="s">
        <v>74</v>
      </c>
      <c r="M849" t="s">
        <v>78</v>
      </c>
      <c r="N849" t="s">
        <v>79</v>
      </c>
      <c r="O849" t="s">
        <v>74</v>
      </c>
      <c r="P849" t="s">
        <v>74</v>
      </c>
      <c r="Q849" t="s">
        <v>74</v>
      </c>
      <c r="R849" t="s">
        <v>74</v>
      </c>
      <c r="S849" t="s">
        <v>74</v>
      </c>
      <c r="T849" t="s">
        <v>74</v>
      </c>
      <c r="U849" t="s">
        <v>14953</v>
      </c>
      <c r="V849" t="s">
        <v>14954</v>
      </c>
      <c r="W849" t="s">
        <v>14955</v>
      </c>
      <c r="X849" t="s">
        <v>14956</v>
      </c>
      <c r="Y849" t="s">
        <v>14957</v>
      </c>
      <c r="Z849" t="s">
        <v>14958</v>
      </c>
      <c r="AA849" t="s">
        <v>14959</v>
      </c>
      <c r="AB849" t="s">
        <v>14960</v>
      </c>
      <c r="AC849" t="s">
        <v>74</v>
      </c>
      <c r="AD849" t="s">
        <v>74</v>
      </c>
      <c r="AE849" t="s">
        <v>74</v>
      </c>
      <c r="AF849" t="s">
        <v>74</v>
      </c>
      <c r="AG849">
        <v>33</v>
      </c>
      <c r="AH849">
        <v>1</v>
      </c>
      <c r="AI849">
        <v>1</v>
      </c>
      <c r="AJ849">
        <v>0</v>
      </c>
      <c r="AK849">
        <v>5</v>
      </c>
      <c r="AL849" t="s">
        <v>1167</v>
      </c>
      <c r="AM849" t="s">
        <v>1168</v>
      </c>
      <c r="AN849" t="s">
        <v>1169</v>
      </c>
      <c r="AO849" t="s">
        <v>14857</v>
      </c>
      <c r="AP849" t="s">
        <v>14858</v>
      </c>
      <c r="AQ849" t="s">
        <v>74</v>
      </c>
      <c r="AR849" t="s">
        <v>14859</v>
      </c>
      <c r="AS849" t="s">
        <v>14860</v>
      </c>
      <c r="AT849" t="s">
        <v>74</v>
      </c>
      <c r="AU849">
        <v>2009</v>
      </c>
      <c r="AV849">
        <v>30</v>
      </c>
      <c r="AW849">
        <v>18</v>
      </c>
      <c r="AX849" t="s">
        <v>74</v>
      </c>
      <c r="AY849" t="s">
        <v>74</v>
      </c>
      <c r="AZ849" t="s">
        <v>74</v>
      </c>
      <c r="BA849" t="s">
        <v>74</v>
      </c>
      <c r="BB849">
        <v>4685</v>
      </c>
      <c r="BC849">
        <v>4705</v>
      </c>
      <c r="BD849" t="s">
        <v>74</v>
      </c>
      <c r="BE849" t="s">
        <v>14961</v>
      </c>
      <c r="BF849" t="str">
        <f>HYPERLINK("http://dx.doi.org/10.1080/01431160802651942","http://dx.doi.org/10.1080/01431160802651942")</f>
        <v>http://dx.doi.org/10.1080/01431160802651942</v>
      </c>
      <c r="BG849" t="s">
        <v>74</v>
      </c>
      <c r="BH849" t="s">
        <v>74</v>
      </c>
      <c r="BI849">
        <v>21</v>
      </c>
      <c r="BJ849" t="s">
        <v>14863</v>
      </c>
      <c r="BK849" t="s">
        <v>100</v>
      </c>
      <c r="BL849" t="s">
        <v>14863</v>
      </c>
      <c r="BM849" t="s">
        <v>14962</v>
      </c>
      <c r="BN849" t="s">
        <v>74</v>
      </c>
      <c r="BO849" t="s">
        <v>74</v>
      </c>
      <c r="BP849" t="s">
        <v>74</v>
      </c>
      <c r="BQ849" t="s">
        <v>74</v>
      </c>
      <c r="BR849" t="s">
        <v>103</v>
      </c>
      <c r="BS849" t="s">
        <v>14963</v>
      </c>
      <c r="BT849" t="str">
        <f>HYPERLINK("https%3A%2F%2Fwww.webofscience.com%2Fwos%2Fwoscc%2Ffull-record%2FWOS:000270299300004","View Full Record in Web of Science")</f>
        <v>View Full Record in Web of Science</v>
      </c>
    </row>
    <row r="850" spans="1:72" x14ac:dyDescent="0.15">
      <c r="A850" t="s">
        <v>72</v>
      </c>
      <c r="B850" t="s">
        <v>14964</v>
      </c>
      <c r="C850" t="s">
        <v>74</v>
      </c>
      <c r="D850" t="s">
        <v>74</v>
      </c>
      <c r="E850" t="s">
        <v>74</v>
      </c>
      <c r="F850" t="s">
        <v>14965</v>
      </c>
      <c r="G850" t="s">
        <v>74</v>
      </c>
      <c r="H850" t="s">
        <v>74</v>
      </c>
      <c r="I850" t="s">
        <v>14966</v>
      </c>
      <c r="J850" t="s">
        <v>9435</v>
      </c>
      <c r="K850" t="s">
        <v>74</v>
      </c>
      <c r="L850" t="s">
        <v>74</v>
      </c>
      <c r="M850" t="s">
        <v>78</v>
      </c>
      <c r="N850" t="s">
        <v>79</v>
      </c>
      <c r="O850" t="s">
        <v>74</v>
      </c>
      <c r="P850" t="s">
        <v>74</v>
      </c>
      <c r="Q850" t="s">
        <v>74</v>
      </c>
      <c r="R850" t="s">
        <v>74</v>
      </c>
      <c r="S850" t="s">
        <v>74</v>
      </c>
      <c r="T850" t="s">
        <v>74</v>
      </c>
      <c r="U850" t="s">
        <v>14967</v>
      </c>
      <c r="V850" t="s">
        <v>14968</v>
      </c>
      <c r="W850" t="s">
        <v>14969</v>
      </c>
      <c r="X850" t="s">
        <v>14970</v>
      </c>
      <c r="Y850" t="s">
        <v>14971</v>
      </c>
      <c r="Z850" t="s">
        <v>14972</v>
      </c>
      <c r="AA850" t="s">
        <v>14973</v>
      </c>
      <c r="AB850" t="s">
        <v>14974</v>
      </c>
      <c r="AC850" t="s">
        <v>14975</v>
      </c>
      <c r="AD850" t="s">
        <v>14976</v>
      </c>
      <c r="AE850" t="s">
        <v>14977</v>
      </c>
      <c r="AF850" t="s">
        <v>74</v>
      </c>
      <c r="AG850">
        <v>19</v>
      </c>
      <c r="AH850">
        <v>19</v>
      </c>
      <c r="AI850">
        <v>19</v>
      </c>
      <c r="AJ850">
        <v>0</v>
      </c>
      <c r="AK850">
        <v>10</v>
      </c>
      <c r="AL850" t="s">
        <v>9444</v>
      </c>
      <c r="AM850" t="s">
        <v>2924</v>
      </c>
      <c r="AN850" t="s">
        <v>14978</v>
      </c>
      <c r="AO850" t="s">
        <v>9446</v>
      </c>
      <c r="AP850" t="s">
        <v>9447</v>
      </c>
      <c r="AQ850" t="s">
        <v>74</v>
      </c>
      <c r="AR850" t="s">
        <v>9448</v>
      </c>
      <c r="AS850" t="s">
        <v>9449</v>
      </c>
      <c r="AT850" t="s">
        <v>11480</v>
      </c>
      <c r="AU850">
        <v>2009</v>
      </c>
      <c r="AV850">
        <v>59</v>
      </c>
      <c r="AW850" t="s">
        <v>74</v>
      </c>
      <c r="AX850">
        <v>1</v>
      </c>
      <c r="AY850" t="s">
        <v>74</v>
      </c>
      <c r="AZ850" t="s">
        <v>74</v>
      </c>
      <c r="BA850" t="s">
        <v>74</v>
      </c>
      <c r="BB850">
        <v>65</v>
      </c>
      <c r="BC850">
        <v>68</v>
      </c>
      <c r="BD850" t="s">
        <v>74</v>
      </c>
      <c r="BE850" t="s">
        <v>14979</v>
      </c>
      <c r="BF850" t="str">
        <f>HYPERLINK("http://dx.doi.org/10.1099/ijs.0.000794-0","http://dx.doi.org/10.1099/ijs.0.000794-0")</f>
        <v>http://dx.doi.org/10.1099/ijs.0.000794-0</v>
      </c>
      <c r="BG850" t="s">
        <v>74</v>
      </c>
      <c r="BH850" t="s">
        <v>74</v>
      </c>
      <c r="BI850">
        <v>4</v>
      </c>
      <c r="BJ850" t="s">
        <v>2749</v>
      </c>
      <c r="BK850" t="s">
        <v>100</v>
      </c>
      <c r="BL850" t="s">
        <v>2749</v>
      </c>
      <c r="BM850" t="s">
        <v>14980</v>
      </c>
      <c r="BN850">
        <v>19126725</v>
      </c>
      <c r="BO850" t="s">
        <v>499</v>
      </c>
      <c r="BP850" t="s">
        <v>74</v>
      </c>
      <c r="BQ850" t="s">
        <v>74</v>
      </c>
      <c r="BR850" t="s">
        <v>103</v>
      </c>
      <c r="BS850" t="s">
        <v>14981</v>
      </c>
      <c r="BT850" t="str">
        <f>HYPERLINK("https%3A%2F%2Fwww.webofscience.com%2Fwos%2Fwoscc%2Ffull-record%2FWOS:000263404100012","View Full Record in Web of Science")</f>
        <v>View Full Record in Web of Science</v>
      </c>
    </row>
    <row r="851" spans="1:72" x14ac:dyDescent="0.15">
      <c r="A851" t="s">
        <v>72</v>
      </c>
      <c r="B851" t="s">
        <v>14982</v>
      </c>
      <c r="C851" t="s">
        <v>74</v>
      </c>
      <c r="D851" t="s">
        <v>74</v>
      </c>
      <c r="E851" t="s">
        <v>74</v>
      </c>
      <c r="F851" t="s">
        <v>14983</v>
      </c>
      <c r="G851" t="s">
        <v>74</v>
      </c>
      <c r="H851" t="s">
        <v>74</v>
      </c>
      <c r="I851" t="s">
        <v>14984</v>
      </c>
      <c r="J851" t="s">
        <v>14985</v>
      </c>
      <c r="K851" t="s">
        <v>74</v>
      </c>
      <c r="L851" t="s">
        <v>74</v>
      </c>
      <c r="M851" t="s">
        <v>78</v>
      </c>
      <c r="N851" t="s">
        <v>172</v>
      </c>
      <c r="O851" t="s">
        <v>74</v>
      </c>
      <c r="P851" t="s">
        <v>74</v>
      </c>
      <c r="Q851" t="s">
        <v>74</v>
      </c>
      <c r="R851" t="s">
        <v>74</v>
      </c>
      <c r="S851" t="s">
        <v>74</v>
      </c>
      <c r="T851" t="s">
        <v>14986</v>
      </c>
      <c r="U851" t="s">
        <v>14987</v>
      </c>
      <c r="V851" t="s">
        <v>14988</v>
      </c>
      <c r="W851" t="s">
        <v>14989</v>
      </c>
      <c r="X851" t="s">
        <v>14990</v>
      </c>
      <c r="Y851" t="s">
        <v>14991</v>
      </c>
      <c r="Z851" t="s">
        <v>14992</v>
      </c>
      <c r="AA851" t="s">
        <v>74</v>
      </c>
      <c r="AB851" t="s">
        <v>74</v>
      </c>
      <c r="AC851" t="s">
        <v>14993</v>
      </c>
      <c r="AD851" t="s">
        <v>14994</v>
      </c>
      <c r="AE851" t="s">
        <v>14995</v>
      </c>
      <c r="AF851" t="s">
        <v>74</v>
      </c>
      <c r="AG851">
        <v>96</v>
      </c>
      <c r="AH851">
        <v>7</v>
      </c>
      <c r="AI851">
        <v>7</v>
      </c>
      <c r="AJ851">
        <v>0</v>
      </c>
      <c r="AK851">
        <v>32</v>
      </c>
      <c r="AL851" t="s">
        <v>1167</v>
      </c>
      <c r="AM851" t="s">
        <v>1168</v>
      </c>
      <c r="AN851" t="s">
        <v>1169</v>
      </c>
      <c r="AO851" t="s">
        <v>14996</v>
      </c>
      <c r="AP851" t="s">
        <v>14997</v>
      </c>
      <c r="AQ851" t="s">
        <v>74</v>
      </c>
      <c r="AR851" t="s">
        <v>14998</v>
      </c>
      <c r="AS851" t="s">
        <v>14999</v>
      </c>
      <c r="AT851" t="s">
        <v>74</v>
      </c>
      <c r="AU851">
        <v>2009</v>
      </c>
      <c r="AV851">
        <v>28</v>
      </c>
      <c r="AW851">
        <v>1</v>
      </c>
      <c r="AX851" t="s">
        <v>74</v>
      </c>
      <c r="AY851" t="s">
        <v>74</v>
      </c>
      <c r="AZ851" t="s">
        <v>74</v>
      </c>
      <c r="BA851" t="s">
        <v>74</v>
      </c>
      <c r="BB851">
        <v>53</v>
      </c>
      <c r="BC851">
        <v>109</v>
      </c>
      <c r="BD851" t="s">
        <v>15000</v>
      </c>
      <c r="BE851" t="s">
        <v>15001</v>
      </c>
      <c r="BF851" t="str">
        <f>HYPERLINK("http://dx.doi.org/10.1080/01442350802617129","http://dx.doi.org/10.1080/01442350802617129")</f>
        <v>http://dx.doi.org/10.1080/01442350802617129</v>
      </c>
      <c r="BG851" t="s">
        <v>74</v>
      </c>
      <c r="BH851" t="s">
        <v>74</v>
      </c>
      <c r="BI851">
        <v>57</v>
      </c>
      <c r="BJ851" t="s">
        <v>15002</v>
      </c>
      <c r="BK851" t="s">
        <v>100</v>
      </c>
      <c r="BL851" t="s">
        <v>15003</v>
      </c>
      <c r="BM851" t="s">
        <v>15004</v>
      </c>
      <c r="BN851" t="s">
        <v>74</v>
      </c>
      <c r="BO851" t="s">
        <v>74</v>
      </c>
      <c r="BP851" t="s">
        <v>74</v>
      </c>
      <c r="BQ851" t="s">
        <v>74</v>
      </c>
      <c r="BR851" t="s">
        <v>103</v>
      </c>
      <c r="BS851" t="s">
        <v>15005</v>
      </c>
      <c r="BT851" t="str">
        <f>HYPERLINK("https%3A%2F%2Fwww.webofscience.com%2Fwos%2Fwoscc%2Ffull-record%2FWOS:000264336300003","View Full Record in Web of Science")</f>
        <v>View Full Record in Web of Science</v>
      </c>
    </row>
    <row r="852" spans="1:72" x14ac:dyDescent="0.15">
      <c r="A852" t="s">
        <v>11414</v>
      </c>
      <c r="B852" t="s">
        <v>15006</v>
      </c>
      <c r="C852" t="s">
        <v>74</v>
      </c>
      <c r="D852" t="s">
        <v>15007</v>
      </c>
      <c r="E852" t="s">
        <v>74</v>
      </c>
      <c r="F852" t="s">
        <v>15008</v>
      </c>
      <c r="G852" t="s">
        <v>74</v>
      </c>
      <c r="H852" t="s">
        <v>74</v>
      </c>
      <c r="I852" t="s">
        <v>15009</v>
      </c>
      <c r="J852" t="s">
        <v>15010</v>
      </c>
      <c r="K852" t="s">
        <v>15011</v>
      </c>
      <c r="L852" t="s">
        <v>74</v>
      </c>
      <c r="M852" t="s">
        <v>78</v>
      </c>
      <c r="N852" t="s">
        <v>1437</v>
      </c>
      <c r="O852" t="s">
        <v>15012</v>
      </c>
      <c r="P852" t="s">
        <v>15013</v>
      </c>
      <c r="Q852" t="s">
        <v>10527</v>
      </c>
      <c r="R852" t="s">
        <v>74</v>
      </c>
      <c r="S852" t="s">
        <v>74</v>
      </c>
      <c r="T852" t="s">
        <v>15014</v>
      </c>
      <c r="U852" t="s">
        <v>15015</v>
      </c>
      <c r="V852" t="s">
        <v>15016</v>
      </c>
      <c r="W852" t="s">
        <v>15017</v>
      </c>
      <c r="X852" t="s">
        <v>15018</v>
      </c>
      <c r="Y852" t="s">
        <v>15019</v>
      </c>
      <c r="Z852" t="s">
        <v>10846</v>
      </c>
      <c r="AA852" t="s">
        <v>8930</v>
      </c>
      <c r="AB852" t="s">
        <v>8931</v>
      </c>
      <c r="AC852" t="s">
        <v>15020</v>
      </c>
      <c r="AD852" t="s">
        <v>15021</v>
      </c>
      <c r="AE852" t="s">
        <v>15022</v>
      </c>
      <c r="AF852" t="s">
        <v>74</v>
      </c>
      <c r="AG852">
        <v>48</v>
      </c>
      <c r="AH852">
        <v>14</v>
      </c>
      <c r="AI852">
        <v>17</v>
      </c>
      <c r="AJ852">
        <v>3</v>
      </c>
      <c r="AK852">
        <v>25</v>
      </c>
      <c r="AL852" t="s">
        <v>2124</v>
      </c>
      <c r="AM852" t="s">
        <v>490</v>
      </c>
      <c r="AN852" t="s">
        <v>15023</v>
      </c>
      <c r="AO852" t="s">
        <v>15024</v>
      </c>
      <c r="AP852" t="s">
        <v>74</v>
      </c>
      <c r="AQ852" t="s">
        <v>15025</v>
      </c>
      <c r="AR852" t="s">
        <v>15026</v>
      </c>
      <c r="AS852" t="s">
        <v>15027</v>
      </c>
      <c r="AT852" t="s">
        <v>74</v>
      </c>
      <c r="AU852">
        <v>2009</v>
      </c>
      <c r="AV852">
        <v>1170</v>
      </c>
      <c r="AW852" t="s">
        <v>74</v>
      </c>
      <c r="AX852" t="s">
        <v>74</v>
      </c>
      <c r="AY852" t="s">
        <v>74</v>
      </c>
      <c r="AZ852" t="s">
        <v>74</v>
      </c>
      <c r="BA852" t="s">
        <v>74</v>
      </c>
      <c r="BB852">
        <v>428</v>
      </c>
      <c r="BC852">
        <v>433</v>
      </c>
      <c r="BD852" t="s">
        <v>74</v>
      </c>
      <c r="BE852" t="s">
        <v>15028</v>
      </c>
      <c r="BF852" t="str">
        <f>HYPERLINK("http://dx.doi.org/10.1111/j.1749-6632.2009.03890.x","http://dx.doi.org/10.1111/j.1749-6632.2009.03890.x")</f>
        <v>http://dx.doi.org/10.1111/j.1749-6632.2009.03890.x</v>
      </c>
      <c r="BG852" t="s">
        <v>74</v>
      </c>
      <c r="BH852" t="s">
        <v>74</v>
      </c>
      <c r="BI852">
        <v>6</v>
      </c>
      <c r="BJ852" t="s">
        <v>15029</v>
      </c>
      <c r="BK852" t="s">
        <v>15030</v>
      </c>
      <c r="BL852" t="s">
        <v>15031</v>
      </c>
      <c r="BM852" t="s">
        <v>15032</v>
      </c>
      <c r="BN852">
        <v>19686171</v>
      </c>
      <c r="BO852" t="s">
        <v>74</v>
      </c>
      <c r="BP852" t="s">
        <v>74</v>
      </c>
      <c r="BQ852" t="s">
        <v>74</v>
      </c>
      <c r="BR852" t="s">
        <v>103</v>
      </c>
      <c r="BS852" t="s">
        <v>15033</v>
      </c>
      <c r="BT852" t="str">
        <f>HYPERLINK("https%3A%2F%2Fwww.webofscience.com%2Fwos%2Fwoscc%2Ffull-record%2FWOS:000270495700076","View Full Record in Web of Science")</f>
        <v>View Full Record in Web of Science</v>
      </c>
    </row>
    <row r="853" spans="1:72" x14ac:dyDescent="0.15">
      <c r="A853" t="s">
        <v>72</v>
      </c>
      <c r="B853" t="s">
        <v>15034</v>
      </c>
      <c r="C853" t="s">
        <v>74</v>
      </c>
      <c r="D853" t="s">
        <v>74</v>
      </c>
      <c r="E853" t="s">
        <v>74</v>
      </c>
      <c r="F853" t="s">
        <v>15035</v>
      </c>
      <c r="G853" t="s">
        <v>74</v>
      </c>
      <c r="H853" t="s">
        <v>74</v>
      </c>
      <c r="I853" t="s">
        <v>15036</v>
      </c>
      <c r="J853" t="s">
        <v>15037</v>
      </c>
      <c r="K853" t="s">
        <v>74</v>
      </c>
      <c r="L853" t="s">
        <v>74</v>
      </c>
      <c r="M853" t="s">
        <v>78</v>
      </c>
      <c r="N853" t="s">
        <v>79</v>
      </c>
      <c r="O853" t="s">
        <v>74</v>
      </c>
      <c r="P853" t="s">
        <v>74</v>
      </c>
      <c r="Q853" t="s">
        <v>74</v>
      </c>
      <c r="R853" t="s">
        <v>74</v>
      </c>
      <c r="S853" t="s">
        <v>74</v>
      </c>
      <c r="T853" t="s">
        <v>15038</v>
      </c>
      <c r="U853" t="s">
        <v>15039</v>
      </c>
      <c r="V853" t="s">
        <v>15040</v>
      </c>
      <c r="W853" t="s">
        <v>15041</v>
      </c>
      <c r="X853" t="s">
        <v>15042</v>
      </c>
      <c r="Y853" t="s">
        <v>15043</v>
      </c>
      <c r="Z853" t="s">
        <v>15044</v>
      </c>
      <c r="AA853" t="s">
        <v>74</v>
      </c>
      <c r="AB853" t="s">
        <v>74</v>
      </c>
      <c r="AC853" t="s">
        <v>15045</v>
      </c>
      <c r="AD853" t="s">
        <v>15046</v>
      </c>
      <c r="AE853" t="s">
        <v>15047</v>
      </c>
      <c r="AF853" t="s">
        <v>74</v>
      </c>
      <c r="AG853">
        <v>39</v>
      </c>
      <c r="AH853">
        <v>17</v>
      </c>
      <c r="AI853">
        <v>18</v>
      </c>
      <c r="AJ853">
        <v>0</v>
      </c>
      <c r="AK853">
        <v>3</v>
      </c>
      <c r="AL853" t="s">
        <v>1847</v>
      </c>
      <c r="AM853" t="s">
        <v>1848</v>
      </c>
      <c r="AN853" t="s">
        <v>1849</v>
      </c>
      <c r="AO853" t="s">
        <v>15048</v>
      </c>
      <c r="AP853" t="s">
        <v>74</v>
      </c>
      <c r="AQ853" t="s">
        <v>74</v>
      </c>
      <c r="AR853" t="s">
        <v>15049</v>
      </c>
      <c r="AS853" t="s">
        <v>15050</v>
      </c>
      <c r="AT853" t="s">
        <v>74</v>
      </c>
      <c r="AU853">
        <v>2009</v>
      </c>
      <c r="AV853">
        <v>128</v>
      </c>
      <c r="AW853">
        <v>3</v>
      </c>
      <c r="AX853" t="s">
        <v>74</v>
      </c>
      <c r="AY853" t="s">
        <v>74</v>
      </c>
      <c r="AZ853" t="s">
        <v>74</v>
      </c>
      <c r="BA853" t="s">
        <v>74</v>
      </c>
      <c r="BB853">
        <v>243</v>
      </c>
      <c r="BC853">
        <v>251</v>
      </c>
      <c r="BD853" t="s">
        <v>74</v>
      </c>
      <c r="BE853" t="s">
        <v>15051</v>
      </c>
      <c r="BF853" t="str">
        <f>HYPERLINK("http://dx.doi.org/10.1111/j.1744-7410.2009.00171.x","http://dx.doi.org/10.1111/j.1744-7410.2009.00171.x")</f>
        <v>http://dx.doi.org/10.1111/j.1744-7410.2009.00171.x</v>
      </c>
      <c r="BG853" t="s">
        <v>74</v>
      </c>
      <c r="BH853" t="s">
        <v>74</v>
      </c>
      <c r="BI853">
        <v>9</v>
      </c>
      <c r="BJ853" t="s">
        <v>2084</v>
      </c>
      <c r="BK853" t="s">
        <v>100</v>
      </c>
      <c r="BL853" t="s">
        <v>2084</v>
      </c>
      <c r="BM853" t="s">
        <v>15052</v>
      </c>
      <c r="BN853" t="s">
        <v>74</v>
      </c>
      <c r="BO853" t="s">
        <v>217</v>
      </c>
      <c r="BP853" t="s">
        <v>74</v>
      </c>
      <c r="BQ853" t="s">
        <v>74</v>
      </c>
      <c r="BR853" t="s">
        <v>103</v>
      </c>
      <c r="BS853" t="s">
        <v>15053</v>
      </c>
      <c r="BT853" t="str">
        <f>HYPERLINK("https%3A%2F%2Fwww.webofscience.com%2Fwos%2Fwoscc%2Ffull-record%2FWOS:000269806200005","View Full Record in Web of Science")</f>
        <v>View Full Record in Web of Science</v>
      </c>
    </row>
    <row r="854" spans="1:72" x14ac:dyDescent="0.15">
      <c r="A854" t="s">
        <v>72</v>
      </c>
      <c r="B854" t="s">
        <v>15054</v>
      </c>
      <c r="C854" t="s">
        <v>74</v>
      </c>
      <c r="D854" t="s">
        <v>74</v>
      </c>
      <c r="E854" t="s">
        <v>74</v>
      </c>
      <c r="F854" t="s">
        <v>15055</v>
      </c>
      <c r="G854" t="s">
        <v>74</v>
      </c>
      <c r="H854" t="s">
        <v>74</v>
      </c>
      <c r="I854" t="s">
        <v>15056</v>
      </c>
      <c r="J854" t="s">
        <v>15057</v>
      </c>
      <c r="K854" t="s">
        <v>74</v>
      </c>
      <c r="L854" t="s">
        <v>74</v>
      </c>
      <c r="M854" t="s">
        <v>78</v>
      </c>
      <c r="N854" t="s">
        <v>79</v>
      </c>
      <c r="O854" t="s">
        <v>74</v>
      </c>
      <c r="P854" t="s">
        <v>74</v>
      </c>
      <c r="Q854" t="s">
        <v>74</v>
      </c>
      <c r="R854" t="s">
        <v>74</v>
      </c>
      <c r="S854" t="s">
        <v>74</v>
      </c>
      <c r="T854" t="s">
        <v>15058</v>
      </c>
      <c r="U854" t="s">
        <v>15059</v>
      </c>
      <c r="V854" t="s">
        <v>15060</v>
      </c>
      <c r="W854" t="s">
        <v>15061</v>
      </c>
      <c r="X854" t="s">
        <v>15062</v>
      </c>
      <c r="Y854" t="s">
        <v>15063</v>
      </c>
      <c r="Z854" t="s">
        <v>15064</v>
      </c>
      <c r="AA854" t="s">
        <v>15065</v>
      </c>
      <c r="AB854" t="s">
        <v>15066</v>
      </c>
      <c r="AC854" t="s">
        <v>15067</v>
      </c>
      <c r="AD854" t="s">
        <v>15067</v>
      </c>
      <c r="AE854" t="s">
        <v>15068</v>
      </c>
      <c r="AF854" t="s">
        <v>74</v>
      </c>
      <c r="AG854">
        <v>60</v>
      </c>
      <c r="AH854">
        <v>3</v>
      </c>
      <c r="AI854">
        <v>3</v>
      </c>
      <c r="AJ854">
        <v>0</v>
      </c>
      <c r="AK854">
        <v>10</v>
      </c>
      <c r="AL854" t="s">
        <v>1167</v>
      </c>
      <c r="AM854" t="s">
        <v>1168</v>
      </c>
      <c r="AN854" t="s">
        <v>1169</v>
      </c>
      <c r="AO854" t="s">
        <v>15069</v>
      </c>
      <c r="AP854" t="s">
        <v>15070</v>
      </c>
      <c r="AQ854" t="s">
        <v>74</v>
      </c>
      <c r="AR854" t="s">
        <v>15071</v>
      </c>
      <c r="AS854" t="s">
        <v>15072</v>
      </c>
      <c r="AT854" t="s">
        <v>74</v>
      </c>
      <c r="AU854">
        <v>2009</v>
      </c>
      <c r="AV854">
        <v>76</v>
      </c>
      <c r="AW854">
        <v>3</v>
      </c>
      <c r="AX854" t="s">
        <v>74</v>
      </c>
      <c r="AY854" t="s">
        <v>74</v>
      </c>
      <c r="AZ854" t="s">
        <v>74</v>
      </c>
      <c r="BA854" t="s">
        <v>74</v>
      </c>
      <c r="BB854">
        <v>258</v>
      </c>
      <c r="BC854">
        <v>268</v>
      </c>
      <c r="BD854" t="s">
        <v>74</v>
      </c>
      <c r="BE854" t="s">
        <v>15073</v>
      </c>
      <c r="BF854" t="str">
        <f>HYPERLINK("http://dx.doi.org/10.1080/11250000802364632","http://dx.doi.org/10.1080/11250000802364632")</f>
        <v>http://dx.doi.org/10.1080/11250000802364632</v>
      </c>
      <c r="BG854" t="s">
        <v>74</v>
      </c>
      <c r="BH854" t="s">
        <v>74</v>
      </c>
      <c r="BI854">
        <v>11</v>
      </c>
      <c r="BJ854" t="s">
        <v>908</v>
      </c>
      <c r="BK854" t="s">
        <v>100</v>
      </c>
      <c r="BL854" t="s">
        <v>908</v>
      </c>
      <c r="BM854" t="s">
        <v>15074</v>
      </c>
      <c r="BN854" t="s">
        <v>74</v>
      </c>
      <c r="BO854" t="s">
        <v>499</v>
      </c>
      <c r="BP854" t="s">
        <v>74</v>
      </c>
      <c r="BQ854" t="s">
        <v>74</v>
      </c>
      <c r="BR854" t="s">
        <v>103</v>
      </c>
      <c r="BS854" t="s">
        <v>15075</v>
      </c>
      <c r="BT854" t="str">
        <f>HYPERLINK("https%3A%2F%2Fwww.webofscience.com%2Fwos%2Fwoscc%2Ffull-record%2FWOS:000268758100004","View Full Record in Web of Science")</f>
        <v>View Full Record in Web of Science</v>
      </c>
    </row>
    <row r="855" spans="1:72" x14ac:dyDescent="0.15">
      <c r="A855" t="s">
        <v>72</v>
      </c>
      <c r="B855" t="s">
        <v>15076</v>
      </c>
      <c r="C855" t="s">
        <v>74</v>
      </c>
      <c r="D855" t="s">
        <v>74</v>
      </c>
      <c r="E855" t="s">
        <v>74</v>
      </c>
      <c r="F855" t="s">
        <v>15077</v>
      </c>
      <c r="G855" t="s">
        <v>74</v>
      </c>
      <c r="H855" t="s">
        <v>74</v>
      </c>
      <c r="I855" t="s">
        <v>15078</v>
      </c>
      <c r="J855" t="s">
        <v>15079</v>
      </c>
      <c r="K855" t="s">
        <v>74</v>
      </c>
      <c r="L855" t="s">
        <v>74</v>
      </c>
      <c r="M855" t="s">
        <v>78</v>
      </c>
      <c r="N855" t="s">
        <v>79</v>
      </c>
      <c r="O855" t="s">
        <v>74</v>
      </c>
      <c r="P855" t="s">
        <v>74</v>
      </c>
      <c r="Q855" t="s">
        <v>74</v>
      </c>
      <c r="R855" t="s">
        <v>74</v>
      </c>
      <c r="S855" t="s">
        <v>74</v>
      </c>
      <c r="T855" t="s">
        <v>15080</v>
      </c>
      <c r="U855" t="s">
        <v>15081</v>
      </c>
      <c r="V855" t="s">
        <v>15082</v>
      </c>
      <c r="W855" t="s">
        <v>15083</v>
      </c>
      <c r="X855" t="s">
        <v>15084</v>
      </c>
      <c r="Y855" t="s">
        <v>15085</v>
      </c>
      <c r="Z855" t="s">
        <v>15086</v>
      </c>
      <c r="AA855" t="s">
        <v>15087</v>
      </c>
      <c r="AB855" t="s">
        <v>15088</v>
      </c>
      <c r="AC855" t="s">
        <v>15089</v>
      </c>
      <c r="AD855" t="s">
        <v>15089</v>
      </c>
      <c r="AE855" t="s">
        <v>15090</v>
      </c>
      <c r="AF855" t="s">
        <v>74</v>
      </c>
      <c r="AG855">
        <v>52</v>
      </c>
      <c r="AH855">
        <v>8</v>
      </c>
      <c r="AI855">
        <v>10</v>
      </c>
      <c r="AJ855">
        <v>0</v>
      </c>
      <c r="AK855">
        <v>17</v>
      </c>
      <c r="AL855" t="s">
        <v>2124</v>
      </c>
      <c r="AM855" t="s">
        <v>490</v>
      </c>
      <c r="AN855" t="s">
        <v>491</v>
      </c>
      <c r="AO855" t="s">
        <v>15091</v>
      </c>
      <c r="AP855" t="s">
        <v>15092</v>
      </c>
      <c r="AQ855" t="s">
        <v>74</v>
      </c>
      <c r="AR855" t="s">
        <v>15093</v>
      </c>
      <c r="AS855" t="s">
        <v>15094</v>
      </c>
      <c r="AT855" t="s">
        <v>11480</v>
      </c>
      <c r="AU855">
        <v>2009</v>
      </c>
      <c r="AV855">
        <v>214</v>
      </c>
      <c r="AW855">
        <v>1</v>
      </c>
      <c r="AX855" t="s">
        <v>74</v>
      </c>
      <c r="AY855" t="s">
        <v>74</v>
      </c>
      <c r="AZ855" t="s">
        <v>74</v>
      </c>
      <c r="BA855" t="s">
        <v>74</v>
      </c>
      <c r="BB855">
        <v>153</v>
      </c>
      <c r="BC855">
        <v>162</v>
      </c>
      <c r="BD855" t="s">
        <v>74</v>
      </c>
      <c r="BE855" t="s">
        <v>15095</v>
      </c>
      <c r="BF855" t="str">
        <f>HYPERLINK("http://dx.doi.org/10.1111/j.1469-7580.2008.01003.x","http://dx.doi.org/10.1111/j.1469-7580.2008.01003.x")</f>
        <v>http://dx.doi.org/10.1111/j.1469-7580.2008.01003.x</v>
      </c>
      <c r="BG855" t="s">
        <v>74</v>
      </c>
      <c r="BH855" t="s">
        <v>74</v>
      </c>
      <c r="BI855">
        <v>10</v>
      </c>
      <c r="BJ855" t="s">
        <v>15096</v>
      </c>
      <c r="BK855" t="s">
        <v>100</v>
      </c>
      <c r="BL855" t="s">
        <v>15096</v>
      </c>
      <c r="BM855" t="s">
        <v>15097</v>
      </c>
      <c r="BN855">
        <v>19166478</v>
      </c>
      <c r="BO855" t="s">
        <v>217</v>
      </c>
      <c r="BP855" t="s">
        <v>74</v>
      </c>
      <c r="BQ855" t="s">
        <v>74</v>
      </c>
      <c r="BR855" t="s">
        <v>103</v>
      </c>
      <c r="BS855" t="s">
        <v>15098</v>
      </c>
      <c r="BT855" t="str">
        <f>HYPERLINK("https%3A%2F%2Fwww.webofscience.com%2Fwos%2Fwoscc%2Ffull-record%2FWOS:000262130800011","View Full Record in Web of Science")</f>
        <v>View Full Record in Web of Science</v>
      </c>
    </row>
    <row r="856" spans="1:72" x14ac:dyDescent="0.15">
      <c r="A856" t="s">
        <v>72</v>
      </c>
      <c r="B856" t="s">
        <v>15099</v>
      </c>
      <c r="C856" t="s">
        <v>74</v>
      </c>
      <c r="D856" t="s">
        <v>74</v>
      </c>
      <c r="E856" t="s">
        <v>74</v>
      </c>
      <c r="F856" t="s">
        <v>15100</v>
      </c>
      <c r="G856" t="s">
        <v>74</v>
      </c>
      <c r="H856" t="s">
        <v>74</v>
      </c>
      <c r="I856" t="s">
        <v>15101</v>
      </c>
      <c r="J856" t="s">
        <v>15102</v>
      </c>
      <c r="K856" t="s">
        <v>74</v>
      </c>
      <c r="L856" t="s">
        <v>74</v>
      </c>
      <c r="M856" t="s">
        <v>78</v>
      </c>
      <c r="N856" t="s">
        <v>79</v>
      </c>
      <c r="O856" t="s">
        <v>74</v>
      </c>
      <c r="P856" t="s">
        <v>74</v>
      </c>
      <c r="Q856" t="s">
        <v>74</v>
      </c>
      <c r="R856" t="s">
        <v>74</v>
      </c>
      <c r="S856" t="s">
        <v>74</v>
      </c>
      <c r="T856" t="s">
        <v>15103</v>
      </c>
      <c r="U856" t="s">
        <v>15104</v>
      </c>
      <c r="V856" t="s">
        <v>15105</v>
      </c>
      <c r="W856" t="s">
        <v>15106</v>
      </c>
      <c r="X856" t="s">
        <v>15107</v>
      </c>
      <c r="Y856" t="s">
        <v>15108</v>
      </c>
      <c r="Z856" t="s">
        <v>15109</v>
      </c>
      <c r="AA856" t="s">
        <v>15110</v>
      </c>
      <c r="AB856" t="s">
        <v>15111</v>
      </c>
      <c r="AC856" t="s">
        <v>15112</v>
      </c>
      <c r="AD856" t="s">
        <v>15113</v>
      </c>
      <c r="AE856" t="s">
        <v>15114</v>
      </c>
      <c r="AF856" t="s">
        <v>74</v>
      </c>
      <c r="AG856">
        <v>68</v>
      </c>
      <c r="AH856">
        <v>76</v>
      </c>
      <c r="AI856">
        <v>84</v>
      </c>
      <c r="AJ856">
        <v>0</v>
      </c>
      <c r="AK856">
        <v>54</v>
      </c>
      <c r="AL856" t="s">
        <v>489</v>
      </c>
      <c r="AM856" t="s">
        <v>490</v>
      </c>
      <c r="AN856" t="s">
        <v>491</v>
      </c>
      <c r="AO856" t="s">
        <v>15115</v>
      </c>
      <c r="AP856" t="s">
        <v>15116</v>
      </c>
      <c r="AQ856" t="s">
        <v>74</v>
      </c>
      <c r="AR856" t="s">
        <v>15117</v>
      </c>
      <c r="AS856" t="s">
        <v>15118</v>
      </c>
      <c r="AT856" t="s">
        <v>11480</v>
      </c>
      <c r="AU856">
        <v>2009</v>
      </c>
      <c r="AV856">
        <v>78</v>
      </c>
      <c r="AW856">
        <v>1</v>
      </c>
      <c r="AX856" t="s">
        <v>74</v>
      </c>
      <c r="AY856" t="s">
        <v>74</v>
      </c>
      <c r="AZ856" t="s">
        <v>74</v>
      </c>
      <c r="BA856" t="s">
        <v>74</v>
      </c>
      <c r="BB856">
        <v>63</v>
      </c>
      <c r="BC856">
        <v>72</v>
      </c>
      <c r="BD856" t="s">
        <v>74</v>
      </c>
      <c r="BE856" t="s">
        <v>15119</v>
      </c>
      <c r="BF856" t="str">
        <f>HYPERLINK("http://dx.doi.org/10.1111/j.1365-2656.2008.01485.x","http://dx.doi.org/10.1111/j.1365-2656.2008.01485.x")</f>
        <v>http://dx.doi.org/10.1111/j.1365-2656.2008.01485.x</v>
      </c>
      <c r="BG856" t="s">
        <v>74</v>
      </c>
      <c r="BH856" t="s">
        <v>74</v>
      </c>
      <c r="BI856">
        <v>10</v>
      </c>
      <c r="BJ856" t="s">
        <v>4801</v>
      </c>
      <c r="BK856" t="s">
        <v>100</v>
      </c>
      <c r="BL856" t="s">
        <v>4802</v>
      </c>
      <c r="BM856" t="s">
        <v>15120</v>
      </c>
      <c r="BN856">
        <v>19120596</v>
      </c>
      <c r="BO856" t="s">
        <v>499</v>
      </c>
      <c r="BP856" t="s">
        <v>74</v>
      </c>
      <c r="BQ856" t="s">
        <v>74</v>
      </c>
      <c r="BR856" t="s">
        <v>103</v>
      </c>
      <c r="BS856" t="s">
        <v>15121</v>
      </c>
      <c r="BT856" t="str">
        <f>HYPERLINK("https%3A%2F%2Fwww.webofscience.com%2Fwos%2Fwoscc%2Ffull-record%2FWOS:000261620800008","View Full Record in Web of Science")</f>
        <v>View Full Record in Web of Science</v>
      </c>
    </row>
    <row r="857" spans="1:72" x14ac:dyDescent="0.15">
      <c r="A857" t="s">
        <v>72</v>
      </c>
      <c r="B857" t="s">
        <v>15122</v>
      </c>
      <c r="C857" t="s">
        <v>74</v>
      </c>
      <c r="D857" t="s">
        <v>74</v>
      </c>
      <c r="E857" t="s">
        <v>74</v>
      </c>
      <c r="F857" t="s">
        <v>15123</v>
      </c>
      <c r="G857" t="s">
        <v>74</v>
      </c>
      <c r="H857" t="s">
        <v>74</v>
      </c>
      <c r="I857" t="s">
        <v>15124</v>
      </c>
      <c r="J857" t="s">
        <v>4415</v>
      </c>
      <c r="K857" t="s">
        <v>74</v>
      </c>
      <c r="L857" t="s">
        <v>74</v>
      </c>
      <c r="M857" t="s">
        <v>78</v>
      </c>
      <c r="N857" t="s">
        <v>79</v>
      </c>
      <c r="O857" t="s">
        <v>74</v>
      </c>
      <c r="P857" t="s">
        <v>74</v>
      </c>
      <c r="Q857" t="s">
        <v>74</v>
      </c>
      <c r="R857" t="s">
        <v>74</v>
      </c>
      <c r="S857" t="s">
        <v>74</v>
      </c>
      <c r="T857" t="s">
        <v>15125</v>
      </c>
      <c r="U857" t="s">
        <v>15126</v>
      </c>
      <c r="V857" t="s">
        <v>15127</v>
      </c>
      <c r="W857" t="s">
        <v>15128</v>
      </c>
      <c r="X857" t="s">
        <v>74</v>
      </c>
      <c r="Y857" t="s">
        <v>15129</v>
      </c>
      <c r="Z857" t="s">
        <v>15130</v>
      </c>
      <c r="AA857" t="s">
        <v>15131</v>
      </c>
      <c r="AB857" t="s">
        <v>15132</v>
      </c>
      <c r="AC857" t="s">
        <v>15133</v>
      </c>
      <c r="AD857" t="s">
        <v>15133</v>
      </c>
      <c r="AE857" t="s">
        <v>15134</v>
      </c>
      <c r="AF857" t="s">
        <v>74</v>
      </c>
      <c r="AG857">
        <v>22</v>
      </c>
      <c r="AH857">
        <v>13</v>
      </c>
      <c r="AI857">
        <v>13</v>
      </c>
      <c r="AJ857">
        <v>1</v>
      </c>
      <c r="AK857">
        <v>23</v>
      </c>
      <c r="AL857" t="s">
        <v>489</v>
      </c>
      <c r="AM857" t="s">
        <v>490</v>
      </c>
      <c r="AN857" t="s">
        <v>491</v>
      </c>
      <c r="AO857" t="s">
        <v>4428</v>
      </c>
      <c r="AP857" t="s">
        <v>4429</v>
      </c>
      <c r="AQ857" t="s">
        <v>74</v>
      </c>
      <c r="AR857" t="s">
        <v>4430</v>
      </c>
      <c r="AS857" t="s">
        <v>4431</v>
      </c>
      <c r="AT857" t="s">
        <v>11480</v>
      </c>
      <c r="AU857">
        <v>2009</v>
      </c>
      <c r="AV857">
        <v>106</v>
      </c>
      <c r="AW857">
        <v>1</v>
      </c>
      <c r="AX857" t="s">
        <v>74</v>
      </c>
      <c r="AY857" t="s">
        <v>74</v>
      </c>
      <c r="AZ857" t="s">
        <v>74</v>
      </c>
      <c r="BA857" t="s">
        <v>74</v>
      </c>
      <c r="BB857">
        <v>49</v>
      </c>
      <c r="BC857">
        <v>56</v>
      </c>
      <c r="BD857" t="s">
        <v>74</v>
      </c>
      <c r="BE857" t="s">
        <v>15135</v>
      </c>
      <c r="BF857" t="str">
        <f>HYPERLINK("http://dx.doi.org/10.1111/j.1365-2672.2008.03971.x","http://dx.doi.org/10.1111/j.1365-2672.2008.03971.x")</f>
        <v>http://dx.doi.org/10.1111/j.1365-2672.2008.03971.x</v>
      </c>
      <c r="BG857" t="s">
        <v>74</v>
      </c>
      <c r="BH857" t="s">
        <v>74</v>
      </c>
      <c r="BI857">
        <v>8</v>
      </c>
      <c r="BJ857" t="s">
        <v>4433</v>
      </c>
      <c r="BK857" t="s">
        <v>100</v>
      </c>
      <c r="BL857" t="s">
        <v>4433</v>
      </c>
      <c r="BM857" t="s">
        <v>15136</v>
      </c>
      <c r="BN857">
        <v>19120609</v>
      </c>
      <c r="BO857" t="s">
        <v>74</v>
      </c>
      <c r="BP857" t="s">
        <v>74</v>
      </c>
      <c r="BQ857" t="s">
        <v>74</v>
      </c>
      <c r="BR857" t="s">
        <v>103</v>
      </c>
      <c r="BS857" t="s">
        <v>15137</v>
      </c>
      <c r="BT857" t="str">
        <f>HYPERLINK("https%3A%2F%2Fwww.webofscience.com%2Fwos%2Fwoscc%2Ffull-record%2FWOS:000262475600006","View Full Record in Web of Science")</f>
        <v>View Full Record in Web of Science</v>
      </c>
    </row>
    <row r="858" spans="1:72" x14ac:dyDescent="0.15">
      <c r="A858" t="s">
        <v>72</v>
      </c>
      <c r="B858" t="s">
        <v>15138</v>
      </c>
      <c r="C858" t="s">
        <v>74</v>
      </c>
      <c r="D858" t="s">
        <v>74</v>
      </c>
      <c r="E858" t="s">
        <v>74</v>
      </c>
      <c r="F858" t="s">
        <v>15139</v>
      </c>
      <c r="G858" t="s">
        <v>74</v>
      </c>
      <c r="H858" t="s">
        <v>74</v>
      </c>
      <c r="I858" t="s">
        <v>15140</v>
      </c>
      <c r="J858" t="s">
        <v>4463</v>
      </c>
      <c r="K858" t="s">
        <v>74</v>
      </c>
      <c r="L858" t="s">
        <v>74</v>
      </c>
      <c r="M858" t="s">
        <v>78</v>
      </c>
      <c r="N858" t="s">
        <v>79</v>
      </c>
      <c r="O858" t="s">
        <v>74</v>
      </c>
      <c r="P858" t="s">
        <v>74</v>
      </c>
      <c r="Q858" t="s">
        <v>74</v>
      </c>
      <c r="R858" t="s">
        <v>74</v>
      </c>
      <c r="S858" t="s">
        <v>74</v>
      </c>
      <c r="T858" t="s">
        <v>15141</v>
      </c>
      <c r="U858" t="s">
        <v>15142</v>
      </c>
      <c r="V858" t="s">
        <v>15143</v>
      </c>
      <c r="W858" t="s">
        <v>15144</v>
      </c>
      <c r="X858" t="s">
        <v>15145</v>
      </c>
      <c r="Y858" t="s">
        <v>15146</v>
      </c>
      <c r="Z858" t="s">
        <v>11511</v>
      </c>
      <c r="AA858" t="s">
        <v>15147</v>
      </c>
      <c r="AB858" t="s">
        <v>15148</v>
      </c>
      <c r="AC858" t="s">
        <v>15149</v>
      </c>
      <c r="AD858" t="s">
        <v>15150</v>
      </c>
      <c r="AE858" t="s">
        <v>15151</v>
      </c>
      <c r="AF858" t="s">
        <v>74</v>
      </c>
      <c r="AG858">
        <v>48</v>
      </c>
      <c r="AH858">
        <v>4</v>
      </c>
      <c r="AI858">
        <v>5</v>
      </c>
      <c r="AJ858">
        <v>0</v>
      </c>
      <c r="AK858">
        <v>3</v>
      </c>
      <c r="AL858" t="s">
        <v>303</v>
      </c>
      <c r="AM858" t="s">
        <v>304</v>
      </c>
      <c r="AN858" t="s">
        <v>305</v>
      </c>
      <c r="AO858" t="s">
        <v>4473</v>
      </c>
      <c r="AP858" t="s">
        <v>6737</v>
      </c>
      <c r="AQ858" t="s">
        <v>74</v>
      </c>
      <c r="AR858" t="s">
        <v>4474</v>
      </c>
      <c r="AS858" t="s">
        <v>4475</v>
      </c>
      <c r="AT858" t="s">
        <v>11480</v>
      </c>
      <c r="AU858">
        <v>2009</v>
      </c>
      <c r="AV858">
        <v>71</v>
      </c>
      <c r="AW858">
        <v>1</v>
      </c>
      <c r="AX858" t="s">
        <v>74</v>
      </c>
      <c r="AY858" t="s">
        <v>74</v>
      </c>
      <c r="AZ858" t="s">
        <v>74</v>
      </c>
      <c r="BA858" t="s">
        <v>74</v>
      </c>
      <c r="BB858">
        <v>11</v>
      </c>
      <c r="BC858">
        <v>20</v>
      </c>
      <c r="BD858" t="s">
        <v>74</v>
      </c>
      <c r="BE858" t="s">
        <v>15152</v>
      </c>
      <c r="BF858" t="str">
        <f>HYPERLINK("http://dx.doi.org/10.1016/j.jastp.2008.09.026","http://dx.doi.org/10.1016/j.jastp.2008.09.026")</f>
        <v>http://dx.doi.org/10.1016/j.jastp.2008.09.026</v>
      </c>
      <c r="BG858" t="s">
        <v>74</v>
      </c>
      <c r="BH858" t="s">
        <v>74</v>
      </c>
      <c r="BI858">
        <v>10</v>
      </c>
      <c r="BJ858" t="s">
        <v>4477</v>
      </c>
      <c r="BK858" t="s">
        <v>100</v>
      </c>
      <c r="BL858" t="s">
        <v>4477</v>
      </c>
      <c r="BM858" t="s">
        <v>15153</v>
      </c>
      <c r="BN858" t="s">
        <v>74</v>
      </c>
      <c r="BO858" t="s">
        <v>74</v>
      </c>
      <c r="BP858" t="s">
        <v>74</v>
      </c>
      <c r="BQ858" t="s">
        <v>74</v>
      </c>
      <c r="BR858" t="s">
        <v>103</v>
      </c>
      <c r="BS858" t="s">
        <v>15154</v>
      </c>
      <c r="BT858" t="str">
        <f>HYPERLINK("https%3A%2F%2Fwww.webofscience.com%2Fwos%2Fwoscc%2Ffull-record%2FWOS:000263196500002","View Full Record in Web of Science")</f>
        <v>View Full Record in Web of Science</v>
      </c>
    </row>
    <row r="859" spans="1:72" x14ac:dyDescent="0.15">
      <c r="A859" t="s">
        <v>72</v>
      </c>
      <c r="B859" t="s">
        <v>15155</v>
      </c>
      <c r="C859" t="s">
        <v>74</v>
      </c>
      <c r="D859" t="s">
        <v>74</v>
      </c>
      <c r="E859" t="s">
        <v>74</v>
      </c>
      <c r="F859" t="s">
        <v>15156</v>
      </c>
      <c r="G859" t="s">
        <v>74</v>
      </c>
      <c r="H859" t="s">
        <v>74</v>
      </c>
      <c r="I859" t="s">
        <v>15157</v>
      </c>
      <c r="J859" t="s">
        <v>4463</v>
      </c>
      <c r="K859" t="s">
        <v>74</v>
      </c>
      <c r="L859" t="s">
        <v>74</v>
      </c>
      <c r="M859" t="s">
        <v>78</v>
      </c>
      <c r="N859" t="s">
        <v>79</v>
      </c>
      <c r="O859" t="s">
        <v>74</v>
      </c>
      <c r="P859" t="s">
        <v>74</v>
      </c>
      <c r="Q859" t="s">
        <v>74</v>
      </c>
      <c r="R859" t="s">
        <v>74</v>
      </c>
      <c r="S859" t="s">
        <v>74</v>
      </c>
      <c r="T859" t="s">
        <v>15158</v>
      </c>
      <c r="U859" t="s">
        <v>15159</v>
      </c>
      <c r="V859" t="s">
        <v>15160</v>
      </c>
      <c r="W859" t="s">
        <v>15161</v>
      </c>
      <c r="X859" t="s">
        <v>15162</v>
      </c>
      <c r="Y859" t="s">
        <v>15163</v>
      </c>
      <c r="Z859" t="s">
        <v>15164</v>
      </c>
      <c r="AA859" t="s">
        <v>15165</v>
      </c>
      <c r="AB859" t="s">
        <v>15166</v>
      </c>
      <c r="AC859" t="s">
        <v>15167</v>
      </c>
      <c r="AD859" t="s">
        <v>15168</v>
      </c>
      <c r="AE859" t="s">
        <v>15169</v>
      </c>
      <c r="AF859" t="s">
        <v>74</v>
      </c>
      <c r="AG859">
        <v>30</v>
      </c>
      <c r="AH859">
        <v>17</v>
      </c>
      <c r="AI859">
        <v>18</v>
      </c>
      <c r="AJ859">
        <v>0</v>
      </c>
      <c r="AK859">
        <v>8</v>
      </c>
      <c r="AL859" t="s">
        <v>303</v>
      </c>
      <c r="AM859" t="s">
        <v>304</v>
      </c>
      <c r="AN859" t="s">
        <v>305</v>
      </c>
      <c r="AO859" t="s">
        <v>4473</v>
      </c>
      <c r="AP859" t="s">
        <v>6737</v>
      </c>
      <c r="AQ859" t="s">
        <v>74</v>
      </c>
      <c r="AR859" t="s">
        <v>4474</v>
      </c>
      <c r="AS859" t="s">
        <v>4475</v>
      </c>
      <c r="AT859" t="s">
        <v>11480</v>
      </c>
      <c r="AU859">
        <v>2009</v>
      </c>
      <c r="AV859">
        <v>71</v>
      </c>
      <c r="AW859">
        <v>1</v>
      </c>
      <c r="AX859" t="s">
        <v>74</v>
      </c>
      <c r="AY859" t="s">
        <v>74</v>
      </c>
      <c r="AZ859" t="s">
        <v>74</v>
      </c>
      <c r="BA859" t="s">
        <v>74</v>
      </c>
      <c r="BB859">
        <v>21</v>
      </c>
      <c r="BC859">
        <v>32</v>
      </c>
      <c r="BD859" t="s">
        <v>74</v>
      </c>
      <c r="BE859" t="s">
        <v>15170</v>
      </c>
      <c r="BF859" t="str">
        <f>HYPERLINK("http://dx.doi.org/10.1016/j.jastp.2008.09.024","http://dx.doi.org/10.1016/j.jastp.2008.09.024")</f>
        <v>http://dx.doi.org/10.1016/j.jastp.2008.09.024</v>
      </c>
      <c r="BG859" t="s">
        <v>74</v>
      </c>
      <c r="BH859" t="s">
        <v>74</v>
      </c>
      <c r="BI859">
        <v>12</v>
      </c>
      <c r="BJ859" t="s">
        <v>4477</v>
      </c>
      <c r="BK859" t="s">
        <v>100</v>
      </c>
      <c r="BL859" t="s">
        <v>4477</v>
      </c>
      <c r="BM859" t="s">
        <v>15153</v>
      </c>
      <c r="BN859" t="s">
        <v>74</v>
      </c>
      <c r="BO859" t="s">
        <v>74</v>
      </c>
      <c r="BP859" t="s">
        <v>74</v>
      </c>
      <c r="BQ859" t="s">
        <v>74</v>
      </c>
      <c r="BR859" t="s">
        <v>103</v>
      </c>
      <c r="BS859" t="s">
        <v>15171</v>
      </c>
      <c r="BT859" t="str">
        <f>HYPERLINK("https%3A%2F%2Fwww.webofscience.com%2Fwos%2Fwoscc%2Ffull-record%2FWOS:000263196500003","View Full Record in Web of Science")</f>
        <v>View Full Record in Web of Science</v>
      </c>
    </row>
    <row r="860" spans="1:72" x14ac:dyDescent="0.15">
      <c r="A860" t="s">
        <v>72</v>
      </c>
      <c r="B860" t="s">
        <v>15172</v>
      </c>
      <c r="C860" t="s">
        <v>74</v>
      </c>
      <c r="D860" t="s">
        <v>74</v>
      </c>
      <c r="E860" t="s">
        <v>74</v>
      </c>
      <c r="F860" t="s">
        <v>15173</v>
      </c>
      <c r="G860" t="s">
        <v>74</v>
      </c>
      <c r="H860" t="s">
        <v>74</v>
      </c>
      <c r="I860" t="s">
        <v>15174</v>
      </c>
      <c r="J860" t="s">
        <v>1860</v>
      </c>
      <c r="K860" t="s">
        <v>74</v>
      </c>
      <c r="L860" t="s">
        <v>74</v>
      </c>
      <c r="M860" t="s">
        <v>78</v>
      </c>
      <c r="N860" t="s">
        <v>79</v>
      </c>
      <c r="O860" t="s">
        <v>74</v>
      </c>
      <c r="P860" t="s">
        <v>74</v>
      </c>
      <c r="Q860" t="s">
        <v>74</v>
      </c>
      <c r="R860" t="s">
        <v>74</v>
      </c>
      <c r="S860" t="s">
        <v>74</v>
      </c>
      <c r="T860" t="s">
        <v>15175</v>
      </c>
      <c r="U860" t="s">
        <v>15176</v>
      </c>
      <c r="V860" t="s">
        <v>15177</v>
      </c>
      <c r="W860" t="s">
        <v>15178</v>
      </c>
      <c r="X860" t="s">
        <v>824</v>
      </c>
      <c r="Y860" t="s">
        <v>15179</v>
      </c>
      <c r="Z860" t="s">
        <v>15180</v>
      </c>
      <c r="AA860" t="s">
        <v>4530</v>
      </c>
      <c r="AB860" t="s">
        <v>15181</v>
      </c>
      <c r="AC860" t="s">
        <v>15182</v>
      </c>
      <c r="AD860" t="s">
        <v>15183</v>
      </c>
      <c r="AE860" t="s">
        <v>15184</v>
      </c>
      <c r="AF860" t="s">
        <v>74</v>
      </c>
      <c r="AG860">
        <v>62</v>
      </c>
      <c r="AH860">
        <v>154</v>
      </c>
      <c r="AI860">
        <v>166</v>
      </c>
      <c r="AJ860">
        <v>1</v>
      </c>
      <c r="AK860">
        <v>36</v>
      </c>
      <c r="AL860" t="s">
        <v>489</v>
      </c>
      <c r="AM860" t="s">
        <v>490</v>
      </c>
      <c r="AN860" t="s">
        <v>491</v>
      </c>
      <c r="AO860" t="s">
        <v>1873</v>
      </c>
      <c r="AP860" t="s">
        <v>1874</v>
      </c>
      <c r="AQ860" t="s">
        <v>74</v>
      </c>
      <c r="AR860" t="s">
        <v>1875</v>
      </c>
      <c r="AS860" t="s">
        <v>1876</v>
      </c>
      <c r="AT860" t="s">
        <v>11480</v>
      </c>
      <c r="AU860">
        <v>2009</v>
      </c>
      <c r="AV860">
        <v>36</v>
      </c>
      <c r="AW860">
        <v>1</v>
      </c>
      <c r="AX860" t="s">
        <v>74</v>
      </c>
      <c r="AY860" t="s">
        <v>74</v>
      </c>
      <c r="AZ860" t="s">
        <v>74</v>
      </c>
      <c r="BA860" t="s">
        <v>74</v>
      </c>
      <c r="BB860">
        <v>162</v>
      </c>
      <c r="BC860">
        <v>177</v>
      </c>
      <c r="BD860" t="s">
        <v>74</v>
      </c>
      <c r="BE860" t="s">
        <v>15185</v>
      </c>
      <c r="BF860" t="str">
        <f>HYPERLINK("http://dx.doi.org/10.1111/j.1365-2699.2008.01979.x","http://dx.doi.org/10.1111/j.1365-2699.2008.01979.x")</f>
        <v>http://dx.doi.org/10.1111/j.1365-2699.2008.01979.x</v>
      </c>
      <c r="BG860" t="s">
        <v>74</v>
      </c>
      <c r="BH860" t="s">
        <v>74</v>
      </c>
      <c r="BI860">
        <v>16</v>
      </c>
      <c r="BJ860" t="s">
        <v>1878</v>
      </c>
      <c r="BK860" t="s">
        <v>100</v>
      </c>
      <c r="BL860" t="s">
        <v>1104</v>
      </c>
      <c r="BM860" t="s">
        <v>15186</v>
      </c>
      <c r="BN860" t="s">
        <v>74</v>
      </c>
      <c r="BO860" t="s">
        <v>74</v>
      </c>
      <c r="BP860" t="s">
        <v>74</v>
      </c>
      <c r="BQ860" t="s">
        <v>74</v>
      </c>
      <c r="BR860" t="s">
        <v>103</v>
      </c>
      <c r="BS860" t="s">
        <v>15187</v>
      </c>
      <c r="BT860" t="str">
        <f>HYPERLINK("https%3A%2F%2Fwww.webofscience.com%2Fwos%2Fwoscc%2Ffull-record%2FWOS:000261620400015","View Full Record in Web of Science")</f>
        <v>View Full Record in Web of Science</v>
      </c>
    </row>
    <row r="861" spans="1:72" x14ac:dyDescent="0.15">
      <c r="A861" t="s">
        <v>72</v>
      </c>
      <c r="B861" t="s">
        <v>15188</v>
      </c>
      <c r="C861" t="s">
        <v>74</v>
      </c>
      <c r="D861" t="s">
        <v>74</v>
      </c>
      <c r="E861" t="s">
        <v>74</v>
      </c>
      <c r="F861" t="s">
        <v>15189</v>
      </c>
      <c r="G861" t="s">
        <v>74</v>
      </c>
      <c r="H861" t="s">
        <v>74</v>
      </c>
      <c r="I861" t="s">
        <v>15190</v>
      </c>
      <c r="J861" t="s">
        <v>15191</v>
      </c>
      <c r="K861" t="s">
        <v>74</v>
      </c>
      <c r="L861" t="s">
        <v>74</v>
      </c>
      <c r="M861" t="s">
        <v>78</v>
      </c>
      <c r="N861" t="s">
        <v>79</v>
      </c>
      <c r="O861" t="s">
        <v>74</v>
      </c>
      <c r="P861" t="s">
        <v>74</v>
      </c>
      <c r="Q861" t="s">
        <v>74</v>
      </c>
      <c r="R861" t="s">
        <v>74</v>
      </c>
      <c r="S861" t="s">
        <v>74</v>
      </c>
      <c r="T861" t="s">
        <v>15192</v>
      </c>
      <c r="U861" t="s">
        <v>74</v>
      </c>
      <c r="V861" t="s">
        <v>15193</v>
      </c>
      <c r="W861" t="s">
        <v>15194</v>
      </c>
      <c r="X861" t="s">
        <v>15195</v>
      </c>
      <c r="Y861" t="s">
        <v>15196</v>
      </c>
      <c r="Z861" t="s">
        <v>74</v>
      </c>
      <c r="AA861" t="s">
        <v>74</v>
      </c>
      <c r="AB861" t="s">
        <v>74</v>
      </c>
      <c r="AC861" t="s">
        <v>15197</v>
      </c>
      <c r="AD861" t="s">
        <v>15198</v>
      </c>
      <c r="AE861" t="s">
        <v>15199</v>
      </c>
      <c r="AF861" t="s">
        <v>74</v>
      </c>
      <c r="AG861">
        <v>40</v>
      </c>
      <c r="AH861">
        <v>0</v>
      </c>
      <c r="AI861">
        <v>0</v>
      </c>
      <c r="AJ861">
        <v>0</v>
      </c>
      <c r="AK861">
        <v>0</v>
      </c>
      <c r="AL861" t="s">
        <v>15200</v>
      </c>
      <c r="AM861" t="s">
        <v>15201</v>
      </c>
      <c r="AN861" t="s">
        <v>15202</v>
      </c>
      <c r="AO861" t="s">
        <v>15203</v>
      </c>
      <c r="AP861" t="s">
        <v>15204</v>
      </c>
      <c r="AQ861" t="s">
        <v>74</v>
      </c>
      <c r="AR861" t="s">
        <v>15205</v>
      </c>
      <c r="AS861" t="s">
        <v>15206</v>
      </c>
      <c r="AT861" t="s">
        <v>74</v>
      </c>
      <c r="AU861">
        <v>2009</v>
      </c>
      <c r="AV861">
        <v>82</v>
      </c>
      <c r="AW861">
        <v>1</v>
      </c>
      <c r="AX861" t="s">
        <v>74</v>
      </c>
      <c r="AY861" t="s">
        <v>74</v>
      </c>
      <c r="AZ861" t="s">
        <v>74</v>
      </c>
      <c r="BA861" t="s">
        <v>74</v>
      </c>
      <c r="BB861">
        <v>83</v>
      </c>
      <c r="BC861">
        <v>87</v>
      </c>
      <c r="BD861" t="s">
        <v>74</v>
      </c>
      <c r="BE861" t="s">
        <v>15207</v>
      </c>
      <c r="BF861" t="str">
        <f>HYPERLINK("http://dx.doi.org/10.4081/jbr.2009.4792","http://dx.doi.org/10.4081/jbr.2009.4792")</f>
        <v>http://dx.doi.org/10.4081/jbr.2009.4792</v>
      </c>
      <c r="BG861" t="s">
        <v>74</v>
      </c>
      <c r="BH861" t="s">
        <v>74</v>
      </c>
      <c r="BI861">
        <v>5</v>
      </c>
      <c r="BJ861" t="s">
        <v>1379</v>
      </c>
      <c r="BK861" t="s">
        <v>2781</v>
      </c>
      <c r="BL861" t="s">
        <v>1380</v>
      </c>
      <c r="BM861" t="s">
        <v>15208</v>
      </c>
      <c r="BN861" t="s">
        <v>74</v>
      </c>
      <c r="BO861" t="s">
        <v>7315</v>
      </c>
      <c r="BP861" t="s">
        <v>74</v>
      </c>
      <c r="BQ861" t="s">
        <v>74</v>
      </c>
      <c r="BR861" t="s">
        <v>103</v>
      </c>
      <c r="BS861" t="s">
        <v>15209</v>
      </c>
      <c r="BT861" t="str">
        <f>HYPERLINK("https%3A%2F%2Fwww.webofscience.com%2Fwos%2Fwoscc%2Ffull-record%2FWOS:000217100200018","View Full Record in Web of Science")</f>
        <v>View Full Record in Web of Science</v>
      </c>
    </row>
    <row r="862" spans="1:72" x14ac:dyDescent="0.15">
      <c r="A862" t="s">
        <v>72</v>
      </c>
      <c r="B862" t="s">
        <v>15210</v>
      </c>
      <c r="C862" t="s">
        <v>74</v>
      </c>
      <c r="D862" t="s">
        <v>74</v>
      </c>
      <c r="E862" t="s">
        <v>74</v>
      </c>
      <c r="F862" t="s">
        <v>15211</v>
      </c>
      <c r="G862" t="s">
        <v>74</v>
      </c>
      <c r="H862" t="s">
        <v>74</v>
      </c>
      <c r="I862" t="s">
        <v>15212</v>
      </c>
      <c r="J862" t="s">
        <v>1884</v>
      </c>
      <c r="K862" t="s">
        <v>74</v>
      </c>
      <c r="L862" t="s">
        <v>74</v>
      </c>
      <c r="M862" t="s">
        <v>78</v>
      </c>
      <c r="N862" t="s">
        <v>79</v>
      </c>
      <c r="O862" t="s">
        <v>74</v>
      </c>
      <c r="P862" t="s">
        <v>74</v>
      </c>
      <c r="Q862" t="s">
        <v>74</v>
      </c>
      <c r="R862" t="s">
        <v>74</v>
      </c>
      <c r="S862" t="s">
        <v>74</v>
      </c>
      <c r="T862" t="s">
        <v>74</v>
      </c>
      <c r="U862" t="s">
        <v>15213</v>
      </c>
      <c r="V862" t="s">
        <v>15214</v>
      </c>
      <c r="W862" t="s">
        <v>15215</v>
      </c>
      <c r="X862" t="s">
        <v>1888</v>
      </c>
      <c r="Y862" t="s">
        <v>15216</v>
      </c>
      <c r="Z862" t="s">
        <v>15217</v>
      </c>
      <c r="AA862" t="s">
        <v>15218</v>
      </c>
      <c r="AB862" t="s">
        <v>15219</v>
      </c>
      <c r="AC862" t="s">
        <v>15220</v>
      </c>
      <c r="AD862" t="s">
        <v>15221</v>
      </c>
      <c r="AE862" t="s">
        <v>15222</v>
      </c>
      <c r="AF862" t="s">
        <v>74</v>
      </c>
      <c r="AG862">
        <v>69</v>
      </c>
      <c r="AH862">
        <v>51</v>
      </c>
      <c r="AI862">
        <v>58</v>
      </c>
      <c r="AJ862">
        <v>1</v>
      </c>
      <c r="AK862">
        <v>12</v>
      </c>
      <c r="AL862" t="s">
        <v>1398</v>
      </c>
      <c r="AM862" t="s">
        <v>1399</v>
      </c>
      <c r="AN862" t="s">
        <v>1400</v>
      </c>
      <c r="AO862" t="s">
        <v>1896</v>
      </c>
      <c r="AP862" t="s">
        <v>1897</v>
      </c>
      <c r="AQ862" t="s">
        <v>74</v>
      </c>
      <c r="AR862" t="s">
        <v>1898</v>
      </c>
      <c r="AS862" t="s">
        <v>1899</v>
      </c>
      <c r="AT862" t="s">
        <v>11480</v>
      </c>
      <c r="AU862">
        <v>2009</v>
      </c>
      <c r="AV862">
        <v>22</v>
      </c>
      <c r="AW862">
        <v>1</v>
      </c>
      <c r="AX862" t="s">
        <v>74</v>
      </c>
      <c r="AY862" t="s">
        <v>74</v>
      </c>
      <c r="AZ862" t="s">
        <v>74</v>
      </c>
      <c r="BA862" t="s">
        <v>74</v>
      </c>
      <c r="BB862">
        <v>3</v>
      </c>
      <c r="BC862">
        <v>19</v>
      </c>
      <c r="BD862" t="s">
        <v>74</v>
      </c>
      <c r="BE862" t="s">
        <v>15223</v>
      </c>
      <c r="BF862" t="str">
        <f>HYPERLINK("http://dx.doi.org/10.1175/2008JCLI2323.1","http://dx.doi.org/10.1175/2008JCLI2323.1")</f>
        <v>http://dx.doi.org/10.1175/2008JCLI2323.1</v>
      </c>
      <c r="BG862" t="s">
        <v>74</v>
      </c>
      <c r="BH862" t="s">
        <v>74</v>
      </c>
      <c r="BI862">
        <v>17</v>
      </c>
      <c r="BJ862" t="s">
        <v>398</v>
      </c>
      <c r="BK862" t="s">
        <v>100</v>
      </c>
      <c r="BL862" t="s">
        <v>398</v>
      </c>
      <c r="BM862" t="s">
        <v>15224</v>
      </c>
      <c r="BN862" t="s">
        <v>74</v>
      </c>
      <c r="BO862" t="s">
        <v>499</v>
      </c>
      <c r="BP862" t="s">
        <v>74</v>
      </c>
      <c r="BQ862" t="s">
        <v>74</v>
      </c>
      <c r="BR862" t="s">
        <v>103</v>
      </c>
      <c r="BS862" t="s">
        <v>15225</v>
      </c>
      <c r="BT862" t="str">
        <f>HYPERLINK("https%3A%2F%2Fwww.webofscience.com%2Fwos%2Fwoscc%2Ffull-record%2FWOS:000262329100001","View Full Record in Web of Science")</f>
        <v>View Full Record in Web of Science</v>
      </c>
    </row>
    <row r="863" spans="1:72" x14ac:dyDescent="0.15">
      <c r="A863" t="s">
        <v>72</v>
      </c>
      <c r="B863" t="s">
        <v>15226</v>
      </c>
      <c r="C863" t="s">
        <v>74</v>
      </c>
      <c r="D863" t="s">
        <v>74</v>
      </c>
      <c r="E863" t="s">
        <v>74</v>
      </c>
      <c r="F863" t="s">
        <v>15227</v>
      </c>
      <c r="G863" t="s">
        <v>74</v>
      </c>
      <c r="H863" t="s">
        <v>74</v>
      </c>
      <c r="I863" t="s">
        <v>15228</v>
      </c>
      <c r="J863" t="s">
        <v>15229</v>
      </c>
      <c r="K863" t="s">
        <v>74</v>
      </c>
      <c r="L863" t="s">
        <v>74</v>
      </c>
      <c r="M863" t="s">
        <v>78</v>
      </c>
      <c r="N863" t="s">
        <v>79</v>
      </c>
      <c r="O863" t="s">
        <v>74</v>
      </c>
      <c r="P863" t="s">
        <v>74</v>
      </c>
      <c r="Q863" t="s">
        <v>74</v>
      </c>
      <c r="R863" t="s">
        <v>74</v>
      </c>
      <c r="S863" t="s">
        <v>74</v>
      </c>
      <c r="T863" t="s">
        <v>15230</v>
      </c>
      <c r="U863" t="s">
        <v>15231</v>
      </c>
      <c r="V863" t="s">
        <v>15232</v>
      </c>
      <c r="W863" t="s">
        <v>15233</v>
      </c>
      <c r="X863" t="s">
        <v>15234</v>
      </c>
      <c r="Y863" t="s">
        <v>15235</v>
      </c>
      <c r="Z863" t="s">
        <v>15236</v>
      </c>
      <c r="AA863" t="s">
        <v>15237</v>
      </c>
      <c r="AB863" t="s">
        <v>15238</v>
      </c>
      <c r="AC863" t="s">
        <v>15239</v>
      </c>
      <c r="AD863" t="s">
        <v>15240</v>
      </c>
      <c r="AE863" t="s">
        <v>15241</v>
      </c>
      <c r="AF863" t="s">
        <v>74</v>
      </c>
      <c r="AG863">
        <v>37</v>
      </c>
      <c r="AH863">
        <v>41</v>
      </c>
      <c r="AI863">
        <v>45</v>
      </c>
      <c r="AJ863">
        <v>0</v>
      </c>
      <c r="AK863">
        <v>7</v>
      </c>
      <c r="AL863" t="s">
        <v>15242</v>
      </c>
      <c r="AM863" t="s">
        <v>15243</v>
      </c>
      <c r="AN863" t="s">
        <v>15244</v>
      </c>
      <c r="AO863" t="s">
        <v>15245</v>
      </c>
      <c r="AP863" t="s">
        <v>74</v>
      </c>
      <c r="AQ863" t="s">
        <v>74</v>
      </c>
      <c r="AR863" t="s">
        <v>15246</v>
      </c>
      <c r="AS863" t="s">
        <v>15247</v>
      </c>
      <c r="AT863" t="s">
        <v>11480</v>
      </c>
      <c r="AU863">
        <v>2009</v>
      </c>
      <c r="AV863">
        <v>30</v>
      </c>
      <c r="AW863">
        <v>1</v>
      </c>
      <c r="AX863" t="s">
        <v>74</v>
      </c>
      <c r="AY863" t="s">
        <v>74</v>
      </c>
      <c r="AZ863" t="s">
        <v>2297</v>
      </c>
      <c r="BA863" t="s">
        <v>74</v>
      </c>
      <c r="BB863">
        <v>1</v>
      </c>
      <c r="BC863">
        <v>6</v>
      </c>
      <c r="BD863" t="s">
        <v>74</v>
      </c>
      <c r="BE863" t="s">
        <v>74</v>
      </c>
      <c r="BF863" t="s">
        <v>74</v>
      </c>
      <c r="BG863" t="s">
        <v>74</v>
      </c>
      <c r="BH863" t="s">
        <v>74</v>
      </c>
      <c r="BI863">
        <v>6</v>
      </c>
      <c r="BJ863" t="s">
        <v>423</v>
      </c>
      <c r="BK863" t="s">
        <v>100</v>
      </c>
      <c r="BL863" t="s">
        <v>424</v>
      </c>
      <c r="BM863" t="s">
        <v>15248</v>
      </c>
      <c r="BN863">
        <v>20112855</v>
      </c>
      <c r="BO863" t="s">
        <v>74</v>
      </c>
      <c r="BP863" t="s">
        <v>74</v>
      </c>
      <c r="BQ863" t="s">
        <v>74</v>
      </c>
      <c r="BR863" t="s">
        <v>103</v>
      </c>
      <c r="BS863" t="s">
        <v>15249</v>
      </c>
      <c r="BT863" t="str">
        <f>HYPERLINK("https%3A%2F%2Fwww.webofscience.com%2Fwos%2Fwoscc%2Ffull-record%2FWOS:000262706900001","View Full Record in Web of Science")</f>
        <v>View Full Record in Web of Science</v>
      </c>
    </row>
    <row r="864" spans="1:72" x14ac:dyDescent="0.15">
      <c r="A864" t="s">
        <v>72</v>
      </c>
      <c r="B864" t="s">
        <v>15250</v>
      </c>
      <c r="C864" t="s">
        <v>74</v>
      </c>
      <c r="D864" t="s">
        <v>74</v>
      </c>
      <c r="E864" t="s">
        <v>74</v>
      </c>
      <c r="F864" t="s">
        <v>15251</v>
      </c>
      <c r="G864" t="s">
        <v>74</v>
      </c>
      <c r="H864" t="s">
        <v>74</v>
      </c>
      <c r="I864" t="s">
        <v>15252</v>
      </c>
      <c r="J864" t="s">
        <v>15229</v>
      </c>
      <c r="K864" t="s">
        <v>74</v>
      </c>
      <c r="L864" t="s">
        <v>74</v>
      </c>
      <c r="M864" t="s">
        <v>78</v>
      </c>
      <c r="N864" t="s">
        <v>79</v>
      </c>
      <c r="O864" t="s">
        <v>74</v>
      </c>
      <c r="P864" t="s">
        <v>74</v>
      </c>
      <c r="Q864" t="s">
        <v>74</v>
      </c>
      <c r="R864" t="s">
        <v>74</v>
      </c>
      <c r="S864" t="s">
        <v>74</v>
      </c>
      <c r="T864" t="s">
        <v>15253</v>
      </c>
      <c r="U864" t="s">
        <v>15254</v>
      </c>
      <c r="V864" t="s">
        <v>15255</v>
      </c>
      <c r="W864" t="s">
        <v>15256</v>
      </c>
      <c r="X864" t="s">
        <v>15257</v>
      </c>
      <c r="Y864" t="s">
        <v>15235</v>
      </c>
      <c r="Z864" t="s">
        <v>15236</v>
      </c>
      <c r="AA864" t="s">
        <v>15237</v>
      </c>
      <c r="AB864" t="s">
        <v>15238</v>
      </c>
      <c r="AC864" t="s">
        <v>15258</v>
      </c>
      <c r="AD864" t="s">
        <v>15259</v>
      </c>
      <c r="AE864" t="s">
        <v>15260</v>
      </c>
      <c r="AF864" t="s">
        <v>74</v>
      </c>
      <c r="AG864">
        <v>45</v>
      </c>
      <c r="AH864">
        <v>13</v>
      </c>
      <c r="AI864">
        <v>15</v>
      </c>
      <c r="AJ864">
        <v>0</v>
      </c>
      <c r="AK864">
        <v>6</v>
      </c>
      <c r="AL864" t="s">
        <v>15242</v>
      </c>
      <c r="AM864" t="s">
        <v>15243</v>
      </c>
      <c r="AN864" t="s">
        <v>15244</v>
      </c>
      <c r="AO864" t="s">
        <v>15245</v>
      </c>
      <c r="AP864" t="s">
        <v>74</v>
      </c>
      <c r="AQ864" t="s">
        <v>74</v>
      </c>
      <c r="AR864" t="s">
        <v>15246</v>
      </c>
      <c r="AS864" t="s">
        <v>15247</v>
      </c>
      <c r="AT864" t="s">
        <v>11480</v>
      </c>
      <c r="AU864">
        <v>2009</v>
      </c>
      <c r="AV864">
        <v>30</v>
      </c>
      <c r="AW864">
        <v>1</v>
      </c>
      <c r="AX864" t="s">
        <v>74</v>
      </c>
      <c r="AY864" t="s">
        <v>74</v>
      </c>
      <c r="AZ864" t="s">
        <v>2297</v>
      </c>
      <c r="BA864" t="s">
        <v>74</v>
      </c>
      <c r="BB864">
        <v>107</v>
      </c>
      <c r="BC864">
        <v>112</v>
      </c>
      <c r="BD864" t="s">
        <v>74</v>
      </c>
      <c r="BE864" t="s">
        <v>74</v>
      </c>
      <c r="BF864" t="s">
        <v>74</v>
      </c>
      <c r="BG864" t="s">
        <v>74</v>
      </c>
      <c r="BH864" t="s">
        <v>74</v>
      </c>
      <c r="BI864">
        <v>6</v>
      </c>
      <c r="BJ864" t="s">
        <v>423</v>
      </c>
      <c r="BK864" t="s">
        <v>100</v>
      </c>
      <c r="BL864" t="s">
        <v>424</v>
      </c>
      <c r="BM864" t="s">
        <v>15248</v>
      </c>
      <c r="BN864">
        <v>20112871</v>
      </c>
      <c r="BO864" t="s">
        <v>74</v>
      </c>
      <c r="BP864" t="s">
        <v>74</v>
      </c>
      <c r="BQ864" t="s">
        <v>74</v>
      </c>
      <c r="BR864" t="s">
        <v>103</v>
      </c>
      <c r="BS864" t="s">
        <v>15261</v>
      </c>
      <c r="BT864" t="str">
        <f>HYPERLINK("https%3A%2F%2Fwww.webofscience.com%2Fwos%2Fwoscc%2Ffull-record%2FWOS:000262706900017","View Full Record in Web of Science")</f>
        <v>View Full Record in Web of Science</v>
      </c>
    </row>
    <row r="865" spans="1:72" x14ac:dyDescent="0.15">
      <c r="A865" t="s">
        <v>72</v>
      </c>
      <c r="B865" t="s">
        <v>15262</v>
      </c>
      <c r="C865" t="s">
        <v>74</v>
      </c>
      <c r="D865" t="s">
        <v>74</v>
      </c>
      <c r="E865" t="s">
        <v>74</v>
      </c>
      <c r="F865" t="s">
        <v>15263</v>
      </c>
      <c r="G865" t="s">
        <v>74</v>
      </c>
      <c r="H865" t="s">
        <v>74</v>
      </c>
      <c r="I865" t="s">
        <v>15264</v>
      </c>
      <c r="J865" t="s">
        <v>15265</v>
      </c>
      <c r="K865" t="s">
        <v>74</v>
      </c>
      <c r="L865" t="s">
        <v>74</v>
      </c>
      <c r="M865" t="s">
        <v>78</v>
      </c>
      <c r="N865" t="s">
        <v>79</v>
      </c>
      <c r="O865" t="s">
        <v>74</v>
      </c>
      <c r="P865" t="s">
        <v>74</v>
      </c>
      <c r="Q865" t="s">
        <v>74</v>
      </c>
      <c r="R865" t="s">
        <v>74</v>
      </c>
      <c r="S865" t="s">
        <v>74</v>
      </c>
      <c r="T865" t="s">
        <v>15266</v>
      </c>
      <c r="U865" t="s">
        <v>15267</v>
      </c>
      <c r="V865" t="s">
        <v>15268</v>
      </c>
      <c r="W865" t="s">
        <v>15269</v>
      </c>
      <c r="X865" t="s">
        <v>15270</v>
      </c>
      <c r="Y865" t="s">
        <v>15271</v>
      </c>
      <c r="Z865" t="s">
        <v>1312</v>
      </c>
      <c r="AA865" t="s">
        <v>74</v>
      </c>
      <c r="AB865" t="s">
        <v>74</v>
      </c>
      <c r="AC865" t="s">
        <v>15272</v>
      </c>
      <c r="AD865" t="s">
        <v>15273</v>
      </c>
      <c r="AE865" t="s">
        <v>15274</v>
      </c>
      <c r="AF865" t="s">
        <v>74</v>
      </c>
      <c r="AG865">
        <v>22</v>
      </c>
      <c r="AH865">
        <v>18</v>
      </c>
      <c r="AI865">
        <v>19</v>
      </c>
      <c r="AJ865">
        <v>1</v>
      </c>
      <c r="AK865">
        <v>22</v>
      </c>
      <c r="AL865" t="s">
        <v>1070</v>
      </c>
      <c r="AM865" t="s">
        <v>1071</v>
      </c>
      <c r="AN865" t="s">
        <v>1072</v>
      </c>
      <c r="AO865" t="s">
        <v>15275</v>
      </c>
      <c r="AP865" t="s">
        <v>15276</v>
      </c>
      <c r="AQ865" t="s">
        <v>74</v>
      </c>
      <c r="AR865" t="s">
        <v>15277</v>
      </c>
      <c r="AS865" t="s">
        <v>15278</v>
      </c>
      <c r="AT865" t="s">
        <v>74</v>
      </c>
      <c r="AU865">
        <v>2009</v>
      </c>
      <c r="AV865">
        <v>21</v>
      </c>
      <c r="AW865">
        <v>2</v>
      </c>
      <c r="AX865" t="s">
        <v>74</v>
      </c>
      <c r="AY865" t="s">
        <v>74</v>
      </c>
      <c r="AZ865" t="s">
        <v>74</v>
      </c>
      <c r="BA865" t="s">
        <v>74</v>
      </c>
      <c r="BB865">
        <v>150</v>
      </c>
      <c r="BC865">
        <v>154</v>
      </c>
      <c r="BD865" t="s">
        <v>74</v>
      </c>
      <c r="BE865" t="s">
        <v>15279</v>
      </c>
      <c r="BF865" t="str">
        <f>HYPERLINK("http://dx.doi.org/10.1016/S1001-0742(08)62243-3","http://dx.doi.org/10.1016/S1001-0742(08)62243-3")</f>
        <v>http://dx.doi.org/10.1016/S1001-0742(08)62243-3</v>
      </c>
      <c r="BG865" t="s">
        <v>74</v>
      </c>
      <c r="BH865" t="s">
        <v>74</v>
      </c>
      <c r="BI865">
        <v>5</v>
      </c>
      <c r="BJ865" t="s">
        <v>423</v>
      </c>
      <c r="BK865" t="s">
        <v>100</v>
      </c>
      <c r="BL865" t="s">
        <v>424</v>
      </c>
      <c r="BM865" t="s">
        <v>15280</v>
      </c>
      <c r="BN865">
        <v>19402414</v>
      </c>
      <c r="BO865" t="s">
        <v>74</v>
      </c>
      <c r="BP865" t="s">
        <v>74</v>
      </c>
      <c r="BQ865" t="s">
        <v>74</v>
      </c>
      <c r="BR865" t="s">
        <v>103</v>
      </c>
      <c r="BS865" t="s">
        <v>15281</v>
      </c>
      <c r="BT865" t="str">
        <f>HYPERLINK("https%3A%2F%2Fwww.webofscience.com%2Fwos%2Fwoscc%2Ffull-record%2FWOS:000263435800003","View Full Record in Web of Science")</f>
        <v>View Full Record in Web of Science</v>
      </c>
    </row>
    <row r="866" spans="1:72" x14ac:dyDescent="0.15">
      <c r="A866" t="s">
        <v>72</v>
      </c>
      <c r="B866" t="s">
        <v>15282</v>
      </c>
      <c r="C866" t="s">
        <v>74</v>
      </c>
      <c r="D866" t="s">
        <v>74</v>
      </c>
      <c r="E866" t="s">
        <v>74</v>
      </c>
      <c r="F866" t="s">
        <v>15283</v>
      </c>
      <c r="G866" t="s">
        <v>74</v>
      </c>
      <c r="H866" t="s">
        <v>74</v>
      </c>
      <c r="I866" t="s">
        <v>15284</v>
      </c>
      <c r="J866" t="s">
        <v>5821</v>
      </c>
      <c r="K866" t="s">
        <v>74</v>
      </c>
      <c r="L866" t="s">
        <v>74</v>
      </c>
      <c r="M866" t="s">
        <v>78</v>
      </c>
      <c r="N866" t="s">
        <v>505</v>
      </c>
      <c r="O866" t="s">
        <v>74</v>
      </c>
      <c r="P866" t="s">
        <v>74</v>
      </c>
      <c r="Q866" t="s">
        <v>74</v>
      </c>
      <c r="R866" t="s">
        <v>74</v>
      </c>
      <c r="S866" t="s">
        <v>74</v>
      </c>
      <c r="T866" t="s">
        <v>74</v>
      </c>
      <c r="U866" t="s">
        <v>74</v>
      </c>
      <c r="V866" t="s">
        <v>74</v>
      </c>
      <c r="W866" t="s">
        <v>15285</v>
      </c>
      <c r="X866" t="s">
        <v>15286</v>
      </c>
      <c r="Y866" t="s">
        <v>15287</v>
      </c>
      <c r="Z866" t="s">
        <v>15288</v>
      </c>
      <c r="AA866" t="s">
        <v>74</v>
      </c>
      <c r="AB866" t="s">
        <v>15289</v>
      </c>
      <c r="AC866" t="s">
        <v>74</v>
      </c>
      <c r="AD866" t="s">
        <v>74</v>
      </c>
      <c r="AE866" t="s">
        <v>74</v>
      </c>
      <c r="AF866" t="s">
        <v>74</v>
      </c>
      <c r="AG866">
        <v>1</v>
      </c>
      <c r="AH866">
        <v>2</v>
      </c>
      <c r="AI866">
        <v>2</v>
      </c>
      <c r="AJ866">
        <v>0</v>
      </c>
      <c r="AK866">
        <v>4</v>
      </c>
      <c r="AL866" t="s">
        <v>15290</v>
      </c>
      <c r="AM866" t="s">
        <v>5833</v>
      </c>
      <c r="AN866" t="s">
        <v>15291</v>
      </c>
      <c r="AO866" t="s">
        <v>5835</v>
      </c>
      <c r="AP866" t="s">
        <v>15292</v>
      </c>
      <c r="AQ866" t="s">
        <v>74</v>
      </c>
      <c r="AR866" t="s">
        <v>5836</v>
      </c>
      <c r="AS866" t="s">
        <v>5837</v>
      </c>
      <c r="AT866" t="s">
        <v>11455</v>
      </c>
      <c r="AU866">
        <v>2009</v>
      </c>
      <c r="AV866">
        <v>212</v>
      </c>
      <c r="AW866">
        <v>1</v>
      </c>
      <c r="AX866" t="s">
        <v>74</v>
      </c>
      <c r="AY866" t="s">
        <v>74</v>
      </c>
      <c r="AZ866" t="s">
        <v>74</v>
      </c>
      <c r="BA866" t="s">
        <v>74</v>
      </c>
      <c r="BB866" t="s">
        <v>15293</v>
      </c>
      <c r="BC866" t="s">
        <v>15294</v>
      </c>
      <c r="BD866" t="s">
        <v>74</v>
      </c>
      <c r="BE866" t="s">
        <v>15295</v>
      </c>
      <c r="BF866" t="str">
        <f>HYPERLINK("http://dx.doi.org/10.1242/jeb.021493","http://dx.doi.org/10.1242/jeb.021493")</f>
        <v>http://dx.doi.org/10.1242/jeb.021493</v>
      </c>
      <c r="BG866" t="s">
        <v>74</v>
      </c>
      <c r="BH866" t="s">
        <v>74</v>
      </c>
      <c r="BI866">
        <v>2</v>
      </c>
      <c r="BJ866" t="s">
        <v>1379</v>
      </c>
      <c r="BK866" t="s">
        <v>100</v>
      </c>
      <c r="BL866" t="s">
        <v>1380</v>
      </c>
      <c r="BM866" t="s">
        <v>15296</v>
      </c>
      <c r="BN866" t="s">
        <v>74</v>
      </c>
      <c r="BO866" t="s">
        <v>74</v>
      </c>
      <c r="BP866" t="s">
        <v>74</v>
      </c>
      <c r="BQ866" t="s">
        <v>74</v>
      </c>
      <c r="BR866" t="s">
        <v>103</v>
      </c>
      <c r="BS866" t="s">
        <v>15297</v>
      </c>
      <c r="BT866" t="str">
        <f>HYPERLINK("https%3A%2F%2Fwww.webofscience.com%2Fwos%2Fwoscc%2Ffull-record%2FWOS:000261763000007","View Full Record in Web of Science")</f>
        <v>View Full Record in Web of Science</v>
      </c>
    </row>
    <row r="867" spans="1:72" x14ac:dyDescent="0.15">
      <c r="A867" t="s">
        <v>72</v>
      </c>
      <c r="B867" t="s">
        <v>15298</v>
      </c>
      <c r="C867" t="s">
        <v>74</v>
      </c>
      <c r="D867" t="s">
        <v>74</v>
      </c>
      <c r="E867" t="s">
        <v>74</v>
      </c>
      <c r="F867" t="s">
        <v>15299</v>
      </c>
      <c r="G867" t="s">
        <v>74</v>
      </c>
      <c r="H867" t="s">
        <v>74</v>
      </c>
      <c r="I867" t="s">
        <v>15300</v>
      </c>
      <c r="J867" t="s">
        <v>15301</v>
      </c>
      <c r="K867" t="s">
        <v>74</v>
      </c>
      <c r="L867" t="s">
        <v>74</v>
      </c>
      <c r="M867" t="s">
        <v>78</v>
      </c>
      <c r="N867" t="s">
        <v>79</v>
      </c>
      <c r="O867" t="s">
        <v>74</v>
      </c>
      <c r="P867" t="s">
        <v>74</v>
      </c>
      <c r="Q867" t="s">
        <v>74</v>
      </c>
      <c r="R867" t="s">
        <v>74</v>
      </c>
      <c r="S867" t="s">
        <v>74</v>
      </c>
      <c r="T867" t="s">
        <v>74</v>
      </c>
      <c r="U867" t="s">
        <v>15302</v>
      </c>
      <c r="V867" t="s">
        <v>15303</v>
      </c>
      <c r="W867" t="s">
        <v>15304</v>
      </c>
      <c r="X867" t="s">
        <v>15305</v>
      </c>
      <c r="Y867" t="s">
        <v>15306</v>
      </c>
      <c r="Z867" t="s">
        <v>15307</v>
      </c>
      <c r="AA867" t="s">
        <v>15308</v>
      </c>
      <c r="AB867" t="s">
        <v>15309</v>
      </c>
      <c r="AC867" t="s">
        <v>74</v>
      </c>
      <c r="AD867" t="s">
        <v>74</v>
      </c>
      <c r="AE867" t="s">
        <v>74</v>
      </c>
      <c r="AF867" t="s">
        <v>74</v>
      </c>
      <c r="AG867">
        <v>25</v>
      </c>
      <c r="AH867">
        <v>17</v>
      </c>
      <c r="AI867">
        <v>17</v>
      </c>
      <c r="AJ867">
        <v>0</v>
      </c>
      <c r="AK867">
        <v>4</v>
      </c>
      <c r="AL867" t="s">
        <v>11772</v>
      </c>
      <c r="AM867" t="s">
        <v>5833</v>
      </c>
      <c r="AN867" t="s">
        <v>11773</v>
      </c>
      <c r="AO867" t="s">
        <v>15310</v>
      </c>
      <c r="AP867" t="s">
        <v>15311</v>
      </c>
      <c r="AQ867" t="s">
        <v>74</v>
      </c>
      <c r="AR867" t="s">
        <v>15312</v>
      </c>
      <c r="AS867" t="s">
        <v>15313</v>
      </c>
      <c r="AT867" t="s">
        <v>74</v>
      </c>
      <c r="AU867">
        <v>2009</v>
      </c>
      <c r="AV867">
        <v>55</v>
      </c>
      <c r="AW867">
        <v>189</v>
      </c>
      <c r="AX867" t="s">
        <v>74</v>
      </c>
      <c r="AY867" t="s">
        <v>74</v>
      </c>
      <c r="AZ867" t="s">
        <v>74</v>
      </c>
      <c r="BA867" t="s">
        <v>74</v>
      </c>
      <c r="BB867">
        <v>117</v>
      </c>
      <c r="BC867">
        <v>122</v>
      </c>
      <c r="BD867" t="s">
        <v>74</v>
      </c>
      <c r="BE867" t="s">
        <v>15314</v>
      </c>
      <c r="BF867" t="str">
        <f>HYPERLINK("http://dx.doi.org/10.3189/002214309788608921","http://dx.doi.org/10.3189/002214309788608921")</f>
        <v>http://dx.doi.org/10.3189/002214309788608921</v>
      </c>
      <c r="BG867" t="s">
        <v>74</v>
      </c>
      <c r="BH867" t="s">
        <v>74</v>
      </c>
      <c r="BI867">
        <v>6</v>
      </c>
      <c r="BJ867" t="s">
        <v>312</v>
      </c>
      <c r="BK867" t="s">
        <v>100</v>
      </c>
      <c r="BL867" t="s">
        <v>313</v>
      </c>
      <c r="BM867" t="s">
        <v>15315</v>
      </c>
      <c r="BN867" t="s">
        <v>74</v>
      </c>
      <c r="BO867" t="s">
        <v>499</v>
      </c>
      <c r="BP867" t="s">
        <v>74</v>
      </c>
      <c r="BQ867" t="s">
        <v>74</v>
      </c>
      <c r="BR867" t="s">
        <v>103</v>
      </c>
      <c r="BS867" t="s">
        <v>15316</v>
      </c>
      <c r="BT867" t="str">
        <f>HYPERLINK("https%3A%2F%2Fwww.webofscience.com%2Fwos%2Fwoscc%2Ffull-record%2FWOS:000267918200011","View Full Record in Web of Science")</f>
        <v>View Full Record in Web of Science</v>
      </c>
    </row>
    <row r="868" spans="1:72" x14ac:dyDescent="0.15">
      <c r="A868" t="s">
        <v>72</v>
      </c>
      <c r="B868" t="s">
        <v>15317</v>
      </c>
      <c r="C868" t="s">
        <v>74</v>
      </c>
      <c r="D868" t="s">
        <v>74</v>
      </c>
      <c r="E868" t="s">
        <v>74</v>
      </c>
      <c r="F868" t="s">
        <v>15318</v>
      </c>
      <c r="G868" t="s">
        <v>74</v>
      </c>
      <c r="H868" t="s">
        <v>74</v>
      </c>
      <c r="I868" t="s">
        <v>15319</v>
      </c>
      <c r="J868" t="s">
        <v>15301</v>
      </c>
      <c r="K868" t="s">
        <v>74</v>
      </c>
      <c r="L868" t="s">
        <v>74</v>
      </c>
      <c r="M868" t="s">
        <v>78</v>
      </c>
      <c r="N868" t="s">
        <v>79</v>
      </c>
      <c r="O868" t="s">
        <v>74</v>
      </c>
      <c r="P868" t="s">
        <v>74</v>
      </c>
      <c r="Q868" t="s">
        <v>74</v>
      </c>
      <c r="R868" t="s">
        <v>74</v>
      </c>
      <c r="S868" t="s">
        <v>74</v>
      </c>
      <c r="T868" t="s">
        <v>74</v>
      </c>
      <c r="U868" t="s">
        <v>15320</v>
      </c>
      <c r="V868" t="s">
        <v>15321</v>
      </c>
      <c r="W868" t="s">
        <v>15322</v>
      </c>
      <c r="X868" t="s">
        <v>15323</v>
      </c>
      <c r="Y868" t="s">
        <v>15324</v>
      </c>
      <c r="Z868" t="s">
        <v>15325</v>
      </c>
      <c r="AA868" t="s">
        <v>74</v>
      </c>
      <c r="AB868" t="s">
        <v>15326</v>
      </c>
      <c r="AC868" t="s">
        <v>15327</v>
      </c>
      <c r="AD868" t="s">
        <v>15328</v>
      </c>
      <c r="AE868" t="s">
        <v>15329</v>
      </c>
      <c r="AF868" t="s">
        <v>74</v>
      </c>
      <c r="AG868">
        <v>23</v>
      </c>
      <c r="AH868">
        <v>6</v>
      </c>
      <c r="AI868">
        <v>6</v>
      </c>
      <c r="AJ868">
        <v>0</v>
      </c>
      <c r="AK868">
        <v>7</v>
      </c>
      <c r="AL868" t="s">
        <v>11772</v>
      </c>
      <c r="AM868" t="s">
        <v>5833</v>
      </c>
      <c r="AN868" t="s">
        <v>11773</v>
      </c>
      <c r="AO868" t="s">
        <v>15310</v>
      </c>
      <c r="AP868" t="s">
        <v>74</v>
      </c>
      <c r="AQ868" t="s">
        <v>74</v>
      </c>
      <c r="AR868" t="s">
        <v>15312</v>
      </c>
      <c r="AS868" t="s">
        <v>15313</v>
      </c>
      <c r="AT868" t="s">
        <v>74</v>
      </c>
      <c r="AU868">
        <v>2009</v>
      </c>
      <c r="AV868">
        <v>55</v>
      </c>
      <c r="AW868">
        <v>190</v>
      </c>
      <c r="AX868" t="s">
        <v>74</v>
      </c>
      <c r="AY868" t="s">
        <v>74</v>
      </c>
      <c r="AZ868" t="s">
        <v>74</v>
      </c>
      <c r="BA868" t="s">
        <v>74</v>
      </c>
      <c r="BB868">
        <v>239</v>
      </c>
      <c r="BC868">
        <v>244</v>
      </c>
      <c r="BD868" t="s">
        <v>74</v>
      </c>
      <c r="BE868" t="s">
        <v>15330</v>
      </c>
      <c r="BF868" t="str">
        <f>HYPERLINK("http://dx.doi.org/10.3189/002214309788608732","http://dx.doi.org/10.3189/002214309788608732")</f>
        <v>http://dx.doi.org/10.3189/002214309788608732</v>
      </c>
      <c r="BG868" t="s">
        <v>74</v>
      </c>
      <c r="BH868" t="s">
        <v>74</v>
      </c>
      <c r="BI868">
        <v>6</v>
      </c>
      <c r="BJ868" t="s">
        <v>312</v>
      </c>
      <c r="BK868" t="s">
        <v>100</v>
      </c>
      <c r="BL868" t="s">
        <v>313</v>
      </c>
      <c r="BM868" t="s">
        <v>15331</v>
      </c>
      <c r="BN868" t="s">
        <v>74</v>
      </c>
      <c r="BO868" t="s">
        <v>499</v>
      </c>
      <c r="BP868" t="s">
        <v>74</v>
      </c>
      <c r="BQ868" t="s">
        <v>74</v>
      </c>
      <c r="BR868" t="s">
        <v>103</v>
      </c>
      <c r="BS868" t="s">
        <v>15332</v>
      </c>
      <c r="BT868" t="str">
        <f>HYPERLINK("https%3A%2F%2Fwww.webofscience.com%2Fwos%2Fwoscc%2Ffull-record%2FWOS:000273676500005","View Full Record in Web of Science")</f>
        <v>View Full Record in Web of Science</v>
      </c>
    </row>
    <row r="869" spans="1:72" x14ac:dyDescent="0.15">
      <c r="A869" t="s">
        <v>72</v>
      </c>
      <c r="B869" t="s">
        <v>15333</v>
      </c>
      <c r="C869" t="s">
        <v>74</v>
      </c>
      <c r="D869" t="s">
        <v>74</v>
      </c>
      <c r="E869" t="s">
        <v>74</v>
      </c>
      <c r="F869" t="s">
        <v>15334</v>
      </c>
      <c r="G869" t="s">
        <v>74</v>
      </c>
      <c r="H869" t="s">
        <v>74</v>
      </c>
      <c r="I869" t="s">
        <v>15335</v>
      </c>
      <c r="J869" t="s">
        <v>15301</v>
      </c>
      <c r="K869" t="s">
        <v>74</v>
      </c>
      <c r="L869" t="s">
        <v>74</v>
      </c>
      <c r="M869" t="s">
        <v>78</v>
      </c>
      <c r="N869" t="s">
        <v>79</v>
      </c>
      <c r="O869" t="s">
        <v>74</v>
      </c>
      <c r="P869" t="s">
        <v>74</v>
      </c>
      <c r="Q869" t="s">
        <v>74</v>
      </c>
      <c r="R869" t="s">
        <v>74</v>
      </c>
      <c r="S869" t="s">
        <v>74</v>
      </c>
      <c r="T869" t="s">
        <v>74</v>
      </c>
      <c r="U869" t="s">
        <v>15336</v>
      </c>
      <c r="V869" t="s">
        <v>15337</v>
      </c>
      <c r="W869" t="s">
        <v>15338</v>
      </c>
      <c r="X869" t="s">
        <v>15339</v>
      </c>
      <c r="Y869" t="s">
        <v>15340</v>
      </c>
      <c r="Z869" t="s">
        <v>15341</v>
      </c>
      <c r="AA869" t="s">
        <v>15342</v>
      </c>
      <c r="AB869" t="s">
        <v>15343</v>
      </c>
      <c r="AC869" t="s">
        <v>15344</v>
      </c>
      <c r="AD869" t="s">
        <v>15345</v>
      </c>
      <c r="AE869" t="s">
        <v>15346</v>
      </c>
      <c r="AF869" t="s">
        <v>74</v>
      </c>
      <c r="AG869">
        <v>68</v>
      </c>
      <c r="AH869">
        <v>152</v>
      </c>
      <c r="AI869">
        <v>172</v>
      </c>
      <c r="AJ869">
        <v>0</v>
      </c>
      <c r="AK869">
        <v>22</v>
      </c>
      <c r="AL869" t="s">
        <v>3728</v>
      </c>
      <c r="AM869" t="s">
        <v>5833</v>
      </c>
      <c r="AN869" t="s">
        <v>11802</v>
      </c>
      <c r="AO869" t="s">
        <v>15310</v>
      </c>
      <c r="AP869" t="s">
        <v>15311</v>
      </c>
      <c r="AQ869" t="s">
        <v>74</v>
      </c>
      <c r="AR869" t="s">
        <v>15312</v>
      </c>
      <c r="AS869" t="s">
        <v>15313</v>
      </c>
      <c r="AT869" t="s">
        <v>74</v>
      </c>
      <c r="AU869">
        <v>2009</v>
      </c>
      <c r="AV869">
        <v>55</v>
      </c>
      <c r="AW869">
        <v>190</v>
      </c>
      <c r="AX869" t="s">
        <v>74</v>
      </c>
      <c r="AY869" t="s">
        <v>74</v>
      </c>
      <c r="AZ869" t="s">
        <v>74</v>
      </c>
      <c r="BA869" t="s">
        <v>74</v>
      </c>
      <c r="BB869">
        <v>245</v>
      </c>
      <c r="BC869">
        <v>257</v>
      </c>
      <c r="BD869" t="s">
        <v>74</v>
      </c>
      <c r="BE869" t="s">
        <v>15347</v>
      </c>
      <c r="BF869" t="str">
        <f>HYPERLINK("http://dx.doi.org/10.3189/002214309788608705","http://dx.doi.org/10.3189/002214309788608705")</f>
        <v>http://dx.doi.org/10.3189/002214309788608705</v>
      </c>
      <c r="BG869" t="s">
        <v>74</v>
      </c>
      <c r="BH869" t="s">
        <v>74</v>
      </c>
      <c r="BI869">
        <v>13</v>
      </c>
      <c r="BJ869" t="s">
        <v>312</v>
      </c>
      <c r="BK869" t="s">
        <v>100</v>
      </c>
      <c r="BL869" t="s">
        <v>313</v>
      </c>
      <c r="BM869" t="s">
        <v>15331</v>
      </c>
      <c r="BN869" t="s">
        <v>74</v>
      </c>
      <c r="BO869" t="s">
        <v>499</v>
      </c>
      <c r="BP869" t="s">
        <v>74</v>
      </c>
      <c r="BQ869" t="s">
        <v>74</v>
      </c>
      <c r="BR869" t="s">
        <v>103</v>
      </c>
      <c r="BS869" t="s">
        <v>15348</v>
      </c>
      <c r="BT869" t="str">
        <f>HYPERLINK("https%3A%2F%2Fwww.webofscience.com%2Fwos%2Fwoscc%2Ffull-record%2FWOS:000273676500006","View Full Record in Web of Science")</f>
        <v>View Full Record in Web of Science</v>
      </c>
    </row>
    <row r="870" spans="1:72" x14ac:dyDescent="0.15">
      <c r="A870" t="s">
        <v>72</v>
      </c>
      <c r="B870" t="s">
        <v>15349</v>
      </c>
      <c r="C870" t="s">
        <v>74</v>
      </c>
      <c r="D870" t="s">
        <v>74</v>
      </c>
      <c r="E870" t="s">
        <v>74</v>
      </c>
      <c r="F870" t="s">
        <v>15350</v>
      </c>
      <c r="G870" t="s">
        <v>74</v>
      </c>
      <c r="H870" t="s">
        <v>74</v>
      </c>
      <c r="I870" t="s">
        <v>15351</v>
      </c>
      <c r="J870" t="s">
        <v>15301</v>
      </c>
      <c r="K870" t="s">
        <v>74</v>
      </c>
      <c r="L870" t="s">
        <v>74</v>
      </c>
      <c r="M870" t="s">
        <v>78</v>
      </c>
      <c r="N870" t="s">
        <v>79</v>
      </c>
      <c r="O870" t="s">
        <v>74</v>
      </c>
      <c r="P870" t="s">
        <v>74</v>
      </c>
      <c r="Q870" t="s">
        <v>74</v>
      </c>
      <c r="R870" t="s">
        <v>74</v>
      </c>
      <c r="S870" t="s">
        <v>74</v>
      </c>
      <c r="T870" t="s">
        <v>74</v>
      </c>
      <c r="U870" t="s">
        <v>15352</v>
      </c>
      <c r="V870" t="s">
        <v>15353</v>
      </c>
      <c r="W870" t="s">
        <v>15354</v>
      </c>
      <c r="X870" t="s">
        <v>824</v>
      </c>
      <c r="Y870" t="s">
        <v>15355</v>
      </c>
      <c r="Z870" t="s">
        <v>15356</v>
      </c>
      <c r="AA870" t="s">
        <v>15357</v>
      </c>
      <c r="AB870" t="s">
        <v>15358</v>
      </c>
      <c r="AC870" t="s">
        <v>15359</v>
      </c>
      <c r="AD870" t="s">
        <v>15360</v>
      </c>
      <c r="AE870" t="s">
        <v>15361</v>
      </c>
      <c r="AF870" t="s">
        <v>74</v>
      </c>
      <c r="AG870">
        <v>36</v>
      </c>
      <c r="AH870">
        <v>13</v>
      </c>
      <c r="AI870">
        <v>13</v>
      </c>
      <c r="AJ870">
        <v>1</v>
      </c>
      <c r="AK870">
        <v>6</v>
      </c>
      <c r="AL870" t="s">
        <v>3728</v>
      </c>
      <c r="AM870" t="s">
        <v>5833</v>
      </c>
      <c r="AN870" t="s">
        <v>11802</v>
      </c>
      <c r="AO870" t="s">
        <v>15310</v>
      </c>
      <c r="AP870" t="s">
        <v>15311</v>
      </c>
      <c r="AQ870" t="s">
        <v>74</v>
      </c>
      <c r="AR870" t="s">
        <v>15312</v>
      </c>
      <c r="AS870" t="s">
        <v>15313</v>
      </c>
      <c r="AT870" t="s">
        <v>74</v>
      </c>
      <c r="AU870">
        <v>2009</v>
      </c>
      <c r="AV870">
        <v>55</v>
      </c>
      <c r="AW870">
        <v>190</v>
      </c>
      <c r="AX870" t="s">
        <v>74</v>
      </c>
      <c r="AY870" t="s">
        <v>74</v>
      </c>
      <c r="AZ870" t="s">
        <v>74</v>
      </c>
      <c r="BA870" t="s">
        <v>74</v>
      </c>
      <c r="BB870">
        <v>339</v>
      </c>
      <c r="BC870">
        <v>344</v>
      </c>
      <c r="BD870" t="s">
        <v>74</v>
      </c>
      <c r="BE870" t="s">
        <v>15362</v>
      </c>
      <c r="BF870" t="str">
        <f>HYPERLINK("http://dx.doi.org/10.3189/002214309788608697","http://dx.doi.org/10.3189/002214309788608697")</f>
        <v>http://dx.doi.org/10.3189/002214309788608697</v>
      </c>
      <c r="BG870" t="s">
        <v>74</v>
      </c>
      <c r="BH870" t="s">
        <v>74</v>
      </c>
      <c r="BI870">
        <v>6</v>
      </c>
      <c r="BJ870" t="s">
        <v>312</v>
      </c>
      <c r="BK870" t="s">
        <v>100</v>
      </c>
      <c r="BL870" t="s">
        <v>313</v>
      </c>
      <c r="BM870" t="s">
        <v>15331</v>
      </c>
      <c r="BN870" t="s">
        <v>74</v>
      </c>
      <c r="BO870" t="s">
        <v>499</v>
      </c>
      <c r="BP870" t="s">
        <v>74</v>
      </c>
      <c r="BQ870" t="s">
        <v>74</v>
      </c>
      <c r="BR870" t="s">
        <v>103</v>
      </c>
      <c r="BS870" t="s">
        <v>15363</v>
      </c>
      <c r="BT870" t="str">
        <f>HYPERLINK("https%3A%2F%2Fwww.webofscience.com%2Fwos%2Fwoscc%2Ffull-record%2FWOS:000273676500013","View Full Record in Web of Science")</f>
        <v>View Full Record in Web of Science</v>
      </c>
    </row>
    <row r="871" spans="1:72" x14ac:dyDescent="0.15">
      <c r="A871" t="s">
        <v>72</v>
      </c>
      <c r="B871" t="s">
        <v>15364</v>
      </c>
      <c r="C871" t="s">
        <v>74</v>
      </c>
      <c r="D871" t="s">
        <v>74</v>
      </c>
      <c r="E871" t="s">
        <v>74</v>
      </c>
      <c r="F871" t="s">
        <v>15365</v>
      </c>
      <c r="G871" t="s">
        <v>74</v>
      </c>
      <c r="H871" t="s">
        <v>74</v>
      </c>
      <c r="I871" t="s">
        <v>15366</v>
      </c>
      <c r="J871" t="s">
        <v>15301</v>
      </c>
      <c r="K871" t="s">
        <v>74</v>
      </c>
      <c r="L871" t="s">
        <v>74</v>
      </c>
      <c r="M871" t="s">
        <v>78</v>
      </c>
      <c r="N871" t="s">
        <v>79</v>
      </c>
      <c r="O871" t="s">
        <v>74</v>
      </c>
      <c r="P871" t="s">
        <v>74</v>
      </c>
      <c r="Q871" t="s">
        <v>74</v>
      </c>
      <c r="R871" t="s">
        <v>74</v>
      </c>
      <c r="S871" t="s">
        <v>74</v>
      </c>
      <c r="T871" t="s">
        <v>74</v>
      </c>
      <c r="U871" t="s">
        <v>15367</v>
      </c>
      <c r="V871" t="s">
        <v>15368</v>
      </c>
      <c r="W871" t="s">
        <v>15369</v>
      </c>
      <c r="X871" t="s">
        <v>15370</v>
      </c>
      <c r="Y871" t="s">
        <v>15371</v>
      </c>
      <c r="Z871" t="s">
        <v>15372</v>
      </c>
      <c r="AA871" t="s">
        <v>15373</v>
      </c>
      <c r="AB871" t="s">
        <v>15374</v>
      </c>
      <c r="AC871" t="s">
        <v>15375</v>
      </c>
      <c r="AD871" t="s">
        <v>15376</v>
      </c>
      <c r="AE871" t="s">
        <v>15377</v>
      </c>
      <c r="AF871" t="s">
        <v>74</v>
      </c>
      <c r="AG871">
        <v>38</v>
      </c>
      <c r="AH871">
        <v>3</v>
      </c>
      <c r="AI871">
        <v>4</v>
      </c>
      <c r="AJ871">
        <v>0</v>
      </c>
      <c r="AK871">
        <v>9</v>
      </c>
      <c r="AL871" t="s">
        <v>3728</v>
      </c>
      <c r="AM871" t="s">
        <v>5833</v>
      </c>
      <c r="AN871" t="s">
        <v>11802</v>
      </c>
      <c r="AO871" t="s">
        <v>15310</v>
      </c>
      <c r="AP871" t="s">
        <v>15311</v>
      </c>
      <c r="AQ871" t="s">
        <v>74</v>
      </c>
      <c r="AR871" t="s">
        <v>15312</v>
      </c>
      <c r="AS871" t="s">
        <v>15313</v>
      </c>
      <c r="AT871" t="s">
        <v>74</v>
      </c>
      <c r="AU871">
        <v>2009</v>
      </c>
      <c r="AV871">
        <v>55</v>
      </c>
      <c r="AW871">
        <v>190</v>
      </c>
      <c r="AX871" t="s">
        <v>74</v>
      </c>
      <c r="AY871" t="s">
        <v>74</v>
      </c>
      <c r="AZ871" t="s">
        <v>74</v>
      </c>
      <c r="BA871" t="s">
        <v>74</v>
      </c>
      <c r="BB871">
        <v>363</v>
      </c>
      <c r="BC871">
        <v>372</v>
      </c>
      <c r="BD871" t="s">
        <v>74</v>
      </c>
      <c r="BE871" t="s">
        <v>15378</v>
      </c>
      <c r="BF871" t="str">
        <f>HYPERLINK("http://dx.doi.org/10.3189/002214309788608688","http://dx.doi.org/10.3189/002214309788608688")</f>
        <v>http://dx.doi.org/10.3189/002214309788608688</v>
      </c>
      <c r="BG871" t="s">
        <v>74</v>
      </c>
      <c r="BH871" t="s">
        <v>74</v>
      </c>
      <c r="BI871">
        <v>10</v>
      </c>
      <c r="BJ871" t="s">
        <v>312</v>
      </c>
      <c r="BK871" t="s">
        <v>100</v>
      </c>
      <c r="BL871" t="s">
        <v>313</v>
      </c>
      <c r="BM871" t="s">
        <v>15331</v>
      </c>
      <c r="BN871" t="s">
        <v>74</v>
      </c>
      <c r="BO871" t="s">
        <v>499</v>
      </c>
      <c r="BP871" t="s">
        <v>74</v>
      </c>
      <c r="BQ871" t="s">
        <v>74</v>
      </c>
      <c r="BR871" t="s">
        <v>103</v>
      </c>
      <c r="BS871" t="s">
        <v>15379</v>
      </c>
      <c r="BT871" t="str">
        <f>HYPERLINK("https%3A%2F%2Fwww.webofscience.com%2Fwos%2Fwoscc%2Ffull-record%2FWOS:000273676500016","View Full Record in Web of Science")</f>
        <v>View Full Record in Web of Science</v>
      </c>
    </row>
    <row r="872" spans="1:72" x14ac:dyDescent="0.15">
      <c r="A872" t="s">
        <v>72</v>
      </c>
      <c r="B872" t="s">
        <v>15380</v>
      </c>
      <c r="C872" t="s">
        <v>74</v>
      </c>
      <c r="D872" t="s">
        <v>74</v>
      </c>
      <c r="E872" t="s">
        <v>74</v>
      </c>
      <c r="F872" t="s">
        <v>15381</v>
      </c>
      <c r="G872" t="s">
        <v>74</v>
      </c>
      <c r="H872" t="s">
        <v>74</v>
      </c>
      <c r="I872" t="s">
        <v>15382</v>
      </c>
      <c r="J872" t="s">
        <v>15301</v>
      </c>
      <c r="K872" t="s">
        <v>74</v>
      </c>
      <c r="L872" t="s">
        <v>74</v>
      </c>
      <c r="M872" t="s">
        <v>78</v>
      </c>
      <c r="N872" t="s">
        <v>79</v>
      </c>
      <c r="O872" t="s">
        <v>74</v>
      </c>
      <c r="P872" t="s">
        <v>74</v>
      </c>
      <c r="Q872" t="s">
        <v>74</v>
      </c>
      <c r="R872" t="s">
        <v>74</v>
      </c>
      <c r="S872" t="s">
        <v>74</v>
      </c>
      <c r="T872" t="s">
        <v>74</v>
      </c>
      <c r="U872" t="s">
        <v>15383</v>
      </c>
      <c r="V872" t="s">
        <v>15384</v>
      </c>
      <c r="W872" t="s">
        <v>15385</v>
      </c>
      <c r="X872" t="s">
        <v>15386</v>
      </c>
      <c r="Y872" t="s">
        <v>15387</v>
      </c>
      <c r="Z872" t="s">
        <v>15388</v>
      </c>
      <c r="AA872" t="s">
        <v>15389</v>
      </c>
      <c r="AB872" t="s">
        <v>15390</v>
      </c>
      <c r="AC872" t="s">
        <v>15391</v>
      </c>
      <c r="AD872" t="s">
        <v>15392</v>
      </c>
      <c r="AE872" t="s">
        <v>15393</v>
      </c>
      <c r="AF872" t="s">
        <v>74</v>
      </c>
      <c r="AG872">
        <v>65</v>
      </c>
      <c r="AH872">
        <v>75</v>
      </c>
      <c r="AI872">
        <v>79</v>
      </c>
      <c r="AJ872">
        <v>1</v>
      </c>
      <c r="AK872">
        <v>32</v>
      </c>
      <c r="AL872" t="s">
        <v>3728</v>
      </c>
      <c r="AM872" t="s">
        <v>5833</v>
      </c>
      <c r="AN872" t="s">
        <v>11802</v>
      </c>
      <c r="AO872" t="s">
        <v>15310</v>
      </c>
      <c r="AP872" t="s">
        <v>15311</v>
      </c>
      <c r="AQ872" t="s">
        <v>74</v>
      </c>
      <c r="AR872" t="s">
        <v>15312</v>
      </c>
      <c r="AS872" t="s">
        <v>15313</v>
      </c>
      <c r="AT872" t="s">
        <v>74</v>
      </c>
      <c r="AU872">
        <v>2009</v>
      </c>
      <c r="AV872">
        <v>55</v>
      </c>
      <c r="AW872">
        <v>191</v>
      </c>
      <c r="AX872" t="s">
        <v>74</v>
      </c>
      <c r="AY872" t="s">
        <v>74</v>
      </c>
      <c r="AZ872" t="s">
        <v>74</v>
      </c>
      <c r="BA872" t="s">
        <v>74</v>
      </c>
      <c r="BB872">
        <v>400</v>
      </c>
      <c r="BC872">
        <v>410</v>
      </c>
      <c r="BD872" t="s">
        <v>74</v>
      </c>
      <c r="BE872" t="s">
        <v>15394</v>
      </c>
      <c r="BF872" t="str">
        <f>HYPERLINK("http://dx.doi.org/10.3189/002214309788816597","http://dx.doi.org/10.3189/002214309788816597")</f>
        <v>http://dx.doi.org/10.3189/002214309788816597</v>
      </c>
      <c r="BG872" t="s">
        <v>74</v>
      </c>
      <c r="BH872" t="s">
        <v>74</v>
      </c>
      <c r="BI872">
        <v>11</v>
      </c>
      <c r="BJ872" t="s">
        <v>312</v>
      </c>
      <c r="BK872" t="s">
        <v>100</v>
      </c>
      <c r="BL872" t="s">
        <v>313</v>
      </c>
      <c r="BM872" t="s">
        <v>15395</v>
      </c>
      <c r="BN872" t="s">
        <v>74</v>
      </c>
      <c r="BO872" t="s">
        <v>1036</v>
      </c>
      <c r="BP872" t="s">
        <v>74</v>
      </c>
      <c r="BQ872" t="s">
        <v>74</v>
      </c>
      <c r="BR872" t="s">
        <v>103</v>
      </c>
      <c r="BS872" t="s">
        <v>15396</v>
      </c>
      <c r="BT872" t="str">
        <f>HYPERLINK("https%3A%2F%2Fwww.webofscience.com%2Fwos%2Fwoscc%2Ffull-record%2FWOS:000268939900002","View Full Record in Web of Science")</f>
        <v>View Full Record in Web of Science</v>
      </c>
    </row>
    <row r="873" spans="1:72" x14ac:dyDescent="0.15">
      <c r="A873" t="s">
        <v>72</v>
      </c>
      <c r="B873" t="s">
        <v>15397</v>
      </c>
      <c r="C873" t="s">
        <v>74</v>
      </c>
      <c r="D873" t="s">
        <v>74</v>
      </c>
      <c r="E873" t="s">
        <v>74</v>
      </c>
      <c r="F873" t="s">
        <v>15398</v>
      </c>
      <c r="G873" t="s">
        <v>74</v>
      </c>
      <c r="H873" t="s">
        <v>74</v>
      </c>
      <c r="I873" t="s">
        <v>15399</v>
      </c>
      <c r="J873" t="s">
        <v>15301</v>
      </c>
      <c r="K873" t="s">
        <v>74</v>
      </c>
      <c r="L873" t="s">
        <v>74</v>
      </c>
      <c r="M873" t="s">
        <v>78</v>
      </c>
      <c r="N873" t="s">
        <v>79</v>
      </c>
      <c r="O873" t="s">
        <v>74</v>
      </c>
      <c r="P873" t="s">
        <v>74</v>
      </c>
      <c r="Q873" t="s">
        <v>74</v>
      </c>
      <c r="R873" t="s">
        <v>74</v>
      </c>
      <c r="S873" t="s">
        <v>74</v>
      </c>
      <c r="T873" t="s">
        <v>74</v>
      </c>
      <c r="U873" t="s">
        <v>15400</v>
      </c>
      <c r="V873" t="s">
        <v>15401</v>
      </c>
      <c r="W873" t="s">
        <v>15402</v>
      </c>
      <c r="X873" t="s">
        <v>15403</v>
      </c>
      <c r="Y873" t="s">
        <v>15404</v>
      </c>
      <c r="Z873" t="s">
        <v>15405</v>
      </c>
      <c r="AA873" t="s">
        <v>15406</v>
      </c>
      <c r="AB873" t="s">
        <v>74</v>
      </c>
      <c r="AC873" t="s">
        <v>15407</v>
      </c>
      <c r="AD873" t="s">
        <v>15408</v>
      </c>
      <c r="AE873" t="s">
        <v>15409</v>
      </c>
      <c r="AF873" t="s">
        <v>74</v>
      </c>
      <c r="AG873">
        <v>42</v>
      </c>
      <c r="AH873">
        <v>27</v>
      </c>
      <c r="AI873">
        <v>30</v>
      </c>
      <c r="AJ873">
        <v>0</v>
      </c>
      <c r="AK873">
        <v>16</v>
      </c>
      <c r="AL873" t="s">
        <v>3728</v>
      </c>
      <c r="AM873" t="s">
        <v>5833</v>
      </c>
      <c r="AN873" t="s">
        <v>11802</v>
      </c>
      <c r="AO873" t="s">
        <v>15310</v>
      </c>
      <c r="AP873" t="s">
        <v>15311</v>
      </c>
      <c r="AQ873" t="s">
        <v>74</v>
      </c>
      <c r="AR873" t="s">
        <v>15312</v>
      </c>
      <c r="AS873" t="s">
        <v>15313</v>
      </c>
      <c r="AT873" t="s">
        <v>74</v>
      </c>
      <c r="AU873">
        <v>2009</v>
      </c>
      <c r="AV873">
        <v>55</v>
      </c>
      <c r="AW873">
        <v>191</v>
      </c>
      <c r="AX873" t="s">
        <v>74</v>
      </c>
      <c r="AY873" t="s">
        <v>74</v>
      </c>
      <c r="AZ873" t="s">
        <v>74</v>
      </c>
      <c r="BA873" t="s">
        <v>74</v>
      </c>
      <c r="BB873">
        <v>499</v>
      </c>
      <c r="BC873">
        <v>506</v>
      </c>
      <c r="BD873" t="s">
        <v>74</v>
      </c>
      <c r="BE873" t="s">
        <v>15410</v>
      </c>
      <c r="BF873" t="str">
        <f>HYPERLINK("http://dx.doi.org/10.3189/002214309788816731","http://dx.doi.org/10.3189/002214309788816731")</f>
        <v>http://dx.doi.org/10.3189/002214309788816731</v>
      </c>
      <c r="BG873" t="s">
        <v>74</v>
      </c>
      <c r="BH873" t="s">
        <v>74</v>
      </c>
      <c r="BI873">
        <v>8</v>
      </c>
      <c r="BJ873" t="s">
        <v>312</v>
      </c>
      <c r="BK873" t="s">
        <v>100</v>
      </c>
      <c r="BL873" t="s">
        <v>313</v>
      </c>
      <c r="BM873" t="s">
        <v>15395</v>
      </c>
      <c r="BN873" t="s">
        <v>74</v>
      </c>
      <c r="BO873" t="s">
        <v>499</v>
      </c>
      <c r="BP873" t="s">
        <v>74</v>
      </c>
      <c r="BQ873" t="s">
        <v>74</v>
      </c>
      <c r="BR873" t="s">
        <v>103</v>
      </c>
      <c r="BS873" t="s">
        <v>15411</v>
      </c>
      <c r="BT873" t="str">
        <f>HYPERLINK("https%3A%2F%2Fwww.webofscience.com%2Fwos%2Fwoscc%2Ffull-record%2FWOS:000268939900012","View Full Record in Web of Science")</f>
        <v>View Full Record in Web of Science</v>
      </c>
    </row>
    <row r="874" spans="1:72" x14ac:dyDescent="0.15">
      <c r="A874" t="s">
        <v>72</v>
      </c>
      <c r="B874" t="s">
        <v>15412</v>
      </c>
      <c r="C874" t="s">
        <v>74</v>
      </c>
      <c r="D874" t="s">
        <v>74</v>
      </c>
      <c r="E874" t="s">
        <v>74</v>
      </c>
      <c r="F874" t="s">
        <v>15413</v>
      </c>
      <c r="G874" t="s">
        <v>74</v>
      </c>
      <c r="H874" t="s">
        <v>74</v>
      </c>
      <c r="I874" t="s">
        <v>15414</v>
      </c>
      <c r="J874" t="s">
        <v>15301</v>
      </c>
      <c r="K874" t="s">
        <v>74</v>
      </c>
      <c r="L874" t="s">
        <v>74</v>
      </c>
      <c r="M874" t="s">
        <v>78</v>
      </c>
      <c r="N874" t="s">
        <v>79</v>
      </c>
      <c r="O874" t="s">
        <v>74</v>
      </c>
      <c r="P874" t="s">
        <v>74</v>
      </c>
      <c r="Q874" t="s">
        <v>74</v>
      </c>
      <c r="R874" t="s">
        <v>74</v>
      </c>
      <c r="S874" t="s">
        <v>74</v>
      </c>
      <c r="T874" t="s">
        <v>74</v>
      </c>
      <c r="U874" t="s">
        <v>15415</v>
      </c>
      <c r="V874" t="s">
        <v>15416</v>
      </c>
      <c r="W874" t="s">
        <v>15417</v>
      </c>
      <c r="X874" t="s">
        <v>11812</v>
      </c>
      <c r="Y874" t="s">
        <v>15418</v>
      </c>
      <c r="Z874" t="s">
        <v>15419</v>
      </c>
      <c r="AA874" t="s">
        <v>15420</v>
      </c>
      <c r="AB874" t="s">
        <v>15421</v>
      </c>
      <c r="AC874" t="s">
        <v>15422</v>
      </c>
      <c r="AD874" t="s">
        <v>15422</v>
      </c>
      <c r="AE874" t="s">
        <v>15423</v>
      </c>
      <c r="AF874" t="s">
        <v>74</v>
      </c>
      <c r="AG874">
        <v>69</v>
      </c>
      <c r="AH874">
        <v>50</v>
      </c>
      <c r="AI874">
        <v>54</v>
      </c>
      <c r="AJ874">
        <v>0</v>
      </c>
      <c r="AK874">
        <v>11</v>
      </c>
      <c r="AL874" t="s">
        <v>3728</v>
      </c>
      <c r="AM874" t="s">
        <v>5833</v>
      </c>
      <c r="AN874" t="s">
        <v>11802</v>
      </c>
      <c r="AO874" t="s">
        <v>15310</v>
      </c>
      <c r="AP874" t="s">
        <v>15311</v>
      </c>
      <c r="AQ874" t="s">
        <v>74</v>
      </c>
      <c r="AR874" t="s">
        <v>15312</v>
      </c>
      <c r="AS874" t="s">
        <v>15313</v>
      </c>
      <c r="AT874" t="s">
        <v>74</v>
      </c>
      <c r="AU874">
        <v>2009</v>
      </c>
      <c r="AV874">
        <v>55</v>
      </c>
      <c r="AW874">
        <v>191</v>
      </c>
      <c r="AX874" t="s">
        <v>74</v>
      </c>
      <c r="AY874" t="s">
        <v>74</v>
      </c>
      <c r="AZ874" t="s">
        <v>74</v>
      </c>
      <c r="BA874" t="s">
        <v>74</v>
      </c>
      <c r="BB874">
        <v>537</v>
      </c>
      <c r="BC874">
        <v>551</v>
      </c>
      <c r="BD874" t="s">
        <v>74</v>
      </c>
      <c r="BE874" t="s">
        <v>15424</v>
      </c>
      <c r="BF874" t="str">
        <f>HYPERLINK("http://dx.doi.org/10.3189/002214309788816678","http://dx.doi.org/10.3189/002214309788816678")</f>
        <v>http://dx.doi.org/10.3189/002214309788816678</v>
      </c>
      <c r="BG874" t="s">
        <v>74</v>
      </c>
      <c r="BH874" t="s">
        <v>74</v>
      </c>
      <c r="BI874">
        <v>15</v>
      </c>
      <c r="BJ874" t="s">
        <v>312</v>
      </c>
      <c r="BK874" t="s">
        <v>100</v>
      </c>
      <c r="BL874" t="s">
        <v>313</v>
      </c>
      <c r="BM874" t="s">
        <v>15395</v>
      </c>
      <c r="BN874" t="s">
        <v>74</v>
      </c>
      <c r="BO874" t="s">
        <v>1036</v>
      </c>
      <c r="BP874" t="s">
        <v>74</v>
      </c>
      <c r="BQ874" t="s">
        <v>74</v>
      </c>
      <c r="BR874" t="s">
        <v>103</v>
      </c>
      <c r="BS874" t="s">
        <v>15425</v>
      </c>
      <c r="BT874" t="str">
        <f>HYPERLINK("https%3A%2F%2Fwww.webofscience.com%2Fwos%2Fwoscc%2Ffull-record%2FWOS:000268939900016","View Full Record in Web of Science")</f>
        <v>View Full Record in Web of Science</v>
      </c>
    </row>
    <row r="875" spans="1:72" x14ac:dyDescent="0.15">
      <c r="A875" t="s">
        <v>72</v>
      </c>
      <c r="B875" t="s">
        <v>15426</v>
      </c>
      <c r="C875" t="s">
        <v>74</v>
      </c>
      <c r="D875" t="s">
        <v>74</v>
      </c>
      <c r="E875" t="s">
        <v>74</v>
      </c>
      <c r="F875" t="s">
        <v>15427</v>
      </c>
      <c r="G875" t="s">
        <v>74</v>
      </c>
      <c r="H875" t="s">
        <v>74</v>
      </c>
      <c r="I875" t="s">
        <v>15428</v>
      </c>
      <c r="J875" t="s">
        <v>15301</v>
      </c>
      <c r="K875" t="s">
        <v>74</v>
      </c>
      <c r="L875" t="s">
        <v>74</v>
      </c>
      <c r="M875" t="s">
        <v>78</v>
      </c>
      <c r="N875" t="s">
        <v>79</v>
      </c>
      <c r="O875" t="s">
        <v>74</v>
      </c>
      <c r="P875" t="s">
        <v>74</v>
      </c>
      <c r="Q875" t="s">
        <v>74</v>
      </c>
      <c r="R875" t="s">
        <v>74</v>
      </c>
      <c r="S875" t="s">
        <v>74</v>
      </c>
      <c r="T875" t="s">
        <v>74</v>
      </c>
      <c r="U875" t="s">
        <v>15429</v>
      </c>
      <c r="V875" t="s">
        <v>15430</v>
      </c>
      <c r="W875" t="s">
        <v>15431</v>
      </c>
      <c r="X875" t="s">
        <v>15432</v>
      </c>
      <c r="Y875" t="s">
        <v>15433</v>
      </c>
      <c r="Z875" t="s">
        <v>15434</v>
      </c>
      <c r="AA875" t="s">
        <v>15435</v>
      </c>
      <c r="AB875" t="s">
        <v>15436</v>
      </c>
      <c r="AC875" t="s">
        <v>15437</v>
      </c>
      <c r="AD875" t="s">
        <v>15438</v>
      </c>
      <c r="AE875" t="s">
        <v>15439</v>
      </c>
      <c r="AF875" t="s">
        <v>74</v>
      </c>
      <c r="AG875">
        <v>27</v>
      </c>
      <c r="AH875">
        <v>21</v>
      </c>
      <c r="AI875">
        <v>21</v>
      </c>
      <c r="AJ875">
        <v>2</v>
      </c>
      <c r="AK875">
        <v>19</v>
      </c>
      <c r="AL875" t="s">
        <v>3728</v>
      </c>
      <c r="AM875" t="s">
        <v>5833</v>
      </c>
      <c r="AN875" t="s">
        <v>11802</v>
      </c>
      <c r="AO875" t="s">
        <v>15310</v>
      </c>
      <c r="AP875" t="s">
        <v>15311</v>
      </c>
      <c r="AQ875" t="s">
        <v>74</v>
      </c>
      <c r="AR875" t="s">
        <v>15312</v>
      </c>
      <c r="AS875" t="s">
        <v>15313</v>
      </c>
      <c r="AT875" t="s">
        <v>74</v>
      </c>
      <c r="AU875">
        <v>2009</v>
      </c>
      <c r="AV875">
        <v>55</v>
      </c>
      <c r="AW875">
        <v>191</v>
      </c>
      <c r="AX875" t="s">
        <v>74</v>
      </c>
      <c r="AY875" t="s">
        <v>74</v>
      </c>
      <c r="AZ875" t="s">
        <v>74</v>
      </c>
      <c r="BA875" t="s">
        <v>74</v>
      </c>
      <c r="BB875">
        <v>552</v>
      </c>
      <c r="BC875">
        <v>562</v>
      </c>
      <c r="BD875" t="s">
        <v>74</v>
      </c>
      <c r="BE875" t="s">
        <v>15440</v>
      </c>
      <c r="BF875" t="str">
        <f>HYPERLINK("http://dx.doi.org/10.3189/002214309788816696","http://dx.doi.org/10.3189/002214309788816696")</f>
        <v>http://dx.doi.org/10.3189/002214309788816696</v>
      </c>
      <c r="BG875" t="s">
        <v>74</v>
      </c>
      <c r="BH875" t="s">
        <v>74</v>
      </c>
      <c r="BI875">
        <v>11</v>
      </c>
      <c r="BJ875" t="s">
        <v>312</v>
      </c>
      <c r="BK875" t="s">
        <v>100</v>
      </c>
      <c r="BL875" t="s">
        <v>313</v>
      </c>
      <c r="BM875" t="s">
        <v>15395</v>
      </c>
      <c r="BN875" t="s">
        <v>74</v>
      </c>
      <c r="BO875" t="s">
        <v>1353</v>
      </c>
      <c r="BP875" t="s">
        <v>74</v>
      </c>
      <c r="BQ875" t="s">
        <v>74</v>
      </c>
      <c r="BR875" t="s">
        <v>103</v>
      </c>
      <c r="BS875" t="s">
        <v>15441</v>
      </c>
      <c r="BT875" t="str">
        <f>HYPERLINK("https%3A%2F%2Fwww.webofscience.com%2Fwos%2Fwoscc%2Ffull-record%2FWOS:000268939900017","View Full Record in Web of Science")</f>
        <v>View Full Record in Web of Science</v>
      </c>
    </row>
    <row r="876" spans="1:72" x14ac:dyDescent="0.15">
      <c r="A876" t="s">
        <v>72</v>
      </c>
      <c r="B876" t="s">
        <v>15442</v>
      </c>
      <c r="C876" t="s">
        <v>74</v>
      </c>
      <c r="D876" t="s">
        <v>74</v>
      </c>
      <c r="E876" t="s">
        <v>74</v>
      </c>
      <c r="F876" t="s">
        <v>15443</v>
      </c>
      <c r="G876" t="s">
        <v>74</v>
      </c>
      <c r="H876" t="s">
        <v>74</v>
      </c>
      <c r="I876" t="s">
        <v>15444</v>
      </c>
      <c r="J876" t="s">
        <v>15301</v>
      </c>
      <c r="K876" t="s">
        <v>74</v>
      </c>
      <c r="L876" t="s">
        <v>74</v>
      </c>
      <c r="M876" t="s">
        <v>78</v>
      </c>
      <c r="N876" t="s">
        <v>79</v>
      </c>
      <c r="O876" t="s">
        <v>74</v>
      </c>
      <c r="P876" t="s">
        <v>74</v>
      </c>
      <c r="Q876" t="s">
        <v>74</v>
      </c>
      <c r="R876" t="s">
        <v>74</v>
      </c>
      <c r="S876" t="s">
        <v>74</v>
      </c>
      <c r="T876" t="s">
        <v>74</v>
      </c>
      <c r="U876" t="s">
        <v>15445</v>
      </c>
      <c r="V876" t="s">
        <v>15446</v>
      </c>
      <c r="W876" t="s">
        <v>15447</v>
      </c>
      <c r="X876" t="s">
        <v>15448</v>
      </c>
      <c r="Y876" t="s">
        <v>15449</v>
      </c>
      <c r="Z876" t="s">
        <v>15450</v>
      </c>
      <c r="AA876" t="s">
        <v>15451</v>
      </c>
      <c r="AB876" t="s">
        <v>15452</v>
      </c>
      <c r="AC876" t="s">
        <v>15453</v>
      </c>
      <c r="AD876" t="s">
        <v>15454</v>
      </c>
      <c r="AE876" t="s">
        <v>15455</v>
      </c>
      <c r="AF876" t="s">
        <v>74</v>
      </c>
      <c r="AG876">
        <v>55</v>
      </c>
      <c r="AH876">
        <v>259</v>
      </c>
      <c r="AI876">
        <v>295</v>
      </c>
      <c r="AJ876">
        <v>1</v>
      </c>
      <c r="AK876">
        <v>69</v>
      </c>
      <c r="AL876" t="s">
        <v>3728</v>
      </c>
      <c r="AM876" t="s">
        <v>5833</v>
      </c>
      <c r="AN876" t="s">
        <v>11802</v>
      </c>
      <c r="AO876" t="s">
        <v>15310</v>
      </c>
      <c r="AP876" t="s">
        <v>15311</v>
      </c>
      <c r="AQ876" t="s">
        <v>74</v>
      </c>
      <c r="AR876" t="s">
        <v>15312</v>
      </c>
      <c r="AS876" t="s">
        <v>15313</v>
      </c>
      <c r="AT876" t="s">
        <v>74</v>
      </c>
      <c r="AU876">
        <v>2009</v>
      </c>
      <c r="AV876">
        <v>55</v>
      </c>
      <c r="AW876">
        <v>192</v>
      </c>
      <c r="AX876" t="s">
        <v>74</v>
      </c>
      <c r="AY876" t="s">
        <v>74</v>
      </c>
      <c r="AZ876" t="s">
        <v>74</v>
      </c>
      <c r="BA876" t="s">
        <v>74</v>
      </c>
      <c r="BB876">
        <v>573</v>
      </c>
      <c r="BC876">
        <v>595</v>
      </c>
      <c r="BD876" t="s">
        <v>74</v>
      </c>
      <c r="BE876" t="s">
        <v>15456</v>
      </c>
      <c r="BF876" t="str">
        <f>HYPERLINK("http://dx.doi.org/10.3189/002214309789470879","http://dx.doi.org/10.3189/002214309789470879")</f>
        <v>http://dx.doi.org/10.3189/002214309789470879</v>
      </c>
      <c r="BG876" t="s">
        <v>74</v>
      </c>
      <c r="BH876" t="s">
        <v>74</v>
      </c>
      <c r="BI876">
        <v>23</v>
      </c>
      <c r="BJ876" t="s">
        <v>312</v>
      </c>
      <c r="BK876" t="s">
        <v>100</v>
      </c>
      <c r="BL876" t="s">
        <v>313</v>
      </c>
      <c r="BM876" t="s">
        <v>15457</v>
      </c>
      <c r="BN876" t="s">
        <v>74</v>
      </c>
      <c r="BO876" t="s">
        <v>499</v>
      </c>
      <c r="BP876" t="s">
        <v>74</v>
      </c>
      <c r="BQ876" t="s">
        <v>74</v>
      </c>
      <c r="BR876" t="s">
        <v>103</v>
      </c>
      <c r="BS876" t="s">
        <v>15458</v>
      </c>
      <c r="BT876" t="str">
        <f>HYPERLINK("https%3A%2F%2Fwww.webofscience.com%2Fwos%2Fwoscc%2Ffull-record%2FWOS:000270415200001","View Full Record in Web of Science")</f>
        <v>View Full Record in Web of Science</v>
      </c>
    </row>
    <row r="877" spans="1:72" x14ac:dyDescent="0.15">
      <c r="A877" t="s">
        <v>72</v>
      </c>
      <c r="B877" t="s">
        <v>15459</v>
      </c>
      <c r="C877" t="s">
        <v>74</v>
      </c>
      <c r="D877" t="s">
        <v>74</v>
      </c>
      <c r="E877" t="s">
        <v>74</v>
      </c>
      <c r="F877" t="s">
        <v>15460</v>
      </c>
      <c r="G877" t="s">
        <v>74</v>
      </c>
      <c r="H877" t="s">
        <v>74</v>
      </c>
      <c r="I877" t="s">
        <v>15461</v>
      </c>
      <c r="J877" t="s">
        <v>15301</v>
      </c>
      <c r="K877" t="s">
        <v>74</v>
      </c>
      <c r="L877" t="s">
        <v>74</v>
      </c>
      <c r="M877" t="s">
        <v>78</v>
      </c>
      <c r="N877" t="s">
        <v>79</v>
      </c>
      <c r="O877" t="s">
        <v>74</v>
      </c>
      <c r="P877" t="s">
        <v>74</v>
      </c>
      <c r="Q877" t="s">
        <v>74</v>
      </c>
      <c r="R877" t="s">
        <v>74</v>
      </c>
      <c r="S877" t="s">
        <v>74</v>
      </c>
      <c r="T877" t="s">
        <v>74</v>
      </c>
      <c r="U877" t="s">
        <v>15462</v>
      </c>
      <c r="V877" t="s">
        <v>15463</v>
      </c>
      <c r="W877" t="s">
        <v>15464</v>
      </c>
      <c r="X877" t="s">
        <v>15465</v>
      </c>
      <c r="Y877" t="s">
        <v>15466</v>
      </c>
      <c r="Z877" t="s">
        <v>15467</v>
      </c>
      <c r="AA877" t="s">
        <v>15468</v>
      </c>
      <c r="AB877" t="s">
        <v>15469</v>
      </c>
      <c r="AC877" t="s">
        <v>15470</v>
      </c>
      <c r="AD877" t="s">
        <v>15471</v>
      </c>
      <c r="AE877" t="s">
        <v>15472</v>
      </c>
      <c r="AF877" t="s">
        <v>74</v>
      </c>
      <c r="AG877">
        <v>49</v>
      </c>
      <c r="AH877">
        <v>83</v>
      </c>
      <c r="AI877">
        <v>88</v>
      </c>
      <c r="AJ877">
        <v>1</v>
      </c>
      <c r="AK877">
        <v>12</v>
      </c>
      <c r="AL877" t="s">
        <v>3728</v>
      </c>
      <c r="AM877" t="s">
        <v>5833</v>
      </c>
      <c r="AN877" t="s">
        <v>11802</v>
      </c>
      <c r="AO877" t="s">
        <v>15310</v>
      </c>
      <c r="AP877" t="s">
        <v>15311</v>
      </c>
      <c r="AQ877" t="s">
        <v>74</v>
      </c>
      <c r="AR877" t="s">
        <v>15312</v>
      </c>
      <c r="AS877" t="s">
        <v>15313</v>
      </c>
      <c r="AT877" t="s">
        <v>74</v>
      </c>
      <c r="AU877">
        <v>2009</v>
      </c>
      <c r="AV877">
        <v>55</v>
      </c>
      <c r="AW877">
        <v>192</v>
      </c>
      <c r="AX877" t="s">
        <v>74</v>
      </c>
      <c r="AY877" t="s">
        <v>74</v>
      </c>
      <c r="AZ877" t="s">
        <v>74</v>
      </c>
      <c r="BA877" t="s">
        <v>74</v>
      </c>
      <c r="BB877">
        <v>717</v>
      </c>
      <c r="BC877">
        <v>728</v>
      </c>
      <c r="BD877" t="s">
        <v>74</v>
      </c>
      <c r="BE877" t="s">
        <v>15473</v>
      </c>
      <c r="BF877" t="str">
        <f>HYPERLINK("http://dx.doi.org/10.3189/002214309789470941","http://dx.doi.org/10.3189/002214309789470941")</f>
        <v>http://dx.doi.org/10.3189/002214309789470941</v>
      </c>
      <c r="BG877" t="s">
        <v>74</v>
      </c>
      <c r="BH877" t="s">
        <v>74</v>
      </c>
      <c r="BI877">
        <v>12</v>
      </c>
      <c r="BJ877" t="s">
        <v>312</v>
      </c>
      <c r="BK877" t="s">
        <v>100</v>
      </c>
      <c r="BL877" t="s">
        <v>313</v>
      </c>
      <c r="BM877" t="s">
        <v>15457</v>
      </c>
      <c r="BN877" t="s">
        <v>74</v>
      </c>
      <c r="BO877" t="s">
        <v>15474</v>
      </c>
      <c r="BP877" t="s">
        <v>74</v>
      </c>
      <c r="BQ877" t="s">
        <v>74</v>
      </c>
      <c r="BR877" t="s">
        <v>103</v>
      </c>
      <c r="BS877" t="s">
        <v>15475</v>
      </c>
      <c r="BT877" t="str">
        <f>HYPERLINK("https%3A%2F%2Fwww.webofscience.com%2Fwos%2Fwoscc%2Ffull-record%2FWOS:000270415200014","View Full Record in Web of Science")</f>
        <v>View Full Record in Web of Science</v>
      </c>
    </row>
    <row r="878" spans="1:72" x14ac:dyDescent="0.15">
      <c r="A878" t="s">
        <v>72</v>
      </c>
      <c r="B878" t="s">
        <v>15476</v>
      </c>
      <c r="C878" t="s">
        <v>74</v>
      </c>
      <c r="D878" t="s">
        <v>74</v>
      </c>
      <c r="E878" t="s">
        <v>74</v>
      </c>
      <c r="F878" t="s">
        <v>15477</v>
      </c>
      <c r="G878" t="s">
        <v>74</v>
      </c>
      <c r="H878" t="s">
        <v>74</v>
      </c>
      <c r="I878" t="s">
        <v>15478</v>
      </c>
      <c r="J878" t="s">
        <v>15301</v>
      </c>
      <c r="K878" t="s">
        <v>74</v>
      </c>
      <c r="L878" t="s">
        <v>74</v>
      </c>
      <c r="M878" t="s">
        <v>78</v>
      </c>
      <c r="N878" t="s">
        <v>79</v>
      </c>
      <c r="O878" t="s">
        <v>74</v>
      </c>
      <c r="P878" t="s">
        <v>74</v>
      </c>
      <c r="Q878" t="s">
        <v>74</v>
      </c>
      <c r="R878" t="s">
        <v>74</v>
      </c>
      <c r="S878" t="s">
        <v>74</v>
      </c>
      <c r="T878" t="s">
        <v>74</v>
      </c>
      <c r="U878" t="s">
        <v>15479</v>
      </c>
      <c r="V878" t="s">
        <v>15480</v>
      </c>
      <c r="W878" t="s">
        <v>15481</v>
      </c>
      <c r="X878" t="s">
        <v>9357</v>
      </c>
      <c r="Y878" t="s">
        <v>15482</v>
      </c>
      <c r="Z878" t="s">
        <v>15483</v>
      </c>
      <c r="AA878" t="s">
        <v>15484</v>
      </c>
      <c r="AB878" t="s">
        <v>15485</v>
      </c>
      <c r="AC878" t="s">
        <v>15486</v>
      </c>
      <c r="AD878" t="s">
        <v>15487</v>
      </c>
      <c r="AE878" t="s">
        <v>15488</v>
      </c>
      <c r="AF878" t="s">
        <v>74</v>
      </c>
      <c r="AG878">
        <v>31</v>
      </c>
      <c r="AH878">
        <v>9</v>
      </c>
      <c r="AI878">
        <v>13</v>
      </c>
      <c r="AJ878">
        <v>1</v>
      </c>
      <c r="AK878">
        <v>26</v>
      </c>
      <c r="AL878" t="s">
        <v>11772</v>
      </c>
      <c r="AM878" t="s">
        <v>5833</v>
      </c>
      <c r="AN878" t="s">
        <v>11773</v>
      </c>
      <c r="AO878" t="s">
        <v>15310</v>
      </c>
      <c r="AP878" t="s">
        <v>74</v>
      </c>
      <c r="AQ878" t="s">
        <v>74</v>
      </c>
      <c r="AR878" t="s">
        <v>15312</v>
      </c>
      <c r="AS878" t="s">
        <v>15313</v>
      </c>
      <c r="AT878" t="s">
        <v>74</v>
      </c>
      <c r="AU878">
        <v>2009</v>
      </c>
      <c r="AV878">
        <v>55</v>
      </c>
      <c r="AW878">
        <v>193</v>
      </c>
      <c r="AX878" t="s">
        <v>74</v>
      </c>
      <c r="AY878" t="s">
        <v>74</v>
      </c>
      <c r="AZ878" t="s">
        <v>74</v>
      </c>
      <c r="BA878" t="s">
        <v>74</v>
      </c>
      <c r="BB878">
        <v>769</v>
      </c>
      <c r="BC878">
        <v>776</v>
      </c>
      <c r="BD878" t="s">
        <v>74</v>
      </c>
      <c r="BE878" t="s">
        <v>15489</v>
      </c>
      <c r="BF878" t="str">
        <f>HYPERLINK("http://dx.doi.org/10.3189/002214309790152546","http://dx.doi.org/10.3189/002214309790152546")</f>
        <v>http://dx.doi.org/10.3189/002214309790152546</v>
      </c>
      <c r="BG878" t="s">
        <v>74</v>
      </c>
      <c r="BH878" t="s">
        <v>74</v>
      </c>
      <c r="BI878">
        <v>8</v>
      </c>
      <c r="BJ878" t="s">
        <v>312</v>
      </c>
      <c r="BK878" t="s">
        <v>100</v>
      </c>
      <c r="BL878" t="s">
        <v>313</v>
      </c>
      <c r="BM878" t="s">
        <v>15490</v>
      </c>
      <c r="BN878" t="s">
        <v>74</v>
      </c>
      <c r="BO878" t="s">
        <v>1036</v>
      </c>
      <c r="BP878" t="s">
        <v>74</v>
      </c>
      <c r="BQ878" t="s">
        <v>74</v>
      </c>
      <c r="BR878" t="s">
        <v>103</v>
      </c>
      <c r="BS878" t="s">
        <v>15491</v>
      </c>
      <c r="BT878" t="str">
        <f>HYPERLINK("https%3A%2F%2Fwww.webofscience.com%2Fwos%2Fwoscc%2Ffull-record%2FWOS:000273676200002","View Full Record in Web of Science")</f>
        <v>View Full Record in Web of Science</v>
      </c>
    </row>
    <row r="879" spans="1:72" x14ac:dyDescent="0.15">
      <c r="A879" t="s">
        <v>72</v>
      </c>
      <c r="B879" t="s">
        <v>15492</v>
      </c>
      <c r="C879" t="s">
        <v>74</v>
      </c>
      <c r="D879" t="s">
        <v>74</v>
      </c>
      <c r="E879" t="s">
        <v>74</v>
      </c>
      <c r="F879" t="s">
        <v>15493</v>
      </c>
      <c r="G879" t="s">
        <v>74</v>
      </c>
      <c r="H879" t="s">
        <v>74</v>
      </c>
      <c r="I879" t="s">
        <v>15494</v>
      </c>
      <c r="J879" t="s">
        <v>15301</v>
      </c>
      <c r="K879" t="s">
        <v>74</v>
      </c>
      <c r="L879" t="s">
        <v>74</v>
      </c>
      <c r="M879" t="s">
        <v>78</v>
      </c>
      <c r="N879" t="s">
        <v>79</v>
      </c>
      <c r="O879" t="s">
        <v>74</v>
      </c>
      <c r="P879" t="s">
        <v>74</v>
      </c>
      <c r="Q879" t="s">
        <v>74</v>
      </c>
      <c r="R879" t="s">
        <v>74</v>
      </c>
      <c r="S879" t="s">
        <v>74</v>
      </c>
      <c r="T879" t="s">
        <v>74</v>
      </c>
      <c r="U879" t="s">
        <v>15495</v>
      </c>
      <c r="V879" t="s">
        <v>15496</v>
      </c>
      <c r="W879" t="s">
        <v>15497</v>
      </c>
      <c r="X879" t="s">
        <v>15498</v>
      </c>
      <c r="Y879" t="s">
        <v>15499</v>
      </c>
      <c r="Z879" t="s">
        <v>15500</v>
      </c>
      <c r="AA879" t="s">
        <v>15501</v>
      </c>
      <c r="AB879" t="s">
        <v>15502</v>
      </c>
      <c r="AC879" t="s">
        <v>15503</v>
      </c>
      <c r="AD879" t="s">
        <v>15504</v>
      </c>
      <c r="AE879" t="s">
        <v>15505</v>
      </c>
      <c r="AF879" t="s">
        <v>74</v>
      </c>
      <c r="AG879">
        <v>10</v>
      </c>
      <c r="AH879">
        <v>10</v>
      </c>
      <c r="AI879">
        <v>10</v>
      </c>
      <c r="AJ879">
        <v>0</v>
      </c>
      <c r="AK879">
        <v>2</v>
      </c>
      <c r="AL879" t="s">
        <v>3728</v>
      </c>
      <c r="AM879" t="s">
        <v>5833</v>
      </c>
      <c r="AN879" t="s">
        <v>11802</v>
      </c>
      <c r="AO879" t="s">
        <v>15310</v>
      </c>
      <c r="AP879" t="s">
        <v>15311</v>
      </c>
      <c r="AQ879" t="s">
        <v>74</v>
      </c>
      <c r="AR879" t="s">
        <v>15312</v>
      </c>
      <c r="AS879" t="s">
        <v>15313</v>
      </c>
      <c r="AT879" t="s">
        <v>74</v>
      </c>
      <c r="AU879">
        <v>2009</v>
      </c>
      <c r="AV879">
        <v>55</v>
      </c>
      <c r="AW879">
        <v>193</v>
      </c>
      <c r="AX879" t="s">
        <v>74</v>
      </c>
      <c r="AY879" t="s">
        <v>74</v>
      </c>
      <c r="AZ879" t="s">
        <v>74</v>
      </c>
      <c r="BA879" t="s">
        <v>74</v>
      </c>
      <c r="BB879">
        <v>784</v>
      </c>
      <c r="BC879">
        <v>788</v>
      </c>
      <c r="BD879" t="s">
        <v>74</v>
      </c>
      <c r="BE879" t="s">
        <v>15506</v>
      </c>
      <c r="BF879" t="str">
        <f>HYPERLINK("http://dx.doi.org/10.3189/002214309790152474","http://dx.doi.org/10.3189/002214309790152474")</f>
        <v>http://dx.doi.org/10.3189/002214309790152474</v>
      </c>
      <c r="BG879" t="s">
        <v>74</v>
      </c>
      <c r="BH879" t="s">
        <v>74</v>
      </c>
      <c r="BI879">
        <v>5</v>
      </c>
      <c r="BJ879" t="s">
        <v>312</v>
      </c>
      <c r="BK879" t="s">
        <v>100</v>
      </c>
      <c r="BL879" t="s">
        <v>313</v>
      </c>
      <c r="BM879" t="s">
        <v>15490</v>
      </c>
      <c r="BN879" t="s">
        <v>74</v>
      </c>
      <c r="BO879" t="s">
        <v>499</v>
      </c>
      <c r="BP879" t="s">
        <v>74</v>
      </c>
      <c r="BQ879" t="s">
        <v>74</v>
      </c>
      <c r="BR879" t="s">
        <v>103</v>
      </c>
      <c r="BS879" t="s">
        <v>15507</v>
      </c>
      <c r="BT879" t="str">
        <f>HYPERLINK("https%3A%2F%2Fwww.webofscience.com%2Fwos%2Fwoscc%2Ffull-record%2FWOS:000273676200004","View Full Record in Web of Science")</f>
        <v>View Full Record in Web of Science</v>
      </c>
    </row>
    <row r="880" spans="1:72" x14ac:dyDescent="0.15">
      <c r="A880" t="s">
        <v>72</v>
      </c>
      <c r="B880" t="s">
        <v>15508</v>
      </c>
      <c r="C880" t="s">
        <v>74</v>
      </c>
      <c r="D880" t="s">
        <v>74</v>
      </c>
      <c r="E880" t="s">
        <v>74</v>
      </c>
      <c r="F880" t="s">
        <v>15509</v>
      </c>
      <c r="G880" t="s">
        <v>74</v>
      </c>
      <c r="H880" t="s">
        <v>74</v>
      </c>
      <c r="I880" t="s">
        <v>15510</v>
      </c>
      <c r="J880" t="s">
        <v>15301</v>
      </c>
      <c r="K880" t="s">
        <v>74</v>
      </c>
      <c r="L880" t="s">
        <v>74</v>
      </c>
      <c r="M880" t="s">
        <v>78</v>
      </c>
      <c r="N880" t="s">
        <v>79</v>
      </c>
      <c r="O880" t="s">
        <v>74</v>
      </c>
      <c r="P880" t="s">
        <v>74</v>
      </c>
      <c r="Q880" t="s">
        <v>74</v>
      </c>
      <c r="R880" t="s">
        <v>74</v>
      </c>
      <c r="S880" t="s">
        <v>74</v>
      </c>
      <c r="T880" t="s">
        <v>74</v>
      </c>
      <c r="U880" t="s">
        <v>15511</v>
      </c>
      <c r="V880" t="s">
        <v>15512</v>
      </c>
      <c r="W880" t="s">
        <v>15513</v>
      </c>
      <c r="X880" t="s">
        <v>15514</v>
      </c>
      <c r="Y880" t="s">
        <v>15515</v>
      </c>
      <c r="Z880" t="s">
        <v>15516</v>
      </c>
      <c r="AA880" t="s">
        <v>15517</v>
      </c>
      <c r="AB880" t="s">
        <v>15518</v>
      </c>
      <c r="AC880" t="s">
        <v>15519</v>
      </c>
      <c r="AD880" t="s">
        <v>15520</v>
      </c>
      <c r="AE880" t="s">
        <v>15521</v>
      </c>
      <c r="AF880" t="s">
        <v>74</v>
      </c>
      <c r="AG880">
        <v>47</v>
      </c>
      <c r="AH880">
        <v>99</v>
      </c>
      <c r="AI880">
        <v>108</v>
      </c>
      <c r="AJ880">
        <v>0</v>
      </c>
      <c r="AK880">
        <v>28</v>
      </c>
      <c r="AL880" t="s">
        <v>3728</v>
      </c>
      <c r="AM880" t="s">
        <v>5833</v>
      </c>
      <c r="AN880" t="s">
        <v>11802</v>
      </c>
      <c r="AO880" t="s">
        <v>15310</v>
      </c>
      <c r="AP880" t="s">
        <v>15311</v>
      </c>
      <c r="AQ880" t="s">
        <v>74</v>
      </c>
      <c r="AR880" t="s">
        <v>15312</v>
      </c>
      <c r="AS880" t="s">
        <v>15313</v>
      </c>
      <c r="AT880" t="s">
        <v>74</v>
      </c>
      <c r="AU880">
        <v>2009</v>
      </c>
      <c r="AV880">
        <v>55</v>
      </c>
      <c r="AW880">
        <v>193</v>
      </c>
      <c r="AX880" t="s">
        <v>74</v>
      </c>
      <c r="AY880" t="s">
        <v>74</v>
      </c>
      <c r="AZ880" t="s">
        <v>74</v>
      </c>
      <c r="BA880" t="s">
        <v>74</v>
      </c>
      <c r="BB880">
        <v>879</v>
      </c>
      <c r="BC880">
        <v>888</v>
      </c>
      <c r="BD880" t="s">
        <v>74</v>
      </c>
      <c r="BE880" t="s">
        <v>15522</v>
      </c>
      <c r="BF880" t="str">
        <f>HYPERLINK("http://dx.doi.org/10.3189/002214309790152564","http://dx.doi.org/10.3189/002214309790152564")</f>
        <v>http://dx.doi.org/10.3189/002214309790152564</v>
      </c>
      <c r="BG880" t="s">
        <v>74</v>
      </c>
      <c r="BH880" t="s">
        <v>74</v>
      </c>
      <c r="BI880">
        <v>10</v>
      </c>
      <c r="BJ880" t="s">
        <v>312</v>
      </c>
      <c r="BK880" t="s">
        <v>100</v>
      </c>
      <c r="BL880" t="s">
        <v>313</v>
      </c>
      <c r="BM880" t="s">
        <v>15490</v>
      </c>
      <c r="BN880" t="s">
        <v>74</v>
      </c>
      <c r="BO880" t="s">
        <v>665</v>
      </c>
      <c r="BP880" t="s">
        <v>74</v>
      </c>
      <c r="BQ880" t="s">
        <v>74</v>
      </c>
      <c r="BR880" t="s">
        <v>103</v>
      </c>
      <c r="BS880" t="s">
        <v>15523</v>
      </c>
      <c r="BT880" t="str">
        <f>HYPERLINK("https%3A%2F%2Fwww.webofscience.com%2Fwos%2Fwoscc%2Ffull-record%2FWOS:000273676200016","View Full Record in Web of Science")</f>
        <v>View Full Record in Web of Science</v>
      </c>
    </row>
    <row r="881" spans="1:72" x14ac:dyDescent="0.15">
      <c r="A881" t="s">
        <v>72</v>
      </c>
      <c r="B881" t="s">
        <v>15524</v>
      </c>
      <c r="C881" t="s">
        <v>74</v>
      </c>
      <c r="D881" t="s">
        <v>74</v>
      </c>
      <c r="E881" t="s">
        <v>74</v>
      </c>
      <c r="F881" t="s">
        <v>15525</v>
      </c>
      <c r="G881" t="s">
        <v>74</v>
      </c>
      <c r="H881" t="s">
        <v>74</v>
      </c>
      <c r="I881" t="s">
        <v>15526</v>
      </c>
      <c r="J881" t="s">
        <v>15301</v>
      </c>
      <c r="K881" t="s">
        <v>74</v>
      </c>
      <c r="L881" t="s">
        <v>74</v>
      </c>
      <c r="M881" t="s">
        <v>78</v>
      </c>
      <c r="N881" t="s">
        <v>79</v>
      </c>
      <c r="O881" t="s">
        <v>74</v>
      </c>
      <c r="P881" t="s">
        <v>74</v>
      </c>
      <c r="Q881" t="s">
        <v>74</v>
      </c>
      <c r="R881" t="s">
        <v>74</v>
      </c>
      <c r="S881" t="s">
        <v>74</v>
      </c>
      <c r="T881" t="s">
        <v>74</v>
      </c>
      <c r="U881" t="s">
        <v>15527</v>
      </c>
      <c r="V881" t="s">
        <v>15528</v>
      </c>
      <c r="W881" t="s">
        <v>15529</v>
      </c>
      <c r="X881" t="s">
        <v>15530</v>
      </c>
      <c r="Y881" t="s">
        <v>15531</v>
      </c>
      <c r="Z881" t="s">
        <v>15532</v>
      </c>
      <c r="AA881" t="s">
        <v>15533</v>
      </c>
      <c r="AB881" t="s">
        <v>15534</v>
      </c>
      <c r="AC881" t="s">
        <v>15535</v>
      </c>
      <c r="AD881" t="s">
        <v>15536</v>
      </c>
      <c r="AE881" t="s">
        <v>15537</v>
      </c>
      <c r="AF881" t="s">
        <v>74</v>
      </c>
      <c r="AG881">
        <v>26</v>
      </c>
      <c r="AH881">
        <v>6</v>
      </c>
      <c r="AI881">
        <v>7</v>
      </c>
      <c r="AJ881">
        <v>0</v>
      </c>
      <c r="AK881">
        <v>4</v>
      </c>
      <c r="AL881" t="s">
        <v>11772</v>
      </c>
      <c r="AM881" t="s">
        <v>5833</v>
      </c>
      <c r="AN881" t="s">
        <v>11773</v>
      </c>
      <c r="AO881" t="s">
        <v>15310</v>
      </c>
      <c r="AP881" t="s">
        <v>74</v>
      </c>
      <c r="AQ881" t="s">
        <v>74</v>
      </c>
      <c r="AR881" t="s">
        <v>15312</v>
      </c>
      <c r="AS881" t="s">
        <v>15313</v>
      </c>
      <c r="AT881" t="s">
        <v>74</v>
      </c>
      <c r="AU881">
        <v>2009</v>
      </c>
      <c r="AV881">
        <v>55</v>
      </c>
      <c r="AW881">
        <v>194</v>
      </c>
      <c r="AX881" t="s">
        <v>74</v>
      </c>
      <c r="AY881" t="s">
        <v>74</v>
      </c>
      <c r="AZ881" t="s">
        <v>74</v>
      </c>
      <c r="BA881" t="s">
        <v>74</v>
      </c>
      <c r="BB881">
        <v>1041</v>
      </c>
      <c r="BC881">
        <v>1051</v>
      </c>
      <c r="BD881" t="s">
        <v>74</v>
      </c>
      <c r="BE881" t="s">
        <v>15538</v>
      </c>
      <c r="BF881" t="str">
        <f>HYPERLINK("http://dx.doi.org/10.3189/002214309790794823","http://dx.doi.org/10.3189/002214309790794823")</f>
        <v>http://dx.doi.org/10.3189/002214309790794823</v>
      </c>
      <c r="BG881" t="s">
        <v>74</v>
      </c>
      <c r="BH881" t="s">
        <v>74</v>
      </c>
      <c r="BI881">
        <v>11</v>
      </c>
      <c r="BJ881" t="s">
        <v>312</v>
      </c>
      <c r="BK881" t="s">
        <v>100</v>
      </c>
      <c r="BL881" t="s">
        <v>313</v>
      </c>
      <c r="BM881" t="s">
        <v>15539</v>
      </c>
      <c r="BN881" t="s">
        <v>74</v>
      </c>
      <c r="BO881" t="s">
        <v>499</v>
      </c>
      <c r="BP881" t="s">
        <v>74</v>
      </c>
      <c r="BQ881" t="s">
        <v>74</v>
      </c>
      <c r="BR881" t="s">
        <v>103</v>
      </c>
      <c r="BS881" t="s">
        <v>15540</v>
      </c>
      <c r="BT881" t="str">
        <f>HYPERLINK("https%3A%2F%2Fwww.webofscience.com%2Fwos%2Fwoscc%2Ffull-record%2FWOS:000276469500009","View Full Record in Web of Science")</f>
        <v>View Full Record in Web of Science</v>
      </c>
    </row>
    <row r="882" spans="1:72" x14ac:dyDescent="0.15">
      <c r="A882" t="s">
        <v>72</v>
      </c>
      <c r="B882" t="s">
        <v>15541</v>
      </c>
      <c r="C882" t="s">
        <v>74</v>
      </c>
      <c r="D882" t="s">
        <v>74</v>
      </c>
      <c r="E882" t="s">
        <v>74</v>
      </c>
      <c r="F882" t="s">
        <v>15542</v>
      </c>
      <c r="G882" t="s">
        <v>74</v>
      </c>
      <c r="H882" t="s">
        <v>74</v>
      </c>
      <c r="I882" t="s">
        <v>15543</v>
      </c>
      <c r="J882" t="s">
        <v>15544</v>
      </c>
      <c r="K882" t="s">
        <v>74</v>
      </c>
      <c r="L882" t="s">
        <v>74</v>
      </c>
      <c r="M882" t="s">
        <v>78</v>
      </c>
      <c r="N882" t="s">
        <v>79</v>
      </c>
      <c r="O882" t="s">
        <v>74</v>
      </c>
      <c r="P882" t="s">
        <v>74</v>
      </c>
      <c r="Q882" t="s">
        <v>74</v>
      </c>
      <c r="R882" t="s">
        <v>74</v>
      </c>
      <c r="S882" t="s">
        <v>74</v>
      </c>
      <c r="T882" t="s">
        <v>74</v>
      </c>
      <c r="U882" t="s">
        <v>15545</v>
      </c>
      <c r="V882" t="s">
        <v>15546</v>
      </c>
      <c r="W882" t="s">
        <v>15547</v>
      </c>
      <c r="X882" t="s">
        <v>15548</v>
      </c>
      <c r="Y882" t="s">
        <v>15549</v>
      </c>
      <c r="Z882" t="s">
        <v>15550</v>
      </c>
      <c r="AA882" t="s">
        <v>15551</v>
      </c>
      <c r="AB882" t="s">
        <v>15552</v>
      </c>
      <c r="AC882" t="s">
        <v>15553</v>
      </c>
      <c r="AD882" t="s">
        <v>15554</v>
      </c>
      <c r="AE882" t="s">
        <v>15555</v>
      </c>
      <c r="AF882" t="s">
        <v>74</v>
      </c>
      <c r="AG882">
        <v>75</v>
      </c>
      <c r="AH882">
        <v>49</v>
      </c>
      <c r="AI882">
        <v>63</v>
      </c>
      <c r="AJ882">
        <v>0</v>
      </c>
      <c r="AK882">
        <v>66</v>
      </c>
      <c r="AL882" t="s">
        <v>1341</v>
      </c>
      <c r="AM882" t="s">
        <v>1342</v>
      </c>
      <c r="AN882" t="s">
        <v>1343</v>
      </c>
      <c r="AO882" t="s">
        <v>15556</v>
      </c>
      <c r="AP882" t="s">
        <v>15557</v>
      </c>
      <c r="AQ882" t="s">
        <v>74</v>
      </c>
      <c r="AR882" t="s">
        <v>15558</v>
      </c>
      <c r="AS882" t="s">
        <v>15559</v>
      </c>
      <c r="AT882" t="s">
        <v>15560</v>
      </c>
      <c r="AU882">
        <v>2009</v>
      </c>
      <c r="AV882">
        <v>100</v>
      </c>
      <c r="AW882">
        <v>1</v>
      </c>
      <c r="AX882" t="s">
        <v>74</v>
      </c>
      <c r="AY882" t="s">
        <v>74</v>
      </c>
      <c r="AZ882" t="s">
        <v>74</v>
      </c>
      <c r="BA882" t="s">
        <v>74</v>
      </c>
      <c r="BB882">
        <v>25</v>
      </c>
      <c r="BC882">
        <v>33</v>
      </c>
      <c r="BD882" t="s">
        <v>74</v>
      </c>
      <c r="BE882" t="s">
        <v>15561</v>
      </c>
      <c r="BF882" t="str">
        <f>HYPERLINK("http://dx.doi.org/10.1093/jhered/esn077","http://dx.doi.org/10.1093/jhered/esn077")</f>
        <v>http://dx.doi.org/10.1093/jhered/esn077</v>
      </c>
      <c r="BG882" t="s">
        <v>74</v>
      </c>
      <c r="BH882" t="s">
        <v>74</v>
      </c>
      <c r="BI882">
        <v>9</v>
      </c>
      <c r="BJ882" t="s">
        <v>10572</v>
      </c>
      <c r="BK882" t="s">
        <v>100</v>
      </c>
      <c r="BL882" t="s">
        <v>10572</v>
      </c>
      <c r="BM882" t="s">
        <v>15562</v>
      </c>
      <c r="BN882">
        <v>18815116</v>
      </c>
      <c r="BO882" t="s">
        <v>499</v>
      </c>
      <c r="BP882" t="s">
        <v>74</v>
      </c>
      <c r="BQ882" t="s">
        <v>74</v>
      </c>
      <c r="BR882" t="s">
        <v>103</v>
      </c>
      <c r="BS882" t="s">
        <v>15563</v>
      </c>
      <c r="BT882" t="str">
        <f>HYPERLINK("https%3A%2F%2Fwww.webofscience.com%2Fwos%2Fwoscc%2Ffull-record%2FWOS:000261901400004","View Full Record in Web of Science")</f>
        <v>View Full Record in Web of Science</v>
      </c>
    </row>
    <row r="883" spans="1:72" x14ac:dyDescent="0.15">
      <c r="A883" t="s">
        <v>72</v>
      </c>
      <c r="B883" t="s">
        <v>15564</v>
      </c>
      <c r="C883" t="s">
        <v>74</v>
      </c>
      <c r="D883" t="s">
        <v>74</v>
      </c>
      <c r="E883" t="s">
        <v>74</v>
      </c>
      <c r="F883" t="s">
        <v>15565</v>
      </c>
      <c r="G883" t="s">
        <v>74</v>
      </c>
      <c r="H883" t="s">
        <v>74</v>
      </c>
      <c r="I883" t="s">
        <v>15566</v>
      </c>
      <c r="J883" t="s">
        <v>4613</v>
      </c>
      <c r="K883" t="s">
        <v>74</v>
      </c>
      <c r="L883" t="s">
        <v>74</v>
      </c>
      <c r="M883" t="s">
        <v>78</v>
      </c>
      <c r="N883" t="s">
        <v>79</v>
      </c>
      <c r="O883" t="s">
        <v>74</v>
      </c>
      <c r="P883" t="s">
        <v>74</v>
      </c>
      <c r="Q883" t="s">
        <v>74</v>
      </c>
      <c r="R883" t="s">
        <v>74</v>
      </c>
      <c r="S883" t="s">
        <v>74</v>
      </c>
      <c r="T883" t="s">
        <v>15567</v>
      </c>
      <c r="U883" t="s">
        <v>15568</v>
      </c>
      <c r="V883" t="s">
        <v>15569</v>
      </c>
      <c r="W883" t="s">
        <v>15570</v>
      </c>
      <c r="X883" t="s">
        <v>15571</v>
      </c>
      <c r="Y883" t="s">
        <v>15572</v>
      </c>
      <c r="Z883" t="s">
        <v>15573</v>
      </c>
      <c r="AA883" t="s">
        <v>15574</v>
      </c>
      <c r="AB883" t="s">
        <v>15575</v>
      </c>
      <c r="AC883" t="s">
        <v>74</v>
      </c>
      <c r="AD883" t="s">
        <v>74</v>
      </c>
      <c r="AE883" t="s">
        <v>74</v>
      </c>
      <c r="AF883" t="s">
        <v>74</v>
      </c>
      <c r="AG883">
        <v>30</v>
      </c>
      <c r="AH883">
        <v>27</v>
      </c>
      <c r="AI883">
        <v>31</v>
      </c>
      <c r="AJ883">
        <v>0</v>
      </c>
      <c r="AK883">
        <v>20</v>
      </c>
      <c r="AL883" t="s">
        <v>303</v>
      </c>
      <c r="AM883" t="s">
        <v>304</v>
      </c>
      <c r="AN883" t="s">
        <v>305</v>
      </c>
      <c r="AO883" t="s">
        <v>4622</v>
      </c>
      <c r="AP883" t="s">
        <v>4623</v>
      </c>
      <c r="AQ883" t="s">
        <v>74</v>
      </c>
      <c r="AR883" t="s">
        <v>4624</v>
      </c>
      <c r="AS883" t="s">
        <v>4625</v>
      </c>
      <c r="AT883" t="s">
        <v>11480</v>
      </c>
      <c r="AU883">
        <v>2009</v>
      </c>
      <c r="AV883">
        <v>55</v>
      </c>
      <c r="AW883">
        <v>1</v>
      </c>
      <c r="AX883" t="s">
        <v>74</v>
      </c>
      <c r="AY883" t="s">
        <v>74</v>
      </c>
      <c r="AZ883" t="s">
        <v>74</v>
      </c>
      <c r="BA883" t="s">
        <v>74</v>
      </c>
      <c r="BB883">
        <v>27</v>
      </c>
      <c r="BC883">
        <v>31</v>
      </c>
      <c r="BD883" t="s">
        <v>74</v>
      </c>
      <c r="BE883" t="s">
        <v>15576</v>
      </c>
      <c r="BF883" t="str">
        <f>HYPERLINK("http://dx.doi.org/10.1016/j.jinsphys.2008.09.007","http://dx.doi.org/10.1016/j.jinsphys.2008.09.007")</f>
        <v>http://dx.doi.org/10.1016/j.jinsphys.2008.09.007</v>
      </c>
      <c r="BG883" t="s">
        <v>74</v>
      </c>
      <c r="BH883" t="s">
        <v>74</v>
      </c>
      <c r="BI883">
        <v>5</v>
      </c>
      <c r="BJ883" t="s">
        <v>4627</v>
      </c>
      <c r="BK883" t="s">
        <v>100</v>
      </c>
      <c r="BL883" t="s">
        <v>4627</v>
      </c>
      <c r="BM883" t="s">
        <v>15577</v>
      </c>
      <c r="BN883">
        <v>18955061</v>
      </c>
      <c r="BO883" t="s">
        <v>74</v>
      </c>
      <c r="BP883" t="s">
        <v>74</v>
      </c>
      <c r="BQ883" t="s">
        <v>74</v>
      </c>
      <c r="BR883" t="s">
        <v>103</v>
      </c>
      <c r="BS883" t="s">
        <v>15578</v>
      </c>
      <c r="BT883" t="str">
        <f>HYPERLINK("https%3A%2F%2Fwww.webofscience.com%2Fwos%2Fwoscc%2Ffull-record%2FWOS:000262621000004","View Full Record in Web of Science")</f>
        <v>View Full Record in Web of Science</v>
      </c>
    </row>
    <row r="884" spans="1:72" x14ac:dyDescent="0.15">
      <c r="A884" t="s">
        <v>72</v>
      </c>
      <c r="B884" t="s">
        <v>15579</v>
      </c>
      <c r="C884" t="s">
        <v>74</v>
      </c>
      <c r="D884" t="s">
        <v>74</v>
      </c>
      <c r="E884" t="s">
        <v>74</v>
      </c>
      <c r="F884" t="s">
        <v>15580</v>
      </c>
      <c r="G884" t="s">
        <v>74</v>
      </c>
      <c r="H884" t="s">
        <v>74</v>
      </c>
      <c r="I884" t="s">
        <v>15581</v>
      </c>
      <c r="J884" t="s">
        <v>15582</v>
      </c>
      <c r="K884" t="s">
        <v>74</v>
      </c>
      <c r="L884" t="s">
        <v>74</v>
      </c>
      <c r="M884" t="s">
        <v>78</v>
      </c>
      <c r="N884" t="s">
        <v>79</v>
      </c>
      <c r="O884" t="s">
        <v>74</v>
      </c>
      <c r="P884" t="s">
        <v>74</v>
      </c>
      <c r="Q884" t="s">
        <v>74</v>
      </c>
      <c r="R884" t="s">
        <v>74</v>
      </c>
      <c r="S884" t="s">
        <v>74</v>
      </c>
      <c r="T884" t="s">
        <v>15583</v>
      </c>
      <c r="U884" t="s">
        <v>15584</v>
      </c>
      <c r="V884" t="s">
        <v>15585</v>
      </c>
      <c r="W884" t="s">
        <v>15586</v>
      </c>
      <c r="X884" t="s">
        <v>15587</v>
      </c>
      <c r="Y884" t="s">
        <v>15588</v>
      </c>
      <c r="Z884" t="s">
        <v>15589</v>
      </c>
      <c r="AA884" t="s">
        <v>15590</v>
      </c>
      <c r="AB884" t="s">
        <v>15591</v>
      </c>
      <c r="AC884" t="s">
        <v>74</v>
      </c>
      <c r="AD884" t="s">
        <v>74</v>
      </c>
      <c r="AE884" t="s">
        <v>74</v>
      </c>
      <c r="AF884" t="s">
        <v>74</v>
      </c>
      <c r="AG884">
        <v>48</v>
      </c>
      <c r="AH884">
        <v>20</v>
      </c>
      <c r="AI884">
        <v>23</v>
      </c>
      <c r="AJ884">
        <v>1</v>
      </c>
      <c r="AK884">
        <v>8</v>
      </c>
      <c r="AL884" t="s">
        <v>15200</v>
      </c>
      <c r="AM884" t="s">
        <v>15201</v>
      </c>
      <c r="AN884" t="s">
        <v>15202</v>
      </c>
      <c r="AO884" t="s">
        <v>15592</v>
      </c>
      <c r="AP884" t="s">
        <v>15593</v>
      </c>
      <c r="AQ884" t="s">
        <v>74</v>
      </c>
      <c r="AR884" t="s">
        <v>15594</v>
      </c>
      <c r="AS884" t="s">
        <v>15595</v>
      </c>
      <c r="AT884" t="s">
        <v>74</v>
      </c>
      <c r="AU884">
        <v>2009</v>
      </c>
      <c r="AV884">
        <v>68</v>
      </c>
      <c r="AW884">
        <v>1</v>
      </c>
      <c r="AX884" t="s">
        <v>74</v>
      </c>
      <c r="AY884" t="s">
        <v>74</v>
      </c>
      <c r="AZ884" t="s">
        <v>74</v>
      </c>
      <c r="BA884" t="s">
        <v>74</v>
      </c>
      <c r="BB884">
        <v>64</v>
      </c>
      <c r="BC884">
        <v>70</v>
      </c>
      <c r="BD884" t="s">
        <v>74</v>
      </c>
      <c r="BE884" t="s">
        <v>15596</v>
      </c>
      <c r="BF884" t="str">
        <f>HYPERLINK("http://dx.doi.org/10.4081/jlimnol.2009.64","http://dx.doi.org/10.4081/jlimnol.2009.64")</f>
        <v>http://dx.doi.org/10.4081/jlimnol.2009.64</v>
      </c>
      <c r="BG884" t="s">
        <v>74</v>
      </c>
      <c r="BH884" t="s">
        <v>74</v>
      </c>
      <c r="BI884">
        <v>7</v>
      </c>
      <c r="BJ884" t="s">
        <v>14781</v>
      </c>
      <c r="BK884" t="s">
        <v>100</v>
      </c>
      <c r="BL884" t="s">
        <v>448</v>
      </c>
      <c r="BM884" t="s">
        <v>15597</v>
      </c>
      <c r="BN884" t="s">
        <v>74</v>
      </c>
      <c r="BO884" t="s">
        <v>450</v>
      </c>
      <c r="BP884" t="s">
        <v>74</v>
      </c>
      <c r="BQ884" t="s">
        <v>74</v>
      </c>
      <c r="BR884" t="s">
        <v>103</v>
      </c>
      <c r="BS884" t="s">
        <v>15598</v>
      </c>
      <c r="BT884" t="str">
        <f>HYPERLINK("https%3A%2F%2Fwww.webofscience.com%2Fwos%2Fwoscc%2Ffull-record%2FWOS:000266257300007","View Full Record in Web of Science")</f>
        <v>View Full Record in Web of Science</v>
      </c>
    </row>
    <row r="885" spans="1:72" x14ac:dyDescent="0.15">
      <c r="A885" t="s">
        <v>72</v>
      </c>
      <c r="B885" t="s">
        <v>15599</v>
      </c>
      <c r="C885" t="s">
        <v>74</v>
      </c>
      <c r="D885" t="s">
        <v>74</v>
      </c>
      <c r="E885" t="s">
        <v>74</v>
      </c>
      <c r="F885" t="s">
        <v>15600</v>
      </c>
      <c r="G885" t="s">
        <v>74</v>
      </c>
      <c r="H885" t="s">
        <v>74</v>
      </c>
      <c r="I885" t="s">
        <v>15601</v>
      </c>
      <c r="J885" t="s">
        <v>6857</v>
      </c>
      <c r="K885" t="s">
        <v>74</v>
      </c>
      <c r="L885" t="s">
        <v>74</v>
      </c>
      <c r="M885" t="s">
        <v>78</v>
      </c>
      <c r="N885" t="s">
        <v>79</v>
      </c>
      <c r="O885" t="s">
        <v>74</v>
      </c>
      <c r="P885" t="s">
        <v>74</v>
      </c>
      <c r="Q885" t="s">
        <v>74</v>
      </c>
      <c r="R885" t="s">
        <v>74</v>
      </c>
      <c r="S885" t="s">
        <v>74</v>
      </c>
      <c r="T885" t="s">
        <v>74</v>
      </c>
      <c r="U885" t="s">
        <v>15602</v>
      </c>
      <c r="V885" t="s">
        <v>15603</v>
      </c>
      <c r="W885" t="s">
        <v>15604</v>
      </c>
      <c r="X885" t="s">
        <v>15605</v>
      </c>
      <c r="Y885" t="s">
        <v>15606</v>
      </c>
      <c r="Z885" t="s">
        <v>15607</v>
      </c>
      <c r="AA885" t="s">
        <v>74</v>
      </c>
      <c r="AB885" t="s">
        <v>15608</v>
      </c>
      <c r="AC885" t="s">
        <v>74</v>
      </c>
      <c r="AD885" t="s">
        <v>74</v>
      </c>
      <c r="AE885" t="s">
        <v>74</v>
      </c>
      <c r="AF885" t="s">
        <v>74</v>
      </c>
      <c r="AG885">
        <v>34</v>
      </c>
      <c r="AH885">
        <v>7</v>
      </c>
      <c r="AI885">
        <v>7</v>
      </c>
      <c r="AJ885">
        <v>0</v>
      </c>
      <c r="AK885">
        <v>6</v>
      </c>
      <c r="AL885" t="s">
        <v>6869</v>
      </c>
      <c r="AM885" t="s">
        <v>6870</v>
      </c>
      <c r="AN885" t="s">
        <v>6871</v>
      </c>
      <c r="AO885" t="s">
        <v>6872</v>
      </c>
      <c r="AP885" t="s">
        <v>15609</v>
      </c>
      <c r="AQ885" t="s">
        <v>74</v>
      </c>
      <c r="AR885" t="s">
        <v>6873</v>
      </c>
      <c r="AS885" t="s">
        <v>6874</v>
      </c>
      <c r="AT885" t="s">
        <v>11480</v>
      </c>
      <c r="AU885">
        <v>2009</v>
      </c>
      <c r="AV885">
        <v>67</v>
      </c>
      <c r="AW885">
        <v>1</v>
      </c>
      <c r="AX885" t="s">
        <v>74</v>
      </c>
      <c r="AY885" t="s">
        <v>74</v>
      </c>
      <c r="AZ885" t="s">
        <v>74</v>
      </c>
      <c r="BA885" t="s">
        <v>74</v>
      </c>
      <c r="BB885">
        <v>1</v>
      </c>
      <c r="BC885">
        <v>23</v>
      </c>
      <c r="BD885" t="s">
        <v>74</v>
      </c>
      <c r="BE885" t="s">
        <v>15610</v>
      </c>
      <c r="BF885" t="str">
        <f>HYPERLINK("http://dx.doi.org/10.1357/002224009788597935","http://dx.doi.org/10.1357/002224009788597935")</f>
        <v>http://dx.doi.org/10.1357/002224009788597935</v>
      </c>
      <c r="BG885" t="s">
        <v>74</v>
      </c>
      <c r="BH885" t="s">
        <v>74</v>
      </c>
      <c r="BI885">
        <v>23</v>
      </c>
      <c r="BJ885" t="s">
        <v>689</v>
      </c>
      <c r="BK885" t="s">
        <v>100</v>
      </c>
      <c r="BL885" t="s">
        <v>689</v>
      </c>
      <c r="BM885" t="s">
        <v>15611</v>
      </c>
      <c r="BN885" t="s">
        <v>74</v>
      </c>
      <c r="BO885" t="s">
        <v>74</v>
      </c>
      <c r="BP885" t="s">
        <v>74</v>
      </c>
      <c r="BQ885" t="s">
        <v>74</v>
      </c>
      <c r="BR885" t="s">
        <v>103</v>
      </c>
      <c r="BS885" t="s">
        <v>15612</v>
      </c>
      <c r="BT885" t="str">
        <f>HYPERLINK("https%3A%2F%2Fwww.webofscience.com%2Fwos%2Fwoscc%2Ffull-record%2FWOS:000267501000001","View Full Record in Web of Science")</f>
        <v>View Full Record in Web of Science</v>
      </c>
    </row>
    <row r="886" spans="1:72" x14ac:dyDescent="0.15">
      <c r="A886" t="s">
        <v>72</v>
      </c>
      <c r="B886" t="s">
        <v>15613</v>
      </c>
      <c r="C886" t="s">
        <v>74</v>
      </c>
      <c r="D886" t="s">
        <v>74</v>
      </c>
      <c r="E886" t="s">
        <v>74</v>
      </c>
      <c r="F886" t="s">
        <v>15614</v>
      </c>
      <c r="G886" t="s">
        <v>74</v>
      </c>
      <c r="H886" t="s">
        <v>74</v>
      </c>
      <c r="I886" t="s">
        <v>15615</v>
      </c>
      <c r="J886" t="s">
        <v>6881</v>
      </c>
      <c r="K886" t="s">
        <v>74</v>
      </c>
      <c r="L886" t="s">
        <v>74</v>
      </c>
      <c r="M886" t="s">
        <v>78</v>
      </c>
      <c r="N886" t="s">
        <v>79</v>
      </c>
      <c r="O886" t="s">
        <v>74</v>
      </c>
      <c r="P886" t="s">
        <v>74</v>
      </c>
      <c r="Q886" t="s">
        <v>74</v>
      </c>
      <c r="R886" t="s">
        <v>74</v>
      </c>
      <c r="S886" t="s">
        <v>74</v>
      </c>
      <c r="T886" t="s">
        <v>15616</v>
      </c>
      <c r="U886" t="s">
        <v>15617</v>
      </c>
      <c r="V886" t="s">
        <v>15618</v>
      </c>
      <c r="W886" t="s">
        <v>15619</v>
      </c>
      <c r="X886" t="s">
        <v>15620</v>
      </c>
      <c r="Y886" t="s">
        <v>15621</v>
      </c>
      <c r="Z886" t="s">
        <v>15622</v>
      </c>
      <c r="AA886" t="s">
        <v>74</v>
      </c>
      <c r="AB886" t="s">
        <v>74</v>
      </c>
      <c r="AC886" t="s">
        <v>74</v>
      </c>
      <c r="AD886" t="s">
        <v>74</v>
      </c>
      <c r="AE886" t="s">
        <v>74</v>
      </c>
      <c r="AF886" t="s">
        <v>74</v>
      </c>
      <c r="AG886">
        <v>59</v>
      </c>
      <c r="AH886">
        <v>37</v>
      </c>
      <c r="AI886">
        <v>43</v>
      </c>
      <c r="AJ886">
        <v>0</v>
      </c>
      <c r="AK886">
        <v>26</v>
      </c>
      <c r="AL886" t="s">
        <v>91</v>
      </c>
      <c r="AM886" t="s">
        <v>92</v>
      </c>
      <c r="AN886" t="s">
        <v>137</v>
      </c>
      <c r="AO886" t="s">
        <v>6894</v>
      </c>
      <c r="AP886" t="s">
        <v>15623</v>
      </c>
      <c r="AQ886" t="s">
        <v>74</v>
      </c>
      <c r="AR886" t="s">
        <v>6895</v>
      </c>
      <c r="AS886" t="s">
        <v>6896</v>
      </c>
      <c r="AT886" t="s">
        <v>11480</v>
      </c>
      <c r="AU886">
        <v>2009</v>
      </c>
      <c r="AV886">
        <v>68</v>
      </c>
      <c r="AW886">
        <v>1</v>
      </c>
      <c r="AX886" t="s">
        <v>74</v>
      </c>
      <c r="AY886" t="s">
        <v>74</v>
      </c>
      <c r="AZ886" t="s">
        <v>74</v>
      </c>
      <c r="BA886" t="s">
        <v>74</v>
      </c>
      <c r="BB886">
        <v>97</v>
      </c>
      <c r="BC886">
        <v>111</v>
      </c>
      <c r="BD886" t="s">
        <v>74</v>
      </c>
      <c r="BE886" t="s">
        <v>15624</v>
      </c>
      <c r="BF886" t="str">
        <f>HYPERLINK("http://dx.doi.org/10.1007/s00239-008-9193-2","http://dx.doi.org/10.1007/s00239-008-9193-2")</f>
        <v>http://dx.doi.org/10.1007/s00239-008-9193-2</v>
      </c>
      <c r="BG886" t="s">
        <v>74</v>
      </c>
      <c r="BH886" t="s">
        <v>74</v>
      </c>
      <c r="BI886">
        <v>15</v>
      </c>
      <c r="BJ886" t="s">
        <v>2431</v>
      </c>
      <c r="BK886" t="s">
        <v>100</v>
      </c>
      <c r="BL886" t="s">
        <v>2431</v>
      </c>
      <c r="BM886" t="s">
        <v>15625</v>
      </c>
      <c r="BN886">
        <v>19116685</v>
      </c>
      <c r="BO886" t="s">
        <v>74</v>
      </c>
      <c r="BP886" t="s">
        <v>74</v>
      </c>
      <c r="BQ886" t="s">
        <v>74</v>
      </c>
      <c r="BR886" t="s">
        <v>103</v>
      </c>
      <c r="BS886" t="s">
        <v>15626</v>
      </c>
      <c r="BT886" t="str">
        <f>HYPERLINK("https%3A%2F%2Fwww.webofscience.com%2Fwos%2Fwoscc%2Ffull-record%2FWOS:000263147100009","View Full Record in Web of Science")</f>
        <v>View Full Record in Web of Science</v>
      </c>
    </row>
    <row r="887" spans="1:72" x14ac:dyDescent="0.15">
      <c r="A887" t="s">
        <v>72</v>
      </c>
      <c r="B887" t="s">
        <v>15627</v>
      </c>
      <c r="C887" t="s">
        <v>74</v>
      </c>
      <c r="D887" t="s">
        <v>74</v>
      </c>
      <c r="E887" t="s">
        <v>74</v>
      </c>
      <c r="F887" t="s">
        <v>15628</v>
      </c>
      <c r="G887" t="s">
        <v>74</v>
      </c>
      <c r="H887" t="s">
        <v>74</v>
      </c>
      <c r="I887" t="s">
        <v>15629</v>
      </c>
      <c r="J887" t="s">
        <v>15630</v>
      </c>
      <c r="K887" t="s">
        <v>74</v>
      </c>
      <c r="L887" t="s">
        <v>74</v>
      </c>
      <c r="M887" t="s">
        <v>78</v>
      </c>
      <c r="N887" t="s">
        <v>79</v>
      </c>
      <c r="O887" t="s">
        <v>74</v>
      </c>
      <c r="P887" t="s">
        <v>74</v>
      </c>
      <c r="Q887" t="s">
        <v>74</v>
      </c>
      <c r="R887" t="s">
        <v>74</v>
      </c>
      <c r="S887" t="s">
        <v>74</v>
      </c>
      <c r="T887" t="s">
        <v>15631</v>
      </c>
      <c r="U887" t="s">
        <v>15632</v>
      </c>
      <c r="V887" t="s">
        <v>15633</v>
      </c>
      <c r="W887" t="s">
        <v>15634</v>
      </c>
      <c r="X887" t="s">
        <v>15635</v>
      </c>
      <c r="Y887" t="s">
        <v>15636</v>
      </c>
      <c r="Z887" t="s">
        <v>15637</v>
      </c>
      <c r="AA887" t="s">
        <v>74</v>
      </c>
      <c r="AB887" t="s">
        <v>74</v>
      </c>
      <c r="AC887" t="s">
        <v>74</v>
      </c>
      <c r="AD887" t="s">
        <v>74</v>
      </c>
      <c r="AE887" t="s">
        <v>74</v>
      </c>
      <c r="AF887" t="s">
        <v>74</v>
      </c>
      <c r="AG887">
        <v>38</v>
      </c>
      <c r="AH887">
        <v>6</v>
      </c>
      <c r="AI887">
        <v>8</v>
      </c>
      <c r="AJ887">
        <v>0</v>
      </c>
      <c r="AK887">
        <v>4</v>
      </c>
      <c r="AL887" t="s">
        <v>1167</v>
      </c>
      <c r="AM887" t="s">
        <v>1168</v>
      </c>
      <c r="AN887" t="s">
        <v>1169</v>
      </c>
      <c r="AO887" t="s">
        <v>15638</v>
      </c>
      <c r="AP887" t="s">
        <v>15639</v>
      </c>
      <c r="AQ887" t="s">
        <v>74</v>
      </c>
      <c r="AR887" t="s">
        <v>15640</v>
      </c>
      <c r="AS887" t="s">
        <v>15641</v>
      </c>
      <c r="AT887" t="s">
        <v>74</v>
      </c>
      <c r="AU887">
        <v>2009</v>
      </c>
      <c r="AV887">
        <v>43</v>
      </c>
      <c r="AW887" t="s">
        <v>15642</v>
      </c>
      <c r="AX887" t="s">
        <v>74</v>
      </c>
      <c r="AY887" t="s">
        <v>74</v>
      </c>
      <c r="AZ887" t="s">
        <v>74</v>
      </c>
      <c r="BA887" t="s">
        <v>74</v>
      </c>
      <c r="BB887">
        <v>2087</v>
      </c>
      <c r="BC887">
        <v>2139</v>
      </c>
      <c r="BD887" t="s">
        <v>74</v>
      </c>
      <c r="BE887" t="s">
        <v>15643</v>
      </c>
      <c r="BF887" t="str">
        <f>HYPERLINK("http://dx.doi.org/10.1080/00222930903094647","http://dx.doi.org/10.1080/00222930903094647")</f>
        <v>http://dx.doi.org/10.1080/00222930903094647</v>
      </c>
      <c r="BG887" t="s">
        <v>74</v>
      </c>
      <c r="BH887" t="s">
        <v>74</v>
      </c>
      <c r="BI887">
        <v>53</v>
      </c>
      <c r="BJ887" t="s">
        <v>15644</v>
      </c>
      <c r="BK887" t="s">
        <v>100</v>
      </c>
      <c r="BL887" t="s">
        <v>15645</v>
      </c>
      <c r="BM887" t="s">
        <v>15646</v>
      </c>
      <c r="BN887" t="s">
        <v>74</v>
      </c>
      <c r="BO887" t="s">
        <v>74</v>
      </c>
      <c r="BP887" t="s">
        <v>74</v>
      </c>
      <c r="BQ887" t="s">
        <v>74</v>
      </c>
      <c r="BR887" t="s">
        <v>103</v>
      </c>
      <c r="BS887" t="s">
        <v>15647</v>
      </c>
      <c r="BT887" t="str">
        <f>HYPERLINK("https%3A%2F%2Fwww.webofscience.com%2Fwos%2Fwoscc%2Ffull-record%2FWOS:000269921500005","View Full Record in Web of Science")</f>
        <v>View Full Record in Web of Science</v>
      </c>
    </row>
    <row r="888" spans="1:72" x14ac:dyDescent="0.15">
      <c r="A888" t="s">
        <v>72</v>
      </c>
      <c r="B888" t="s">
        <v>15648</v>
      </c>
      <c r="C888" t="s">
        <v>74</v>
      </c>
      <c r="D888" t="s">
        <v>74</v>
      </c>
      <c r="E888" t="s">
        <v>74</v>
      </c>
      <c r="F888" t="s">
        <v>15649</v>
      </c>
      <c r="G888" t="s">
        <v>74</v>
      </c>
      <c r="H888" t="s">
        <v>74</v>
      </c>
      <c r="I888" t="s">
        <v>15650</v>
      </c>
      <c r="J888" t="s">
        <v>15651</v>
      </c>
      <c r="K888" t="s">
        <v>74</v>
      </c>
      <c r="L888" t="s">
        <v>74</v>
      </c>
      <c r="M888" t="s">
        <v>78</v>
      </c>
      <c r="N888" t="s">
        <v>79</v>
      </c>
      <c r="O888" t="s">
        <v>74</v>
      </c>
      <c r="P888" t="s">
        <v>74</v>
      </c>
      <c r="Q888" t="s">
        <v>74</v>
      </c>
      <c r="R888" t="s">
        <v>74</v>
      </c>
      <c r="S888" t="s">
        <v>74</v>
      </c>
      <c r="T888" t="s">
        <v>74</v>
      </c>
      <c r="U888" t="s">
        <v>15652</v>
      </c>
      <c r="V888" t="s">
        <v>15653</v>
      </c>
      <c r="W888" t="s">
        <v>15654</v>
      </c>
      <c r="X888" t="s">
        <v>15655</v>
      </c>
      <c r="Y888" t="s">
        <v>15656</v>
      </c>
      <c r="Z888" t="s">
        <v>15657</v>
      </c>
      <c r="AA888" t="s">
        <v>15658</v>
      </c>
      <c r="AB888" t="s">
        <v>15659</v>
      </c>
      <c r="AC888" t="s">
        <v>15660</v>
      </c>
      <c r="AD888" t="s">
        <v>15661</v>
      </c>
      <c r="AE888" t="s">
        <v>15662</v>
      </c>
      <c r="AF888" t="s">
        <v>74</v>
      </c>
      <c r="AG888">
        <v>15</v>
      </c>
      <c r="AH888">
        <v>39</v>
      </c>
      <c r="AI888">
        <v>41</v>
      </c>
      <c r="AJ888">
        <v>4</v>
      </c>
      <c r="AK888">
        <v>22</v>
      </c>
      <c r="AL888" t="s">
        <v>726</v>
      </c>
      <c r="AM888" t="s">
        <v>606</v>
      </c>
      <c r="AN888" t="s">
        <v>727</v>
      </c>
      <c r="AO888" t="s">
        <v>15663</v>
      </c>
      <c r="AP888" t="s">
        <v>74</v>
      </c>
      <c r="AQ888" t="s">
        <v>74</v>
      </c>
      <c r="AR888" t="s">
        <v>15664</v>
      </c>
      <c r="AS888" t="s">
        <v>15665</v>
      </c>
      <c r="AT888" t="s">
        <v>11480</v>
      </c>
      <c r="AU888">
        <v>2009</v>
      </c>
      <c r="AV888">
        <v>72</v>
      </c>
      <c r="AW888">
        <v>1</v>
      </c>
      <c r="AX888" t="s">
        <v>74</v>
      </c>
      <c r="AY888" t="s">
        <v>74</v>
      </c>
      <c r="AZ888" t="s">
        <v>74</v>
      </c>
      <c r="BA888" t="s">
        <v>74</v>
      </c>
      <c r="BB888">
        <v>33</v>
      </c>
      <c r="BC888">
        <v>38</v>
      </c>
      <c r="BD888" t="s">
        <v>74</v>
      </c>
      <c r="BE888" t="s">
        <v>15666</v>
      </c>
      <c r="BF888" t="str">
        <f>HYPERLINK("http://dx.doi.org/10.1021/np800469v","http://dx.doi.org/10.1021/np800469v")</f>
        <v>http://dx.doi.org/10.1021/np800469v</v>
      </c>
      <c r="BG888" t="s">
        <v>74</v>
      </c>
      <c r="BH888" t="s">
        <v>74</v>
      </c>
      <c r="BI888">
        <v>6</v>
      </c>
      <c r="BJ888" t="s">
        <v>15667</v>
      </c>
      <c r="BK888" t="s">
        <v>15668</v>
      </c>
      <c r="BL888" t="s">
        <v>15669</v>
      </c>
      <c r="BM888" t="s">
        <v>15670</v>
      </c>
      <c r="BN888">
        <v>19072534</v>
      </c>
      <c r="BO888" t="s">
        <v>74</v>
      </c>
      <c r="BP888" t="s">
        <v>74</v>
      </c>
      <c r="BQ888" t="s">
        <v>74</v>
      </c>
      <c r="BR888" t="s">
        <v>103</v>
      </c>
      <c r="BS888" t="s">
        <v>15671</v>
      </c>
      <c r="BT888" t="str">
        <f>HYPERLINK("https%3A%2F%2Fwww.webofscience.com%2Fwos%2Fwoscc%2Ffull-record%2FWOS:000262761700008","View Full Record in Web of Science")</f>
        <v>View Full Record in Web of Science</v>
      </c>
    </row>
    <row r="889" spans="1:72" x14ac:dyDescent="0.15">
      <c r="A889" t="s">
        <v>72</v>
      </c>
      <c r="B889" t="s">
        <v>15672</v>
      </c>
      <c r="C889" t="s">
        <v>74</v>
      </c>
      <c r="D889" t="s">
        <v>74</v>
      </c>
      <c r="E889" t="s">
        <v>74</v>
      </c>
      <c r="F889" t="s">
        <v>15673</v>
      </c>
      <c r="G889" t="s">
        <v>74</v>
      </c>
      <c r="H889" t="s">
        <v>74</v>
      </c>
      <c r="I889" t="s">
        <v>15674</v>
      </c>
      <c r="J889" t="s">
        <v>4675</v>
      </c>
      <c r="K889" t="s">
        <v>74</v>
      </c>
      <c r="L889" t="s">
        <v>74</v>
      </c>
      <c r="M889" t="s">
        <v>78</v>
      </c>
      <c r="N889" t="s">
        <v>79</v>
      </c>
      <c r="O889" t="s">
        <v>74</v>
      </c>
      <c r="P889" t="s">
        <v>74</v>
      </c>
      <c r="Q889" t="s">
        <v>74</v>
      </c>
      <c r="R889" t="s">
        <v>74</v>
      </c>
      <c r="S889" t="s">
        <v>74</v>
      </c>
      <c r="T889" t="s">
        <v>15675</v>
      </c>
      <c r="U889" t="s">
        <v>15676</v>
      </c>
      <c r="V889" t="s">
        <v>15677</v>
      </c>
      <c r="W889" t="s">
        <v>15678</v>
      </c>
      <c r="X889" t="s">
        <v>15679</v>
      </c>
      <c r="Y889" t="s">
        <v>15680</v>
      </c>
      <c r="Z889" t="s">
        <v>15681</v>
      </c>
      <c r="AA889" t="s">
        <v>15682</v>
      </c>
      <c r="AB889" t="s">
        <v>15683</v>
      </c>
      <c r="AC889" t="s">
        <v>15684</v>
      </c>
      <c r="AD889" t="s">
        <v>15685</v>
      </c>
      <c r="AE889" t="s">
        <v>15686</v>
      </c>
      <c r="AF889" t="s">
        <v>74</v>
      </c>
      <c r="AG889">
        <v>19</v>
      </c>
      <c r="AH889">
        <v>12</v>
      </c>
      <c r="AI889">
        <v>15</v>
      </c>
      <c r="AJ889">
        <v>0</v>
      </c>
      <c r="AK889">
        <v>10</v>
      </c>
      <c r="AL889" t="s">
        <v>1947</v>
      </c>
      <c r="AM889" t="s">
        <v>1948</v>
      </c>
      <c r="AN889" t="s">
        <v>1949</v>
      </c>
      <c r="AO889" t="s">
        <v>4688</v>
      </c>
      <c r="AP889" t="s">
        <v>4689</v>
      </c>
      <c r="AQ889" t="s">
        <v>74</v>
      </c>
      <c r="AR889" t="s">
        <v>4690</v>
      </c>
      <c r="AS889" t="s">
        <v>4691</v>
      </c>
      <c r="AT889" t="s">
        <v>11480</v>
      </c>
      <c r="AU889">
        <v>2009</v>
      </c>
      <c r="AV889">
        <v>150</v>
      </c>
      <c r="AW889">
        <v>1</v>
      </c>
      <c r="AX889" t="s">
        <v>74</v>
      </c>
      <c r="AY889" t="s">
        <v>74</v>
      </c>
      <c r="AZ889" t="s">
        <v>74</v>
      </c>
      <c r="BA889" t="s">
        <v>74</v>
      </c>
      <c r="BB889">
        <v>103</v>
      </c>
      <c r="BC889">
        <v>108</v>
      </c>
      <c r="BD889" t="s">
        <v>74</v>
      </c>
      <c r="BE889" t="s">
        <v>15687</v>
      </c>
      <c r="BF889" t="str">
        <f>HYPERLINK("http://dx.doi.org/10.1007/s10336-008-0322-x","http://dx.doi.org/10.1007/s10336-008-0322-x")</f>
        <v>http://dx.doi.org/10.1007/s10336-008-0322-x</v>
      </c>
      <c r="BG889" t="s">
        <v>74</v>
      </c>
      <c r="BH889" t="s">
        <v>74</v>
      </c>
      <c r="BI889">
        <v>6</v>
      </c>
      <c r="BJ889" t="s">
        <v>1854</v>
      </c>
      <c r="BK889" t="s">
        <v>100</v>
      </c>
      <c r="BL889" t="s">
        <v>908</v>
      </c>
      <c r="BM889" t="s">
        <v>15688</v>
      </c>
      <c r="BN889" t="s">
        <v>74</v>
      </c>
      <c r="BO889" t="s">
        <v>74</v>
      </c>
      <c r="BP889" t="s">
        <v>74</v>
      </c>
      <c r="BQ889" t="s">
        <v>74</v>
      </c>
      <c r="BR889" t="s">
        <v>103</v>
      </c>
      <c r="BS889" t="s">
        <v>15689</v>
      </c>
      <c r="BT889" t="str">
        <f>HYPERLINK("https%3A%2F%2Fwww.webofscience.com%2Fwos%2Fwoscc%2Ffull-record%2FWOS:000261424800011","View Full Record in Web of Science")</f>
        <v>View Full Record in Web of Science</v>
      </c>
    </row>
    <row r="890" spans="1:72" x14ac:dyDescent="0.15">
      <c r="A890" t="s">
        <v>72</v>
      </c>
      <c r="B890" t="s">
        <v>15690</v>
      </c>
      <c r="C890" t="s">
        <v>74</v>
      </c>
      <c r="D890" t="s">
        <v>74</v>
      </c>
      <c r="E890" t="s">
        <v>74</v>
      </c>
      <c r="F890" t="s">
        <v>15691</v>
      </c>
      <c r="G890" t="s">
        <v>74</v>
      </c>
      <c r="H890" t="s">
        <v>74</v>
      </c>
      <c r="I890" t="s">
        <v>15692</v>
      </c>
      <c r="J890" t="s">
        <v>4698</v>
      </c>
      <c r="K890" t="s">
        <v>74</v>
      </c>
      <c r="L890" t="s">
        <v>74</v>
      </c>
      <c r="M890" t="s">
        <v>78</v>
      </c>
      <c r="N890" t="s">
        <v>79</v>
      </c>
      <c r="O890" t="s">
        <v>74</v>
      </c>
      <c r="P890" t="s">
        <v>74</v>
      </c>
      <c r="Q890" t="s">
        <v>74</v>
      </c>
      <c r="R890" t="s">
        <v>74</v>
      </c>
      <c r="S890" t="s">
        <v>74</v>
      </c>
      <c r="T890" t="s">
        <v>74</v>
      </c>
      <c r="U890" t="s">
        <v>15693</v>
      </c>
      <c r="V890" t="s">
        <v>15694</v>
      </c>
      <c r="W890" t="s">
        <v>15695</v>
      </c>
      <c r="X890" t="s">
        <v>15696</v>
      </c>
      <c r="Y890" t="s">
        <v>15697</v>
      </c>
      <c r="Z890" t="s">
        <v>15698</v>
      </c>
      <c r="AA890" t="s">
        <v>15699</v>
      </c>
      <c r="AB890" t="s">
        <v>15700</v>
      </c>
      <c r="AC890" t="s">
        <v>15701</v>
      </c>
      <c r="AD890" t="s">
        <v>1593</v>
      </c>
      <c r="AE890" t="s">
        <v>74</v>
      </c>
      <c r="AF890" t="s">
        <v>74</v>
      </c>
      <c r="AG890">
        <v>56</v>
      </c>
      <c r="AH890">
        <v>99</v>
      </c>
      <c r="AI890">
        <v>105</v>
      </c>
      <c r="AJ890">
        <v>0</v>
      </c>
      <c r="AK890">
        <v>12</v>
      </c>
      <c r="AL890" t="s">
        <v>1398</v>
      </c>
      <c r="AM890" t="s">
        <v>1399</v>
      </c>
      <c r="AN890" t="s">
        <v>1400</v>
      </c>
      <c r="AO890" t="s">
        <v>4708</v>
      </c>
      <c r="AP890" t="s">
        <v>4709</v>
      </c>
      <c r="AQ890" t="s">
        <v>74</v>
      </c>
      <c r="AR890" t="s">
        <v>4710</v>
      </c>
      <c r="AS890" t="s">
        <v>4711</v>
      </c>
      <c r="AT890" t="s">
        <v>11480</v>
      </c>
      <c r="AU890">
        <v>2009</v>
      </c>
      <c r="AV890">
        <v>39</v>
      </c>
      <c r="AW890">
        <v>1</v>
      </c>
      <c r="AX890" t="s">
        <v>74</v>
      </c>
      <c r="AY890" t="s">
        <v>74</v>
      </c>
      <c r="AZ890" t="s">
        <v>74</v>
      </c>
      <c r="BA890" t="s">
        <v>74</v>
      </c>
      <c r="BB890">
        <v>3</v>
      </c>
      <c r="BC890">
        <v>26</v>
      </c>
      <c r="BD890" t="s">
        <v>74</v>
      </c>
      <c r="BE890" t="s">
        <v>15702</v>
      </c>
      <c r="BF890" t="str">
        <f>HYPERLINK("http://dx.doi.org/10.1175/2008JPO3995.1","http://dx.doi.org/10.1175/2008JPO3995.1")</f>
        <v>http://dx.doi.org/10.1175/2008JPO3995.1</v>
      </c>
      <c r="BG890" t="s">
        <v>74</v>
      </c>
      <c r="BH890" t="s">
        <v>74</v>
      </c>
      <c r="BI890">
        <v>24</v>
      </c>
      <c r="BJ890" t="s">
        <v>689</v>
      </c>
      <c r="BK890" t="s">
        <v>100</v>
      </c>
      <c r="BL890" t="s">
        <v>689</v>
      </c>
      <c r="BM890" t="s">
        <v>15703</v>
      </c>
      <c r="BN890" t="s">
        <v>74</v>
      </c>
      <c r="BO890" t="s">
        <v>287</v>
      </c>
      <c r="BP890" t="s">
        <v>74</v>
      </c>
      <c r="BQ890" t="s">
        <v>74</v>
      </c>
      <c r="BR890" t="s">
        <v>103</v>
      </c>
      <c r="BS890" t="s">
        <v>15704</v>
      </c>
      <c r="BT890" t="str">
        <f>HYPERLINK("https%3A%2F%2Fwww.webofscience.com%2Fwos%2Fwoscc%2Ffull-record%2FWOS:000263557800001","View Full Record in Web of Science")</f>
        <v>View Full Record in Web of Science</v>
      </c>
    </row>
    <row r="891" spans="1:72" x14ac:dyDescent="0.15">
      <c r="A891" t="s">
        <v>72</v>
      </c>
      <c r="B891" t="s">
        <v>15705</v>
      </c>
      <c r="C891" t="s">
        <v>74</v>
      </c>
      <c r="D891" t="s">
        <v>74</v>
      </c>
      <c r="E891" t="s">
        <v>74</v>
      </c>
      <c r="F891" t="s">
        <v>15706</v>
      </c>
      <c r="G891" t="s">
        <v>74</v>
      </c>
      <c r="H891" t="s">
        <v>74</v>
      </c>
      <c r="I891" t="s">
        <v>15707</v>
      </c>
      <c r="J891" t="s">
        <v>4698</v>
      </c>
      <c r="K891" t="s">
        <v>74</v>
      </c>
      <c r="L891" t="s">
        <v>74</v>
      </c>
      <c r="M891" t="s">
        <v>78</v>
      </c>
      <c r="N891" t="s">
        <v>79</v>
      </c>
      <c r="O891" t="s">
        <v>74</v>
      </c>
      <c r="P891" t="s">
        <v>74</v>
      </c>
      <c r="Q891" t="s">
        <v>74</v>
      </c>
      <c r="R891" t="s">
        <v>74</v>
      </c>
      <c r="S891" t="s">
        <v>74</v>
      </c>
      <c r="T891" t="s">
        <v>74</v>
      </c>
      <c r="U891" t="s">
        <v>15708</v>
      </c>
      <c r="V891" t="s">
        <v>15709</v>
      </c>
      <c r="W891" t="s">
        <v>15710</v>
      </c>
      <c r="X891" t="s">
        <v>15711</v>
      </c>
      <c r="Y891" t="s">
        <v>15712</v>
      </c>
      <c r="Z891" t="s">
        <v>15713</v>
      </c>
      <c r="AA891" t="s">
        <v>15714</v>
      </c>
      <c r="AB891" t="s">
        <v>15715</v>
      </c>
      <c r="AC891" t="s">
        <v>15716</v>
      </c>
      <c r="AD891" t="s">
        <v>2716</v>
      </c>
      <c r="AE891" t="s">
        <v>15717</v>
      </c>
      <c r="AF891" t="s">
        <v>74</v>
      </c>
      <c r="AG891">
        <v>51</v>
      </c>
      <c r="AH891">
        <v>99</v>
      </c>
      <c r="AI891">
        <v>110</v>
      </c>
      <c r="AJ891">
        <v>0</v>
      </c>
      <c r="AK891">
        <v>19</v>
      </c>
      <c r="AL891" t="s">
        <v>1398</v>
      </c>
      <c r="AM891" t="s">
        <v>1399</v>
      </c>
      <c r="AN891" t="s">
        <v>1400</v>
      </c>
      <c r="AO891" t="s">
        <v>4708</v>
      </c>
      <c r="AP891" t="s">
        <v>4709</v>
      </c>
      <c r="AQ891" t="s">
        <v>74</v>
      </c>
      <c r="AR891" t="s">
        <v>4710</v>
      </c>
      <c r="AS891" t="s">
        <v>4711</v>
      </c>
      <c r="AT891" t="s">
        <v>11480</v>
      </c>
      <c r="AU891">
        <v>2009</v>
      </c>
      <c r="AV891">
        <v>39</v>
      </c>
      <c r="AW891">
        <v>1</v>
      </c>
      <c r="AX891" t="s">
        <v>74</v>
      </c>
      <c r="AY891" t="s">
        <v>74</v>
      </c>
      <c r="AZ891" t="s">
        <v>74</v>
      </c>
      <c r="BA891" t="s">
        <v>74</v>
      </c>
      <c r="BB891">
        <v>50</v>
      </c>
      <c r="BC891">
        <v>69</v>
      </c>
      <c r="BD891" t="s">
        <v>74</v>
      </c>
      <c r="BE891" t="s">
        <v>15718</v>
      </c>
      <c r="BF891" t="str">
        <f>HYPERLINK("http://dx.doi.org/10.1175/2008JPO3880.1","http://dx.doi.org/10.1175/2008JPO3880.1")</f>
        <v>http://dx.doi.org/10.1175/2008JPO3880.1</v>
      </c>
      <c r="BG891" t="s">
        <v>74</v>
      </c>
      <c r="BH891" t="s">
        <v>74</v>
      </c>
      <c r="BI891">
        <v>20</v>
      </c>
      <c r="BJ891" t="s">
        <v>689</v>
      </c>
      <c r="BK891" t="s">
        <v>100</v>
      </c>
      <c r="BL891" t="s">
        <v>689</v>
      </c>
      <c r="BM891" t="s">
        <v>15703</v>
      </c>
      <c r="BN891" t="s">
        <v>74</v>
      </c>
      <c r="BO891" t="s">
        <v>882</v>
      </c>
      <c r="BP891" t="s">
        <v>74</v>
      </c>
      <c r="BQ891" t="s">
        <v>74</v>
      </c>
      <c r="BR891" t="s">
        <v>103</v>
      </c>
      <c r="BS891" t="s">
        <v>15719</v>
      </c>
      <c r="BT891" t="str">
        <f>HYPERLINK("https%3A%2F%2Fwww.webofscience.com%2Fwos%2Fwoscc%2Ffull-record%2FWOS:000263557800003","View Full Record in Web of Science")</f>
        <v>View Full Record in Web of Science</v>
      </c>
    </row>
    <row r="892" spans="1:72" x14ac:dyDescent="0.15">
      <c r="A892" t="s">
        <v>72</v>
      </c>
      <c r="B892" t="s">
        <v>15720</v>
      </c>
      <c r="C892" t="s">
        <v>74</v>
      </c>
      <c r="D892" t="s">
        <v>74</v>
      </c>
      <c r="E892" t="s">
        <v>74</v>
      </c>
      <c r="F892" t="s">
        <v>15721</v>
      </c>
      <c r="G892" t="s">
        <v>74</v>
      </c>
      <c r="H892" t="s">
        <v>74</v>
      </c>
      <c r="I892" t="s">
        <v>15722</v>
      </c>
      <c r="J892" t="s">
        <v>4698</v>
      </c>
      <c r="K892" t="s">
        <v>74</v>
      </c>
      <c r="L892" t="s">
        <v>74</v>
      </c>
      <c r="M892" t="s">
        <v>78</v>
      </c>
      <c r="N892" t="s">
        <v>79</v>
      </c>
      <c r="O892" t="s">
        <v>74</v>
      </c>
      <c r="P892" t="s">
        <v>74</v>
      </c>
      <c r="Q892" t="s">
        <v>74</v>
      </c>
      <c r="R892" t="s">
        <v>74</v>
      </c>
      <c r="S892" t="s">
        <v>74</v>
      </c>
      <c r="T892" t="s">
        <v>74</v>
      </c>
      <c r="U892" t="s">
        <v>15723</v>
      </c>
      <c r="V892" t="s">
        <v>15724</v>
      </c>
      <c r="W892" t="s">
        <v>15725</v>
      </c>
      <c r="X892" t="s">
        <v>15726</v>
      </c>
      <c r="Y892" t="s">
        <v>15727</v>
      </c>
      <c r="Z892" t="s">
        <v>15728</v>
      </c>
      <c r="AA892" t="s">
        <v>74</v>
      </c>
      <c r="AB892" t="s">
        <v>15729</v>
      </c>
      <c r="AC892" t="s">
        <v>15730</v>
      </c>
      <c r="AD892" t="s">
        <v>15731</v>
      </c>
      <c r="AE892" t="s">
        <v>15732</v>
      </c>
      <c r="AF892" t="s">
        <v>74</v>
      </c>
      <c r="AG892">
        <v>43</v>
      </c>
      <c r="AH892">
        <v>35</v>
      </c>
      <c r="AI892">
        <v>37</v>
      </c>
      <c r="AJ892">
        <v>0</v>
      </c>
      <c r="AK892">
        <v>6</v>
      </c>
      <c r="AL892" t="s">
        <v>1398</v>
      </c>
      <c r="AM892" t="s">
        <v>1399</v>
      </c>
      <c r="AN892" t="s">
        <v>1400</v>
      </c>
      <c r="AO892" t="s">
        <v>4708</v>
      </c>
      <c r="AP892" t="s">
        <v>74</v>
      </c>
      <c r="AQ892" t="s">
        <v>74</v>
      </c>
      <c r="AR892" t="s">
        <v>4710</v>
      </c>
      <c r="AS892" t="s">
        <v>4711</v>
      </c>
      <c r="AT892" t="s">
        <v>11480</v>
      </c>
      <c r="AU892">
        <v>2009</v>
      </c>
      <c r="AV892">
        <v>39</v>
      </c>
      <c r="AW892">
        <v>1</v>
      </c>
      <c r="AX892" t="s">
        <v>74</v>
      </c>
      <c r="AY892" t="s">
        <v>74</v>
      </c>
      <c r="AZ892" t="s">
        <v>74</v>
      </c>
      <c r="BA892" t="s">
        <v>74</v>
      </c>
      <c r="BB892">
        <v>125</v>
      </c>
      <c r="BC892">
        <v>142</v>
      </c>
      <c r="BD892" t="s">
        <v>74</v>
      </c>
      <c r="BE892" t="s">
        <v>15733</v>
      </c>
      <c r="BF892" t="str">
        <f>HYPERLINK("http://dx.doi.org/10.1175/2008JPO3991.1","http://dx.doi.org/10.1175/2008JPO3991.1")</f>
        <v>http://dx.doi.org/10.1175/2008JPO3991.1</v>
      </c>
      <c r="BG892" t="s">
        <v>74</v>
      </c>
      <c r="BH892" t="s">
        <v>74</v>
      </c>
      <c r="BI892">
        <v>18</v>
      </c>
      <c r="BJ892" t="s">
        <v>689</v>
      </c>
      <c r="BK892" t="s">
        <v>100</v>
      </c>
      <c r="BL892" t="s">
        <v>689</v>
      </c>
      <c r="BM892" t="s">
        <v>15703</v>
      </c>
      <c r="BN892" t="s">
        <v>74</v>
      </c>
      <c r="BO892" t="s">
        <v>1137</v>
      </c>
      <c r="BP892" t="s">
        <v>74</v>
      </c>
      <c r="BQ892" t="s">
        <v>74</v>
      </c>
      <c r="BR892" t="s">
        <v>103</v>
      </c>
      <c r="BS892" t="s">
        <v>15734</v>
      </c>
      <c r="BT892" t="str">
        <f>HYPERLINK("https%3A%2F%2Fwww.webofscience.com%2Fwos%2Fwoscc%2Ffull-record%2FWOS:000263557800007","View Full Record in Web of Science")</f>
        <v>View Full Record in Web of Science</v>
      </c>
    </row>
    <row r="893" spans="1:72" x14ac:dyDescent="0.15">
      <c r="A893" t="s">
        <v>72</v>
      </c>
      <c r="B893" t="s">
        <v>15735</v>
      </c>
      <c r="C893" t="s">
        <v>74</v>
      </c>
      <c r="D893" t="s">
        <v>74</v>
      </c>
      <c r="E893" t="s">
        <v>74</v>
      </c>
      <c r="F893" t="s">
        <v>15736</v>
      </c>
      <c r="G893" t="s">
        <v>74</v>
      </c>
      <c r="H893" t="s">
        <v>74</v>
      </c>
      <c r="I893" t="s">
        <v>15737</v>
      </c>
      <c r="J893" t="s">
        <v>15738</v>
      </c>
      <c r="K893" t="s">
        <v>74</v>
      </c>
      <c r="L893" t="s">
        <v>74</v>
      </c>
      <c r="M893" t="s">
        <v>78</v>
      </c>
      <c r="N893" t="s">
        <v>79</v>
      </c>
      <c r="O893" t="s">
        <v>74</v>
      </c>
      <c r="P893" t="s">
        <v>74</v>
      </c>
      <c r="Q893" t="s">
        <v>74</v>
      </c>
      <c r="R893" t="s">
        <v>74</v>
      </c>
      <c r="S893" t="s">
        <v>74</v>
      </c>
      <c r="T893" t="s">
        <v>15739</v>
      </c>
      <c r="U893" t="s">
        <v>15740</v>
      </c>
      <c r="V893" t="s">
        <v>15741</v>
      </c>
      <c r="W893" t="s">
        <v>15742</v>
      </c>
      <c r="X893" t="s">
        <v>15743</v>
      </c>
      <c r="Y893" t="s">
        <v>15744</v>
      </c>
      <c r="Z893" t="s">
        <v>15745</v>
      </c>
      <c r="AA893" t="s">
        <v>15746</v>
      </c>
      <c r="AB893" t="s">
        <v>15747</v>
      </c>
      <c r="AC893" t="s">
        <v>74</v>
      </c>
      <c r="AD893" t="s">
        <v>74</v>
      </c>
      <c r="AE893" t="s">
        <v>74</v>
      </c>
      <c r="AF893" t="s">
        <v>74</v>
      </c>
      <c r="AG893">
        <v>88</v>
      </c>
      <c r="AH893">
        <v>53</v>
      </c>
      <c r="AI893">
        <v>58</v>
      </c>
      <c r="AJ893">
        <v>1</v>
      </c>
      <c r="AK893">
        <v>31</v>
      </c>
      <c r="AL893" t="s">
        <v>12889</v>
      </c>
      <c r="AM893" t="s">
        <v>1168</v>
      </c>
      <c r="AN893" t="s">
        <v>15748</v>
      </c>
      <c r="AO893" t="s">
        <v>15749</v>
      </c>
      <c r="AP893" t="s">
        <v>15750</v>
      </c>
      <c r="AQ893" t="s">
        <v>74</v>
      </c>
      <c r="AR893" t="s">
        <v>15751</v>
      </c>
      <c r="AS893" t="s">
        <v>15752</v>
      </c>
      <c r="AT893" t="s">
        <v>74</v>
      </c>
      <c r="AU893">
        <v>2009</v>
      </c>
      <c r="AV893">
        <v>17</v>
      </c>
      <c r="AW893">
        <v>4</v>
      </c>
      <c r="AX893" t="s">
        <v>74</v>
      </c>
      <c r="AY893" t="s">
        <v>74</v>
      </c>
      <c r="AZ893" t="s">
        <v>74</v>
      </c>
      <c r="BA893" t="s">
        <v>74</v>
      </c>
      <c r="BB893">
        <v>411</v>
      </c>
      <c r="BC893">
        <v>430</v>
      </c>
      <c r="BD893" t="s">
        <v>15753</v>
      </c>
      <c r="BE893" t="s">
        <v>15754</v>
      </c>
      <c r="BF893" t="str">
        <f>HYPERLINK("http://dx.doi.org/10.1080/09669580802495717","http://dx.doi.org/10.1080/09669580802495717")</f>
        <v>http://dx.doi.org/10.1080/09669580802495717</v>
      </c>
      <c r="BG893" t="s">
        <v>74</v>
      </c>
      <c r="BH893" t="s">
        <v>74</v>
      </c>
      <c r="BI893">
        <v>20</v>
      </c>
      <c r="BJ893" t="s">
        <v>15755</v>
      </c>
      <c r="BK893" t="s">
        <v>6246</v>
      </c>
      <c r="BL893" t="s">
        <v>15756</v>
      </c>
      <c r="BM893" t="s">
        <v>15757</v>
      </c>
      <c r="BN893" t="s">
        <v>74</v>
      </c>
      <c r="BO893" t="s">
        <v>74</v>
      </c>
      <c r="BP893" t="s">
        <v>74</v>
      </c>
      <c r="BQ893" t="s">
        <v>74</v>
      </c>
      <c r="BR893" t="s">
        <v>103</v>
      </c>
      <c r="BS893" t="s">
        <v>15758</v>
      </c>
      <c r="BT893" t="str">
        <f>HYPERLINK("https%3A%2F%2Fwww.webofscience.com%2Fwos%2Fwoscc%2Ffull-record%2FWOS:000267105300001","View Full Record in Web of Science")</f>
        <v>View Full Record in Web of Science</v>
      </c>
    </row>
    <row r="894" spans="1:72" x14ac:dyDescent="0.15">
      <c r="A894" t="s">
        <v>72</v>
      </c>
      <c r="B894" t="s">
        <v>15759</v>
      </c>
      <c r="C894" t="s">
        <v>74</v>
      </c>
      <c r="D894" t="s">
        <v>74</v>
      </c>
      <c r="E894" t="s">
        <v>74</v>
      </c>
      <c r="F894" t="s">
        <v>15760</v>
      </c>
      <c r="G894" t="s">
        <v>74</v>
      </c>
      <c r="H894" t="s">
        <v>74</v>
      </c>
      <c r="I894" t="s">
        <v>15761</v>
      </c>
      <c r="J894" t="s">
        <v>6968</v>
      </c>
      <c r="K894" t="s">
        <v>74</v>
      </c>
      <c r="L894" t="s">
        <v>74</v>
      </c>
      <c r="M894" t="s">
        <v>78</v>
      </c>
      <c r="N894" t="s">
        <v>79</v>
      </c>
      <c r="O894" t="s">
        <v>74</v>
      </c>
      <c r="P894" t="s">
        <v>74</v>
      </c>
      <c r="Q894" t="s">
        <v>74</v>
      </c>
      <c r="R894" t="s">
        <v>74</v>
      </c>
      <c r="S894" t="s">
        <v>74</v>
      </c>
      <c r="T894" t="s">
        <v>15762</v>
      </c>
      <c r="U894" t="s">
        <v>15763</v>
      </c>
      <c r="V894" t="s">
        <v>15764</v>
      </c>
      <c r="W894" t="s">
        <v>15765</v>
      </c>
      <c r="X894" t="s">
        <v>15766</v>
      </c>
      <c r="Y894" t="s">
        <v>15767</v>
      </c>
      <c r="Z894" t="s">
        <v>15768</v>
      </c>
      <c r="AA894" t="s">
        <v>74</v>
      </c>
      <c r="AB894" t="s">
        <v>15769</v>
      </c>
      <c r="AC894" t="s">
        <v>74</v>
      </c>
      <c r="AD894" t="s">
        <v>74</v>
      </c>
      <c r="AE894" t="s">
        <v>74</v>
      </c>
      <c r="AF894" t="s">
        <v>74</v>
      </c>
      <c r="AG894">
        <v>40</v>
      </c>
      <c r="AH894">
        <v>20</v>
      </c>
      <c r="AI894">
        <v>24</v>
      </c>
      <c r="AJ894">
        <v>0</v>
      </c>
      <c r="AK894">
        <v>8</v>
      </c>
      <c r="AL894" t="s">
        <v>6980</v>
      </c>
      <c r="AM894" t="s">
        <v>348</v>
      </c>
      <c r="AN894" t="s">
        <v>6981</v>
      </c>
      <c r="AO894" t="s">
        <v>6982</v>
      </c>
      <c r="AP894" t="s">
        <v>74</v>
      </c>
      <c r="AQ894" t="s">
        <v>74</v>
      </c>
      <c r="AR894" t="s">
        <v>6984</v>
      </c>
      <c r="AS894" t="s">
        <v>6985</v>
      </c>
      <c r="AT894" t="s">
        <v>11480</v>
      </c>
      <c r="AU894">
        <v>2009</v>
      </c>
      <c r="AV894">
        <v>125</v>
      </c>
      <c r="AW894">
        <v>1</v>
      </c>
      <c r="AX894" t="s">
        <v>74</v>
      </c>
      <c r="AY894" t="s">
        <v>74</v>
      </c>
      <c r="AZ894" t="s">
        <v>74</v>
      </c>
      <c r="BA894" t="s">
        <v>74</v>
      </c>
      <c r="BB894">
        <v>73</v>
      </c>
      <c r="BC894">
        <v>88</v>
      </c>
      <c r="BD894" t="s">
        <v>74</v>
      </c>
      <c r="BE894" t="s">
        <v>15770</v>
      </c>
      <c r="BF894" t="str">
        <f>HYPERLINK("http://dx.doi.org/10.1121/1.3021298","http://dx.doi.org/10.1121/1.3021298")</f>
        <v>http://dx.doi.org/10.1121/1.3021298</v>
      </c>
      <c r="BG894" t="s">
        <v>74</v>
      </c>
      <c r="BH894" t="s">
        <v>74</v>
      </c>
      <c r="BI894">
        <v>16</v>
      </c>
      <c r="BJ894" t="s">
        <v>6987</v>
      </c>
      <c r="BK894" t="s">
        <v>100</v>
      </c>
      <c r="BL894" t="s">
        <v>6987</v>
      </c>
      <c r="BM894" t="s">
        <v>15771</v>
      </c>
      <c r="BN894">
        <v>19173396</v>
      </c>
      <c r="BO894" t="s">
        <v>217</v>
      </c>
      <c r="BP894" t="s">
        <v>74</v>
      </c>
      <c r="BQ894" t="s">
        <v>74</v>
      </c>
      <c r="BR894" t="s">
        <v>103</v>
      </c>
      <c r="BS894" t="s">
        <v>15772</v>
      </c>
      <c r="BT894" t="str">
        <f>HYPERLINK("https%3A%2F%2Fwww.webofscience.com%2Fwos%2Fwoscc%2Ffull-record%2FWOS:000262672600020","View Full Record in Web of Science")</f>
        <v>View Full Record in Web of Science</v>
      </c>
    </row>
    <row r="895" spans="1:72" x14ac:dyDescent="0.15">
      <c r="A895" t="s">
        <v>72</v>
      </c>
      <c r="B895" t="s">
        <v>15773</v>
      </c>
      <c r="C895" t="s">
        <v>74</v>
      </c>
      <c r="D895" t="s">
        <v>74</v>
      </c>
      <c r="E895" t="s">
        <v>74</v>
      </c>
      <c r="F895" t="s">
        <v>15774</v>
      </c>
      <c r="G895" t="s">
        <v>74</v>
      </c>
      <c r="H895" t="s">
        <v>74</v>
      </c>
      <c r="I895" t="s">
        <v>15775</v>
      </c>
      <c r="J895" t="s">
        <v>15776</v>
      </c>
      <c r="K895" t="s">
        <v>74</v>
      </c>
      <c r="L895" t="s">
        <v>74</v>
      </c>
      <c r="M895" t="s">
        <v>78</v>
      </c>
      <c r="N895" t="s">
        <v>79</v>
      </c>
      <c r="O895" t="s">
        <v>74</v>
      </c>
      <c r="P895" t="s">
        <v>74</v>
      </c>
      <c r="Q895" t="s">
        <v>74</v>
      </c>
      <c r="R895" t="s">
        <v>74</v>
      </c>
      <c r="S895" t="s">
        <v>74</v>
      </c>
      <c r="T895" t="s">
        <v>15777</v>
      </c>
      <c r="U895" t="s">
        <v>15778</v>
      </c>
      <c r="V895" t="s">
        <v>15779</v>
      </c>
      <c r="W895" t="s">
        <v>15780</v>
      </c>
      <c r="X895" t="s">
        <v>15781</v>
      </c>
      <c r="Y895" t="s">
        <v>15782</v>
      </c>
      <c r="Z895" t="s">
        <v>15783</v>
      </c>
      <c r="AA895" t="s">
        <v>74</v>
      </c>
      <c r="AB895" t="s">
        <v>74</v>
      </c>
      <c r="AC895" t="s">
        <v>74</v>
      </c>
      <c r="AD895" t="s">
        <v>74</v>
      </c>
      <c r="AE895" t="s">
        <v>74</v>
      </c>
      <c r="AF895" t="s">
        <v>74</v>
      </c>
      <c r="AG895">
        <v>22</v>
      </c>
      <c r="AH895">
        <v>2</v>
      </c>
      <c r="AI895">
        <v>2</v>
      </c>
      <c r="AJ895">
        <v>0</v>
      </c>
      <c r="AK895">
        <v>0</v>
      </c>
      <c r="AL895" t="s">
        <v>13588</v>
      </c>
      <c r="AM895" t="s">
        <v>13589</v>
      </c>
      <c r="AN895" t="s">
        <v>13590</v>
      </c>
      <c r="AO895" t="s">
        <v>15784</v>
      </c>
      <c r="AP895" t="s">
        <v>15785</v>
      </c>
      <c r="AQ895" t="s">
        <v>74</v>
      </c>
      <c r="AR895" t="s">
        <v>15786</v>
      </c>
      <c r="AS895" t="s">
        <v>15787</v>
      </c>
      <c r="AT895" t="s">
        <v>74</v>
      </c>
      <c r="AU895">
        <v>2009</v>
      </c>
      <c r="AV895">
        <v>18</v>
      </c>
      <c r="AW895">
        <v>3</v>
      </c>
      <c r="AX895" t="s">
        <v>74</v>
      </c>
      <c r="AY895" t="s">
        <v>74</v>
      </c>
      <c r="AZ895" t="s">
        <v>74</v>
      </c>
      <c r="BA895" t="s">
        <v>74</v>
      </c>
      <c r="BB895">
        <v>320</v>
      </c>
      <c r="BC895">
        <v>328</v>
      </c>
      <c r="BD895" t="s">
        <v>74</v>
      </c>
      <c r="BE895" t="s">
        <v>15788</v>
      </c>
      <c r="BF895" t="str">
        <f>HYPERLINK("http://dx.doi.org/10.1080/09647040802032512","http://dx.doi.org/10.1080/09647040802032512")</f>
        <v>http://dx.doi.org/10.1080/09647040802032512</v>
      </c>
      <c r="BG895" t="s">
        <v>74</v>
      </c>
      <c r="BH895" t="s">
        <v>74</v>
      </c>
      <c r="BI895">
        <v>9</v>
      </c>
      <c r="BJ895" t="s">
        <v>15789</v>
      </c>
      <c r="BK895" t="s">
        <v>100</v>
      </c>
      <c r="BL895" t="s">
        <v>15790</v>
      </c>
      <c r="BM895" t="s">
        <v>15791</v>
      </c>
      <c r="BN895">
        <v>20183212</v>
      </c>
      <c r="BO895" t="s">
        <v>74</v>
      </c>
      <c r="BP895" t="s">
        <v>74</v>
      </c>
      <c r="BQ895" t="s">
        <v>74</v>
      </c>
      <c r="BR895" t="s">
        <v>103</v>
      </c>
      <c r="BS895" t="s">
        <v>15792</v>
      </c>
      <c r="BT895" t="str">
        <f>HYPERLINK("https%3A%2F%2Fwww.webofscience.com%2Fwos%2Fwoscc%2Ffull-record%2FWOS:000268815400011","View Full Record in Web of Science")</f>
        <v>View Full Record in Web of Science</v>
      </c>
    </row>
    <row r="896" spans="1:72" x14ac:dyDescent="0.15">
      <c r="A896" t="s">
        <v>72</v>
      </c>
      <c r="B896" t="s">
        <v>15793</v>
      </c>
      <c r="C896" t="s">
        <v>74</v>
      </c>
      <c r="D896" t="s">
        <v>74</v>
      </c>
      <c r="E896" t="s">
        <v>74</v>
      </c>
      <c r="F896" t="s">
        <v>15794</v>
      </c>
      <c r="G896" t="s">
        <v>74</v>
      </c>
      <c r="H896" t="s">
        <v>74</v>
      </c>
      <c r="I896" t="s">
        <v>15795</v>
      </c>
      <c r="J896" t="s">
        <v>15796</v>
      </c>
      <c r="K896" t="s">
        <v>74</v>
      </c>
      <c r="L896" t="s">
        <v>74</v>
      </c>
      <c r="M896" t="s">
        <v>78</v>
      </c>
      <c r="N896" t="s">
        <v>79</v>
      </c>
      <c r="O896" t="s">
        <v>74</v>
      </c>
      <c r="P896" t="s">
        <v>74</v>
      </c>
      <c r="Q896" t="s">
        <v>74</v>
      </c>
      <c r="R896" t="s">
        <v>74</v>
      </c>
      <c r="S896" t="s">
        <v>74</v>
      </c>
      <c r="T896" t="s">
        <v>15797</v>
      </c>
      <c r="U896" t="s">
        <v>74</v>
      </c>
      <c r="V896" t="s">
        <v>15798</v>
      </c>
      <c r="W896" t="s">
        <v>15799</v>
      </c>
      <c r="X896" t="s">
        <v>3049</v>
      </c>
      <c r="Y896" t="s">
        <v>15800</v>
      </c>
      <c r="Z896" t="s">
        <v>15801</v>
      </c>
      <c r="AA896" t="s">
        <v>74</v>
      </c>
      <c r="AB896" t="s">
        <v>74</v>
      </c>
      <c r="AC896" t="s">
        <v>74</v>
      </c>
      <c r="AD896" t="s">
        <v>74</v>
      </c>
      <c r="AE896" t="s">
        <v>74</v>
      </c>
      <c r="AF896" t="s">
        <v>74</v>
      </c>
      <c r="AG896">
        <v>24</v>
      </c>
      <c r="AH896">
        <v>0</v>
      </c>
      <c r="AI896">
        <v>0</v>
      </c>
      <c r="AJ896">
        <v>0</v>
      </c>
      <c r="AK896">
        <v>2</v>
      </c>
      <c r="AL896" t="s">
        <v>15802</v>
      </c>
      <c r="AM896" t="s">
        <v>1975</v>
      </c>
      <c r="AN896" t="s">
        <v>15803</v>
      </c>
      <c r="AO896" t="s">
        <v>15804</v>
      </c>
      <c r="AP896" t="s">
        <v>74</v>
      </c>
      <c r="AQ896" t="s">
        <v>74</v>
      </c>
      <c r="AR896" t="s">
        <v>15805</v>
      </c>
      <c r="AS896" t="s">
        <v>15806</v>
      </c>
      <c r="AT896" t="s">
        <v>11455</v>
      </c>
      <c r="AU896">
        <v>2009</v>
      </c>
      <c r="AV896">
        <v>78</v>
      </c>
      <c r="AW896" t="s">
        <v>74</v>
      </c>
      <c r="AX896" t="s">
        <v>74</v>
      </c>
      <c r="AY896" t="s">
        <v>15807</v>
      </c>
      <c r="AZ896" t="s">
        <v>74</v>
      </c>
      <c r="BA896" t="s">
        <v>74</v>
      </c>
      <c r="BB896">
        <v>101</v>
      </c>
      <c r="BC896">
        <v>107</v>
      </c>
      <c r="BD896" t="s">
        <v>74</v>
      </c>
      <c r="BE896" t="s">
        <v>15808</v>
      </c>
      <c r="BF896" t="str">
        <f>HYPERLINK("http://dx.doi.org/10.1143/JPSJS.78SA.101","http://dx.doi.org/10.1143/JPSJS.78SA.101")</f>
        <v>http://dx.doi.org/10.1143/JPSJS.78SA.101</v>
      </c>
      <c r="BG896" t="s">
        <v>74</v>
      </c>
      <c r="BH896" t="s">
        <v>74</v>
      </c>
      <c r="BI896">
        <v>7</v>
      </c>
      <c r="BJ896" t="s">
        <v>4943</v>
      </c>
      <c r="BK896" t="s">
        <v>100</v>
      </c>
      <c r="BL896" t="s">
        <v>2458</v>
      </c>
      <c r="BM896" t="s">
        <v>15809</v>
      </c>
      <c r="BN896" t="s">
        <v>74</v>
      </c>
      <c r="BO896" t="s">
        <v>499</v>
      </c>
      <c r="BP896" t="s">
        <v>74</v>
      </c>
      <c r="BQ896" t="s">
        <v>74</v>
      </c>
      <c r="BR896" t="s">
        <v>103</v>
      </c>
      <c r="BS896" t="s">
        <v>15810</v>
      </c>
      <c r="BT896" t="str">
        <f>HYPERLINK("https%3A%2F%2Fwww.webofscience.com%2Fwos%2Fwoscc%2Ffull-record%2FWOS:000731108500020","View Full Record in Web of Science")</f>
        <v>View Full Record in Web of Science</v>
      </c>
    </row>
    <row r="897" spans="1:72" x14ac:dyDescent="0.15">
      <c r="A897" t="s">
        <v>72</v>
      </c>
      <c r="B897" t="s">
        <v>15811</v>
      </c>
      <c r="C897" t="s">
        <v>74</v>
      </c>
      <c r="D897" t="s">
        <v>74</v>
      </c>
      <c r="E897" t="s">
        <v>74</v>
      </c>
      <c r="F897" t="s">
        <v>15812</v>
      </c>
      <c r="G897" t="s">
        <v>74</v>
      </c>
      <c r="H897" t="s">
        <v>74</v>
      </c>
      <c r="I897" t="s">
        <v>15813</v>
      </c>
      <c r="J897" t="s">
        <v>15814</v>
      </c>
      <c r="K897" t="s">
        <v>74</v>
      </c>
      <c r="L897" t="s">
        <v>74</v>
      </c>
      <c r="M897" t="s">
        <v>78</v>
      </c>
      <c r="N897" t="s">
        <v>79</v>
      </c>
      <c r="O897" t="s">
        <v>74</v>
      </c>
      <c r="P897" t="s">
        <v>74</v>
      </c>
      <c r="Q897" t="s">
        <v>74</v>
      </c>
      <c r="R897" t="s">
        <v>74</v>
      </c>
      <c r="S897" t="s">
        <v>74</v>
      </c>
      <c r="T897" t="s">
        <v>15815</v>
      </c>
      <c r="U897" t="s">
        <v>15816</v>
      </c>
      <c r="V897" t="s">
        <v>15817</v>
      </c>
      <c r="W897" t="s">
        <v>15818</v>
      </c>
      <c r="X897" t="s">
        <v>15819</v>
      </c>
      <c r="Y897" t="s">
        <v>15820</v>
      </c>
      <c r="Z897" t="s">
        <v>15821</v>
      </c>
      <c r="AA897" t="s">
        <v>15822</v>
      </c>
      <c r="AB897" t="s">
        <v>15823</v>
      </c>
      <c r="AC897" t="s">
        <v>15824</v>
      </c>
      <c r="AD897" t="s">
        <v>15825</v>
      </c>
      <c r="AE897" t="s">
        <v>15826</v>
      </c>
      <c r="AF897" t="s">
        <v>74</v>
      </c>
      <c r="AG897">
        <v>75</v>
      </c>
      <c r="AH897">
        <v>56</v>
      </c>
      <c r="AI897">
        <v>64</v>
      </c>
      <c r="AJ897">
        <v>0</v>
      </c>
      <c r="AK897">
        <v>6</v>
      </c>
      <c r="AL897" t="s">
        <v>1739</v>
      </c>
      <c r="AM897" t="s">
        <v>304</v>
      </c>
      <c r="AN897" t="s">
        <v>1740</v>
      </c>
      <c r="AO897" t="s">
        <v>15827</v>
      </c>
      <c r="AP897" t="s">
        <v>15828</v>
      </c>
      <c r="AQ897" t="s">
        <v>74</v>
      </c>
      <c r="AR897" t="s">
        <v>15829</v>
      </c>
      <c r="AS897" t="s">
        <v>15830</v>
      </c>
      <c r="AT897" t="s">
        <v>74</v>
      </c>
      <c r="AU897">
        <v>2009</v>
      </c>
      <c r="AV897">
        <v>71</v>
      </c>
      <c r="AW897" t="s">
        <v>74</v>
      </c>
      <c r="AX897">
        <v>1</v>
      </c>
      <c r="AY897" t="s">
        <v>74</v>
      </c>
      <c r="AZ897" t="s">
        <v>74</v>
      </c>
      <c r="BA897" t="s">
        <v>74</v>
      </c>
      <c r="BB897">
        <v>97</v>
      </c>
      <c r="BC897">
        <v>125</v>
      </c>
      <c r="BD897" t="s">
        <v>74</v>
      </c>
      <c r="BE897" t="s">
        <v>15831</v>
      </c>
      <c r="BF897" t="str">
        <f>HYPERLINK("http://dx.doi.org/10.1111/j.1467-9868.2008.00672.x","http://dx.doi.org/10.1111/j.1467-9868.2008.00672.x")</f>
        <v>http://dx.doi.org/10.1111/j.1467-9868.2008.00672.x</v>
      </c>
      <c r="BG897" t="s">
        <v>74</v>
      </c>
      <c r="BH897" t="s">
        <v>74</v>
      </c>
      <c r="BI897">
        <v>29</v>
      </c>
      <c r="BJ897" t="s">
        <v>15832</v>
      </c>
      <c r="BK897" t="s">
        <v>100</v>
      </c>
      <c r="BL897" t="s">
        <v>12166</v>
      </c>
      <c r="BM897" t="s">
        <v>15833</v>
      </c>
      <c r="BN897" t="s">
        <v>74</v>
      </c>
      <c r="BO897" t="s">
        <v>499</v>
      </c>
      <c r="BP897" t="s">
        <v>74</v>
      </c>
      <c r="BQ897" t="s">
        <v>74</v>
      </c>
      <c r="BR897" t="s">
        <v>103</v>
      </c>
      <c r="BS897" t="s">
        <v>15834</v>
      </c>
      <c r="BT897" t="str">
        <f>HYPERLINK("https%3A%2F%2Fwww.webofscience.com%2Fwos%2Fwoscc%2Ffull-record%2FWOS:000262235400006","View Full Record in Web of Science")</f>
        <v>View Full Record in Web of Science</v>
      </c>
    </row>
    <row r="898" spans="1:72" x14ac:dyDescent="0.15">
      <c r="A898" t="s">
        <v>2434</v>
      </c>
      <c r="B898" t="s">
        <v>15835</v>
      </c>
      <c r="C898" t="s">
        <v>74</v>
      </c>
      <c r="D898" t="s">
        <v>15836</v>
      </c>
      <c r="E898" t="s">
        <v>74</v>
      </c>
      <c r="F898" t="s">
        <v>15837</v>
      </c>
      <c r="G898" t="s">
        <v>74</v>
      </c>
      <c r="H898" t="s">
        <v>74</v>
      </c>
      <c r="I898" t="s">
        <v>15838</v>
      </c>
      <c r="J898" t="s">
        <v>15839</v>
      </c>
      <c r="K898" t="s">
        <v>15840</v>
      </c>
      <c r="L898" t="s">
        <v>74</v>
      </c>
      <c r="M898" t="s">
        <v>78</v>
      </c>
      <c r="N898" t="s">
        <v>2440</v>
      </c>
      <c r="O898" t="s">
        <v>15841</v>
      </c>
      <c r="P898" t="s">
        <v>15842</v>
      </c>
      <c r="Q898" t="s">
        <v>15843</v>
      </c>
      <c r="R898" t="s">
        <v>74</v>
      </c>
      <c r="S898" t="s">
        <v>74</v>
      </c>
      <c r="T898" t="s">
        <v>15844</v>
      </c>
      <c r="U898" t="s">
        <v>15845</v>
      </c>
      <c r="V898" t="s">
        <v>15846</v>
      </c>
      <c r="W898" t="s">
        <v>15847</v>
      </c>
      <c r="X898" t="s">
        <v>15848</v>
      </c>
      <c r="Y898" t="s">
        <v>15849</v>
      </c>
      <c r="Z898" t="s">
        <v>15850</v>
      </c>
      <c r="AA898" t="s">
        <v>15851</v>
      </c>
      <c r="AB898" t="s">
        <v>15852</v>
      </c>
      <c r="AC898" t="s">
        <v>74</v>
      </c>
      <c r="AD898" t="s">
        <v>74</v>
      </c>
      <c r="AE898" t="s">
        <v>74</v>
      </c>
      <c r="AF898" t="s">
        <v>74</v>
      </c>
      <c r="AG898">
        <v>140</v>
      </c>
      <c r="AH898">
        <v>11</v>
      </c>
      <c r="AI898">
        <v>12</v>
      </c>
      <c r="AJ898">
        <v>0</v>
      </c>
      <c r="AK898">
        <v>7</v>
      </c>
      <c r="AL898" t="s">
        <v>12912</v>
      </c>
      <c r="AM898" t="s">
        <v>1096</v>
      </c>
      <c r="AN898" t="s">
        <v>12913</v>
      </c>
      <c r="AO898" t="s">
        <v>15853</v>
      </c>
      <c r="AP898" t="s">
        <v>74</v>
      </c>
      <c r="AQ898" t="s">
        <v>15854</v>
      </c>
      <c r="AR898" t="s">
        <v>15855</v>
      </c>
      <c r="AS898" t="s">
        <v>74</v>
      </c>
      <c r="AT898" t="s">
        <v>74</v>
      </c>
      <c r="AU898">
        <v>2009</v>
      </c>
      <c r="AV898">
        <v>452</v>
      </c>
      <c r="AW898" t="s">
        <v>74</v>
      </c>
      <c r="AX898" t="s">
        <v>74</v>
      </c>
      <c r="AY898" t="s">
        <v>74</v>
      </c>
      <c r="AZ898" t="s">
        <v>74</v>
      </c>
      <c r="BA898" t="s">
        <v>74</v>
      </c>
      <c r="BB898">
        <v>97</v>
      </c>
      <c r="BC898">
        <v>118</v>
      </c>
      <c r="BD898" t="s">
        <v>74</v>
      </c>
      <c r="BE898" t="s">
        <v>15856</v>
      </c>
      <c r="BF898" t="str">
        <f>HYPERLINK("http://dx.doi.org/10.1130/2009.2452(07)","http://dx.doi.org/10.1130/2009.2452(07)")</f>
        <v>http://dx.doi.org/10.1130/2009.2452(07)</v>
      </c>
      <c r="BG898" t="s">
        <v>74</v>
      </c>
      <c r="BH898" t="s">
        <v>74</v>
      </c>
      <c r="BI898">
        <v>22</v>
      </c>
      <c r="BJ898" t="s">
        <v>15857</v>
      </c>
      <c r="BK898" t="s">
        <v>2457</v>
      </c>
      <c r="BL898" t="s">
        <v>13464</v>
      </c>
      <c r="BM898" t="s">
        <v>15858</v>
      </c>
      <c r="BN898" t="s">
        <v>74</v>
      </c>
      <c r="BO898" t="s">
        <v>1106</v>
      </c>
      <c r="BP898" t="s">
        <v>74</v>
      </c>
      <c r="BQ898" t="s">
        <v>74</v>
      </c>
      <c r="BR898" t="s">
        <v>103</v>
      </c>
      <c r="BS898" t="s">
        <v>15859</v>
      </c>
      <c r="BT898" t="str">
        <f>HYPERLINK("https%3A%2F%2Fwww.webofscience.com%2Fwos%2Fwoscc%2Ffull-record%2FWOS:000272085400008","View Full Record in Web of Science")</f>
        <v>View Full Record in Web of Science</v>
      </c>
    </row>
    <row r="899" spans="1:72" x14ac:dyDescent="0.15">
      <c r="A899" t="s">
        <v>2434</v>
      </c>
      <c r="B899" t="s">
        <v>15860</v>
      </c>
      <c r="C899" t="s">
        <v>74</v>
      </c>
      <c r="D899" t="s">
        <v>15836</v>
      </c>
      <c r="E899" t="s">
        <v>74</v>
      </c>
      <c r="F899" t="s">
        <v>15861</v>
      </c>
      <c r="G899" t="s">
        <v>74</v>
      </c>
      <c r="H899" t="s">
        <v>74</v>
      </c>
      <c r="I899" t="s">
        <v>15862</v>
      </c>
      <c r="J899" t="s">
        <v>15839</v>
      </c>
      <c r="K899" t="s">
        <v>15840</v>
      </c>
      <c r="L899" t="s">
        <v>74</v>
      </c>
      <c r="M899" t="s">
        <v>78</v>
      </c>
      <c r="N899" t="s">
        <v>2440</v>
      </c>
      <c r="O899" t="s">
        <v>15841</v>
      </c>
      <c r="P899" t="s">
        <v>15842</v>
      </c>
      <c r="Q899" t="s">
        <v>15843</v>
      </c>
      <c r="R899" t="s">
        <v>74</v>
      </c>
      <c r="S899" t="s">
        <v>74</v>
      </c>
      <c r="T899" t="s">
        <v>15863</v>
      </c>
      <c r="U899" t="s">
        <v>15864</v>
      </c>
      <c r="V899" t="s">
        <v>15865</v>
      </c>
      <c r="W899" t="s">
        <v>15866</v>
      </c>
      <c r="X899" t="s">
        <v>15867</v>
      </c>
      <c r="Y899" t="s">
        <v>15868</v>
      </c>
      <c r="Z899" t="s">
        <v>15869</v>
      </c>
      <c r="AA899" t="s">
        <v>15870</v>
      </c>
      <c r="AB899" t="s">
        <v>15871</v>
      </c>
      <c r="AC899" t="s">
        <v>74</v>
      </c>
      <c r="AD899" t="s">
        <v>74</v>
      </c>
      <c r="AE899" t="s">
        <v>74</v>
      </c>
      <c r="AF899" t="s">
        <v>74</v>
      </c>
      <c r="AG899">
        <v>182</v>
      </c>
      <c r="AH899">
        <v>36</v>
      </c>
      <c r="AI899">
        <v>40</v>
      </c>
      <c r="AJ899">
        <v>0</v>
      </c>
      <c r="AK899">
        <v>10</v>
      </c>
      <c r="AL899" t="s">
        <v>12912</v>
      </c>
      <c r="AM899" t="s">
        <v>1096</v>
      </c>
      <c r="AN899" t="s">
        <v>12913</v>
      </c>
      <c r="AO899" t="s">
        <v>15853</v>
      </c>
      <c r="AP899" t="s">
        <v>74</v>
      </c>
      <c r="AQ899" t="s">
        <v>15854</v>
      </c>
      <c r="AR899" t="s">
        <v>15855</v>
      </c>
      <c r="AS899" t="s">
        <v>74</v>
      </c>
      <c r="AT899" t="s">
        <v>74</v>
      </c>
      <c r="AU899">
        <v>2009</v>
      </c>
      <c r="AV899">
        <v>452</v>
      </c>
      <c r="AW899" t="s">
        <v>74</v>
      </c>
      <c r="AX899" t="s">
        <v>74</v>
      </c>
      <c r="AY899" t="s">
        <v>74</v>
      </c>
      <c r="AZ899" t="s">
        <v>74</v>
      </c>
      <c r="BA899" t="s">
        <v>74</v>
      </c>
      <c r="BB899">
        <v>149</v>
      </c>
      <c r="BC899">
        <v>168</v>
      </c>
      <c r="BD899" t="s">
        <v>74</v>
      </c>
      <c r="BE899" t="s">
        <v>15872</v>
      </c>
      <c r="BF899" t="str">
        <f>HYPERLINK("http://dx.doi.org/10.1130/2009.2452(10)","http://dx.doi.org/10.1130/2009.2452(10)")</f>
        <v>http://dx.doi.org/10.1130/2009.2452(10)</v>
      </c>
      <c r="BG899" t="s">
        <v>74</v>
      </c>
      <c r="BH899" t="s">
        <v>74</v>
      </c>
      <c r="BI899">
        <v>20</v>
      </c>
      <c r="BJ899" t="s">
        <v>15857</v>
      </c>
      <c r="BK899" t="s">
        <v>2457</v>
      </c>
      <c r="BL899" t="s">
        <v>13464</v>
      </c>
      <c r="BM899" t="s">
        <v>15858</v>
      </c>
      <c r="BN899" t="s">
        <v>74</v>
      </c>
      <c r="BO899" t="s">
        <v>74</v>
      </c>
      <c r="BP899" t="s">
        <v>74</v>
      </c>
      <c r="BQ899" t="s">
        <v>74</v>
      </c>
      <c r="BR899" t="s">
        <v>103</v>
      </c>
      <c r="BS899" t="s">
        <v>15873</v>
      </c>
      <c r="BT899" t="str">
        <f>HYPERLINK("https%3A%2F%2Fwww.webofscience.com%2Fwos%2Fwoscc%2Ffull-record%2FWOS:000272085400011","View Full Record in Web of Science")</f>
        <v>View Full Record in Web of Science</v>
      </c>
    </row>
    <row r="900" spans="1:72" x14ac:dyDescent="0.15">
      <c r="A900" t="s">
        <v>2434</v>
      </c>
      <c r="B900" t="s">
        <v>15874</v>
      </c>
      <c r="C900" t="s">
        <v>74</v>
      </c>
      <c r="D900" t="s">
        <v>15836</v>
      </c>
      <c r="E900" t="s">
        <v>74</v>
      </c>
      <c r="F900" t="s">
        <v>15875</v>
      </c>
      <c r="G900" t="s">
        <v>74</v>
      </c>
      <c r="H900" t="s">
        <v>74</v>
      </c>
      <c r="I900" t="s">
        <v>15876</v>
      </c>
      <c r="J900" t="s">
        <v>15839</v>
      </c>
      <c r="K900" t="s">
        <v>15840</v>
      </c>
      <c r="L900" t="s">
        <v>74</v>
      </c>
      <c r="M900" t="s">
        <v>78</v>
      </c>
      <c r="N900" t="s">
        <v>2440</v>
      </c>
      <c r="O900" t="s">
        <v>15841</v>
      </c>
      <c r="P900" t="s">
        <v>15842</v>
      </c>
      <c r="Q900" t="s">
        <v>15843</v>
      </c>
      <c r="R900" t="s">
        <v>74</v>
      </c>
      <c r="S900" t="s">
        <v>74</v>
      </c>
      <c r="T900" t="s">
        <v>15877</v>
      </c>
      <c r="U900" t="s">
        <v>15878</v>
      </c>
      <c r="V900" t="s">
        <v>15879</v>
      </c>
      <c r="W900" t="s">
        <v>15880</v>
      </c>
      <c r="X900" t="s">
        <v>15881</v>
      </c>
      <c r="Y900" t="s">
        <v>15882</v>
      </c>
      <c r="Z900" t="s">
        <v>74</v>
      </c>
      <c r="AA900" t="s">
        <v>15883</v>
      </c>
      <c r="AB900" t="s">
        <v>15884</v>
      </c>
      <c r="AC900" t="s">
        <v>15885</v>
      </c>
      <c r="AD900" t="s">
        <v>15886</v>
      </c>
      <c r="AE900" t="s">
        <v>15887</v>
      </c>
      <c r="AF900" t="s">
        <v>74</v>
      </c>
      <c r="AG900">
        <v>77</v>
      </c>
      <c r="AH900">
        <v>99</v>
      </c>
      <c r="AI900">
        <v>119</v>
      </c>
      <c r="AJ900">
        <v>0</v>
      </c>
      <c r="AK900">
        <v>43</v>
      </c>
      <c r="AL900" t="s">
        <v>12912</v>
      </c>
      <c r="AM900" t="s">
        <v>1096</v>
      </c>
      <c r="AN900" t="s">
        <v>12913</v>
      </c>
      <c r="AO900" t="s">
        <v>15853</v>
      </c>
      <c r="AP900" t="s">
        <v>74</v>
      </c>
      <c r="AQ900" t="s">
        <v>15854</v>
      </c>
      <c r="AR900" t="s">
        <v>15855</v>
      </c>
      <c r="AS900" t="s">
        <v>74</v>
      </c>
      <c r="AT900" t="s">
        <v>74</v>
      </c>
      <c r="AU900">
        <v>2009</v>
      </c>
      <c r="AV900">
        <v>452</v>
      </c>
      <c r="AW900" t="s">
        <v>74</v>
      </c>
      <c r="AX900" t="s">
        <v>74</v>
      </c>
      <c r="AY900" t="s">
        <v>74</v>
      </c>
      <c r="AZ900" t="s">
        <v>74</v>
      </c>
      <c r="BA900" t="s">
        <v>74</v>
      </c>
      <c r="BB900">
        <v>169</v>
      </c>
      <c r="BC900">
        <v>178</v>
      </c>
      <c r="BD900" t="s">
        <v>74</v>
      </c>
      <c r="BE900" t="s">
        <v>15888</v>
      </c>
      <c r="BF900" t="str">
        <f>HYPERLINK("http://dx.doi.org/10.1130/2009.2452(11)","http://dx.doi.org/10.1130/2009.2452(11)")</f>
        <v>http://dx.doi.org/10.1130/2009.2452(11)</v>
      </c>
      <c r="BG900" t="s">
        <v>74</v>
      </c>
      <c r="BH900" t="s">
        <v>74</v>
      </c>
      <c r="BI900">
        <v>10</v>
      </c>
      <c r="BJ900" t="s">
        <v>15857</v>
      </c>
      <c r="BK900" t="s">
        <v>2457</v>
      </c>
      <c r="BL900" t="s">
        <v>13464</v>
      </c>
      <c r="BM900" t="s">
        <v>15858</v>
      </c>
      <c r="BN900" t="s">
        <v>74</v>
      </c>
      <c r="BO900" t="s">
        <v>74</v>
      </c>
      <c r="BP900" t="s">
        <v>74</v>
      </c>
      <c r="BQ900" t="s">
        <v>74</v>
      </c>
      <c r="BR900" t="s">
        <v>103</v>
      </c>
      <c r="BS900" t="s">
        <v>15889</v>
      </c>
      <c r="BT900" t="str">
        <f>HYPERLINK("https%3A%2F%2Fwww.webofscience.com%2Fwos%2Fwoscc%2Ffull-record%2FWOS:000272085400012","View Full Record in Web of Science")</f>
        <v>View Full Record in Web of Science</v>
      </c>
    </row>
    <row r="901" spans="1:72" x14ac:dyDescent="0.15">
      <c r="A901" t="s">
        <v>2434</v>
      </c>
      <c r="B901" t="s">
        <v>15890</v>
      </c>
      <c r="C901" t="s">
        <v>74</v>
      </c>
      <c r="D901" t="s">
        <v>15836</v>
      </c>
      <c r="E901" t="s">
        <v>74</v>
      </c>
      <c r="F901" t="s">
        <v>15891</v>
      </c>
      <c r="G901" t="s">
        <v>74</v>
      </c>
      <c r="H901" t="s">
        <v>74</v>
      </c>
      <c r="I901" t="s">
        <v>15892</v>
      </c>
      <c r="J901" t="s">
        <v>15839</v>
      </c>
      <c r="K901" t="s">
        <v>15840</v>
      </c>
      <c r="L901" t="s">
        <v>74</v>
      </c>
      <c r="M901" t="s">
        <v>78</v>
      </c>
      <c r="N901" t="s">
        <v>2440</v>
      </c>
      <c r="O901" t="s">
        <v>15841</v>
      </c>
      <c r="P901" t="s">
        <v>15842</v>
      </c>
      <c r="Q901" t="s">
        <v>15843</v>
      </c>
      <c r="R901" t="s">
        <v>74</v>
      </c>
      <c r="S901" t="s">
        <v>74</v>
      </c>
      <c r="T901" t="s">
        <v>15893</v>
      </c>
      <c r="U901" t="s">
        <v>15894</v>
      </c>
      <c r="V901" t="s">
        <v>15895</v>
      </c>
      <c r="W901" t="s">
        <v>15896</v>
      </c>
      <c r="X901" t="s">
        <v>15897</v>
      </c>
      <c r="Y901" t="s">
        <v>15898</v>
      </c>
      <c r="Z901" t="s">
        <v>15899</v>
      </c>
      <c r="AA901" t="s">
        <v>74</v>
      </c>
      <c r="AB901" t="s">
        <v>74</v>
      </c>
      <c r="AC901" t="s">
        <v>74</v>
      </c>
      <c r="AD901" t="s">
        <v>74</v>
      </c>
      <c r="AE901" t="s">
        <v>74</v>
      </c>
      <c r="AF901" t="s">
        <v>74</v>
      </c>
      <c r="AG901">
        <v>144</v>
      </c>
      <c r="AH901">
        <v>13</v>
      </c>
      <c r="AI901">
        <v>15</v>
      </c>
      <c r="AJ901">
        <v>0</v>
      </c>
      <c r="AK901">
        <v>7</v>
      </c>
      <c r="AL901" t="s">
        <v>12912</v>
      </c>
      <c r="AM901" t="s">
        <v>1096</v>
      </c>
      <c r="AN901" t="s">
        <v>12913</v>
      </c>
      <c r="AO901" t="s">
        <v>15853</v>
      </c>
      <c r="AP901" t="s">
        <v>74</v>
      </c>
      <c r="AQ901" t="s">
        <v>15854</v>
      </c>
      <c r="AR901" t="s">
        <v>15855</v>
      </c>
      <c r="AS901" t="s">
        <v>74</v>
      </c>
      <c r="AT901" t="s">
        <v>74</v>
      </c>
      <c r="AU901">
        <v>2009</v>
      </c>
      <c r="AV901">
        <v>452</v>
      </c>
      <c r="AW901" t="s">
        <v>74</v>
      </c>
      <c r="AX901" t="s">
        <v>74</v>
      </c>
      <c r="AY901" t="s">
        <v>74</v>
      </c>
      <c r="AZ901" t="s">
        <v>74</v>
      </c>
      <c r="BA901" t="s">
        <v>74</v>
      </c>
      <c r="BB901">
        <v>215</v>
      </c>
      <c r="BC901">
        <v>240</v>
      </c>
      <c r="BD901" t="s">
        <v>74</v>
      </c>
      <c r="BE901" t="s">
        <v>15900</v>
      </c>
      <c r="BF901" t="str">
        <f>HYPERLINK("http://dx.doi.org/10.1130/2009.2452(14)","http://dx.doi.org/10.1130/2009.2452(14)")</f>
        <v>http://dx.doi.org/10.1130/2009.2452(14)</v>
      </c>
      <c r="BG901" t="s">
        <v>74</v>
      </c>
      <c r="BH901" t="s">
        <v>74</v>
      </c>
      <c r="BI901">
        <v>26</v>
      </c>
      <c r="BJ901" t="s">
        <v>15857</v>
      </c>
      <c r="BK901" t="s">
        <v>2457</v>
      </c>
      <c r="BL901" t="s">
        <v>13464</v>
      </c>
      <c r="BM901" t="s">
        <v>15858</v>
      </c>
      <c r="BN901" t="s">
        <v>74</v>
      </c>
      <c r="BO901" t="s">
        <v>74</v>
      </c>
      <c r="BP901" t="s">
        <v>74</v>
      </c>
      <c r="BQ901" t="s">
        <v>74</v>
      </c>
      <c r="BR901" t="s">
        <v>103</v>
      </c>
      <c r="BS901" t="s">
        <v>15901</v>
      </c>
      <c r="BT901" t="str">
        <f>HYPERLINK("https%3A%2F%2Fwww.webofscience.com%2Fwos%2Fwoscc%2Ffull-record%2FWOS:000272085400015","View Full Record in Web of Science")</f>
        <v>View Full Record in Web of Science</v>
      </c>
    </row>
    <row r="902" spans="1:72" x14ac:dyDescent="0.15">
      <c r="A902" t="s">
        <v>2434</v>
      </c>
      <c r="B902" t="s">
        <v>15902</v>
      </c>
      <c r="C902" t="s">
        <v>74</v>
      </c>
      <c r="D902" t="s">
        <v>15836</v>
      </c>
      <c r="E902" t="s">
        <v>74</v>
      </c>
      <c r="F902" t="s">
        <v>15903</v>
      </c>
      <c r="G902" t="s">
        <v>74</v>
      </c>
      <c r="H902" t="s">
        <v>74</v>
      </c>
      <c r="I902" t="s">
        <v>15904</v>
      </c>
      <c r="J902" t="s">
        <v>15839</v>
      </c>
      <c r="K902" t="s">
        <v>15840</v>
      </c>
      <c r="L902" t="s">
        <v>74</v>
      </c>
      <c r="M902" t="s">
        <v>78</v>
      </c>
      <c r="N902" t="s">
        <v>2440</v>
      </c>
      <c r="O902" t="s">
        <v>15841</v>
      </c>
      <c r="P902" t="s">
        <v>15842</v>
      </c>
      <c r="Q902" t="s">
        <v>15843</v>
      </c>
      <c r="R902" t="s">
        <v>74</v>
      </c>
      <c r="S902" t="s">
        <v>74</v>
      </c>
      <c r="T902" t="s">
        <v>15905</v>
      </c>
      <c r="U902" t="s">
        <v>15906</v>
      </c>
      <c r="V902" t="s">
        <v>15907</v>
      </c>
      <c r="W902" t="s">
        <v>15908</v>
      </c>
      <c r="X902" t="s">
        <v>2491</v>
      </c>
      <c r="Y902" t="s">
        <v>15909</v>
      </c>
      <c r="Z902" t="s">
        <v>15910</v>
      </c>
      <c r="AA902" t="s">
        <v>15911</v>
      </c>
      <c r="AB902" t="s">
        <v>15912</v>
      </c>
      <c r="AC902" t="s">
        <v>74</v>
      </c>
      <c r="AD902" t="s">
        <v>74</v>
      </c>
      <c r="AE902" t="s">
        <v>74</v>
      </c>
      <c r="AF902" t="s">
        <v>74</v>
      </c>
      <c r="AG902">
        <v>42</v>
      </c>
      <c r="AH902">
        <v>30</v>
      </c>
      <c r="AI902">
        <v>37</v>
      </c>
      <c r="AJ902">
        <v>2</v>
      </c>
      <c r="AK902">
        <v>21</v>
      </c>
      <c r="AL902" t="s">
        <v>12912</v>
      </c>
      <c r="AM902" t="s">
        <v>1096</v>
      </c>
      <c r="AN902" t="s">
        <v>12913</v>
      </c>
      <c r="AO902" t="s">
        <v>15853</v>
      </c>
      <c r="AP902" t="s">
        <v>74</v>
      </c>
      <c r="AQ902" t="s">
        <v>15854</v>
      </c>
      <c r="AR902" t="s">
        <v>15855</v>
      </c>
      <c r="AS902" t="s">
        <v>74</v>
      </c>
      <c r="AT902" t="s">
        <v>74</v>
      </c>
      <c r="AU902">
        <v>2009</v>
      </c>
      <c r="AV902">
        <v>452</v>
      </c>
      <c r="AW902" t="s">
        <v>74</v>
      </c>
      <c r="AX902" t="s">
        <v>74</v>
      </c>
      <c r="AY902" t="s">
        <v>74</v>
      </c>
      <c r="AZ902" t="s">
        <v>74</v>
      </c>
      <c r="BA902" t="s">
        <v>74</v>
      </c>
      <c r="BB902">
        <v>241</v>
      </c>
      <c r="BC902">
        <v>248</v>
      </c>
      <c r="BD902" t="s">
        <v>74</v>
      </c>
      <c r="BE902" t="s">
        <v>15913</v>
      </c>
      <c r="BF902" t="str">
        <f>HYPERLINK("http://dx.doi.org/10.1130/2009.2452(15)","http://dx.doi.org/10.1130/2009.2452(15)")</f>
        <v>http://dx.doi.org/10.1130/2009.2452(15)</v>
      </c>
      <c r="BG902" t="s">
        <v>74</v>
      </c>
      <c r="BH902" t="s">
        <v>74</v>
      </c>
      <c r="BI902">
        <v>8</v>
      </c>
      <c r="BJ902" t="s">
        <v>15857</v>
      </c>
      <c r="BK902" t="s">
        <v>2457</v>
      </c>
      <c r="BL902" t="s">
        <v>13464</v>
      </c>
      <c r="BM902" t="s">
        <v>15858</v>
      </c>
      <c r="BN902" t="s">
        <v>74</v>
      </c>
      <c r="BO902" t="s">
        <v>74</v>
      </c>
      <c r="BP902" t="s">
        <v>74</v>
      </c>
      <c r="BQ902" t="s">
        <v>74</v>
      </c>
      <c r="BR902" t="s">
        <v>103</v>
      </c>
      <c r="BS902" t="s">
        <v>15914</v>
      </c>
      <c r="BT902" t="str">
        <f>HYPERLINK("https%3A%2F%2Fwww.webofscience.com%2Fwos%2Fwoscc%2Ffull-record%2FWOS:000272085400016","View Full Record in Web of Science")</f>
        <v>View Full Record in Web of Science</v>
      </c>
    </row>
    <row r="903" spans="1:72" x14ac:dyDescent="0.15">
      <c r="A903" t="s">
        <v>72</v>
      </c>
      <c r="B903" t="s">
        <v>15915</v>
      </c>
      <c r="C903" t="s">
        <v>74</v>
      </c>
      <c r="D903" t="s">
        <v>74</v>
      </c>
      <c r="E903" t="s">
        <v>74</v>
      </c>
      <c r="F903" t="s">
        <v>15916</v>
      </c>
      <c r="G903" t="s">
        <v>74</v>
      </c>
      <c r="H903" t="s">
        <v>74</v>
      </c>
      <c r="I903" t="s">
        <v>15917</v>
      </c>
      <c r="J903" t="s">
        <v>2090</v>
      </c>
      <c r="K903" t="s">
        <v>74</v>
      </c>
      <c r="L903" t="s">
        <v>74</v>
      </c>
      <c r="M903" t="s">
        <v>78</v>
      </c>
      <c r="N903" t="s">
        <v>79</v>
      </c>
      <c r="O903" t="s">
        <v>74</v>
      </c>
      <c r="P903" t="s">
        <v>74</v>
      </c>
      <c r="Q903" t="s">
        <v>74</v>
      </c>
      <c r="R903" t="s">
        <v>74</v>
      </c>
      <c r="S903" t="s">
        <v>74</v>
      </c>
      <c r="T903" t="s">
        <v>74</v>
      </c>
      <c r="U903" t="s">
        <v>15918</v>
      </c>
      <c r="V903" t="s">
        <v>15919</v>
      </c>
      <c r="W903" t="s">
        <v>15920</v>
      </c>
      <c r="X903" t="s">
        <v>15921</v>
      </c>
      <c r="Y903" t="s">
        <v>15922</v>
      </c>
      <c r="Z903" t="s">
        <v>15923</v>
      </c>
      <c r="AA903" t="s">
        <v>15924</v>
      </c>
      <c r="AB903" t="s">
        <v>15925</v>
      </c>
      <c r="AC903" t="s">
        <v>15926</v>
      </c>
      <c r="AD903" t="s">
        <v>15927</v>
      </c>
      <c r="AE903" t="s">
        <v>15928</v>
      </c>
      <c r="AF903" t="s">
        <v>74</v>
      </c>
      <c r="AG903">
        <v>47</v>
      </c>
      <c r="AH903">
        <v>98</v>
      </c>
      <c r="AI903">
        <v>102</v>
      </c>
      <c r="AJ903">
        <v>1</v>
      </c>
      <c r="AK903">
        <v>44</v>
      </c>
      <c r="AL903" t="s">
        <v>489</v>
      </c>
      <c r="AM903" t="s">
        <v>490</v>
      </c>
      <c r="AN903" t="s">
        <v>491</v>
      </c>
      <c r="AO903" t="s">
        <v>2101</v>
      </c>
      <c r="AP903" t="s">
        <v>2102</v>
      </c>
      <c r="AQ903" t="s">
        <v>74</v>
      </c>
      <c r="AR903" t="s">
        <v>2103</v>
      </c>
      <c r="AS903" t="s">
        <v>2104</v>
      </c>
      <c r="AT903" t="s">
        <v>11480</v>
      </c>
      <c r="AU903">
        <v>2009</v>
      </c>
      <c r="AV903">
        <v>54</v>
      </c>
      <c r="AW903">
        <v>1</v>
      </c>
      <c r="AX903" t="s">
        <v>74</v>
      </c>
      <c r="AY903" t="s">
        <v>74</v>
      </c>
      <c r="AZ903" t="s">
        <v>74</v>
      </c>
      <c r="BA903" t="s">
        <v>74</v>
      </c>
      <c r="BB903">
        <v>182</v>
      </c>
      <c r="BC903">
        <v>193</v>
      </c>
      <c r="BD903" t="s">
        <v>74</v>
      </c>
      <c r="BE903" t="s">
        <v>15929</v>
      </c>
      <c r="BF903" t="str">
        <f>HYPERLINK("http://dx.doi.org/10.4319/lo.2009.54.1.0182","http://dx.doi.org/10.4319/lo.2009.54.1.0182")</f>
        <v>http://dx.doi.org/10.4319/lo.2009.54.1.0182</v>
      </c>
      <c r="BG903" t="s">
        <v>74</v>
      </c>
      <c r="BH903" t="s">
        <v>74</v>
      </c>
      <c r="BI903">
        <v>12</v>
      </c>
      <c r="BJ903" t="s">
        <v>2106</v>
      </c>
      <c r="BK903" t="s">
        <v>100</v>
      </c>
      <c r="BL903" t="s">
        <v>2107</v>
      </c>
      <c r="BM903" t="s">
        <v>15930</v>
      </c>
      <c r="BN903" t="s">
        <v>74</v>
      </c>
      <c r="BO903" t="s">
        <v>1106</v>
      </c>
      <c r="BP903" t="s">
        <v>74</v>
      </c>
      <c r="BQ903" t="s">
        <v>74</v>
      </c>
      <c r="BR903" t="s">
        <v>103</v>
      </c>
      <c r="BS903" t="s">
        <v>15931</v>
      </c>
      <c r="BT903" t="str">
        <f>HYPERLINK("https%3A%2F%2Fwww.webofscience.com%2Fwos%2Fwoscc%2Ffull-record%2FWOS:000265168800015","View Full Record in Web of Science")</f>
        <v>View Full Record in Web of Science</v>
      </c>
    </row>
    <row r="904" spans="1:72" x14ac:dyDescent="0.15">
      <c r="A904" t="s">
        <v>5277</v>
      </c>
      <c r="B904" t="s">
        <v>15932</v>
      </c>
      <c r="C904" t="s">
        <v>74</v>
      </c>
      <c r="D904" t="s">
        <v>15933</v>
      </c>
      <c r="E904" t="s">
        <v>74</v>
      </c>
      <c r="F904" t="s">
        <v>15934</v>
      </c>
      <c r="G904" t="s">
        <v>74</v>
      </c>
      <c r="H904" t="s">
        <v>74</v>
      </c>
      <c r="I904" t="s">
        <v>15935</v>
      </c>
      <c r="J904" t="s">
        <v>15936</v>
      </c>
      <c r="K904" t="s">
        <v>74</v>
      </c>
      <c r="L904" t="s">
        <v>74</v>
      </c>
      <c r="M904" t="s">
        <v>78</v>
      </c>
      <c r="N904" t="s">
        <v>11976</v>
      </c>
      <c r="O904" t="s">
        <v>74</v>
      </c>
      <c r="P904" t="s">
        <v>74</v>
      </c>
      <c r="Q904" t="s">
        <v>74</v>
      </c>
      <c r="R904" t="s">
        <v>74</v>
      </c>
      <c r="S904" t="s">
        <v>74</v>
      </c>
      <c r="T904" t="s">
        <v>74</v>
      </c>
      <c r="U904" t="s">
        <v>15937</v>
      </c>
      <c r="V904" t="s">
        <v>74</v>
      </c>
      <c r="W904" t="s">
        <v>15938</v>
      </c>
      <c r="X904" t="s">
        <v>15939</v>
      </c>
      <c r="Y904" t="s">
        <v>15940</v>
      </c>
      <c r="Z904" t="s">
        <v>15941</v>
      </c>
      <c r="AA904" t="s">
        <v>15942</v>
      </c>
      <c r="AB904" t="s">
        <v>15943</v>
      </c>
      <c r="AC904" t="s">
        <v>74</v>
      </c>
      <c r="AD904" t="s">
        <v>74</v>
      </c>
      <c r="AE904" t="s">
        <v>74</v>
      </c>
      <c r="AF904" t="s">
        <v>74</v>
      </c>
      <c r="AG904">
        <v>90</v>
      </c>
      <c r="AH904">
        <v>169</v>
      </c>
      <c r="AI904">
        <v>187</v>
      </c>
      <c r="AJ904">
        <v>0</v>
      </c>
      <c r="AK904">
        <v>25</v>
      </c>
      <c r="AL904" t="s">
        <v>91</v>
      </c>
      <c r="AM904" t="s">
        <v>92</v>
      </c>
      <c r="AN904" t="s">
        <v>14534</v>
      </c>
      <c r="AO904" t="s">
        <v>74</v>
      </c>
      <c r="AP904" t="s">
        <v>74</v>
      </c>
      <c r="AQ904" t="s">
        <v>15944</v>
      </c>
      <c r="AR904" t="s">
        <v>74</v>
      </c>
      <c r="AS904" t="s">
        <v>74</v>
      </c>
      <c r="AT904" t="s">
        <v>74</v>
      </c>
      <c r="AU904">
        <v>2009</v>
      </c>
      <c r="AV904" t="s">
        <v>74</v>
      </c>
      <c r="AW904" t="s">
        <v>74</v>
      </c>
      <c r="AX904" t="s">
        <v>74</v>
      </c>
      <c r="AY904" t="s">
        <v>74</v>
      </c>
      <c r="AZ904" t="s">
        <v>74</v>
      </c>
      <c r="BA904" t="s">
        <v>74</v>
      </c>
      <c r="BB904">
        <v>115</v>
      </c>
      <c r="BC904">
        <v>146</v>
      </c>
      <c r="BD904" t="s">
        <v>74</v>
      </c>
      <c r="BE904" t="s">
        <v>15945</v>
      </c>
      <c r="BF904" t="str">
        <f>HYPERLINK("http://dx.doi.org/10.1007/978-0-387-89366-2_6","http://dx.doi.org/10.1007/978-0-387-89366-2_6")</f>
        <v>http://dx.doi.org/10.1007/978-0-387-89366-2_6</v>
      </c>
      <c r="BG904" t="s">
        <v>15946</v>
      </c>
      <c r="BH904" t="s">
        <v>74</v>
      </c>
      <c r="BI904">
        <v>32</v>
      </c>
      <c r="BJ904" t="s">
        <v>15947</v>
      </c>
      <c r="BK904" t="s">
        <v>11989</v>
      </c>
      <c r="BL904" t="s">
        <v>15947</v>
      </c>
      <c r="BM904" t="s">
        <v>15948</v>
      </c>
      <c r="BN904" t="s">
        <v>74</v>
      </c>
      <c r="BO904" t="s">
        <v>74</v>
      </c>
      <c r="BP904" t="s">
        <v>74</v>
      </c>
      <c r="BQ904" t="s">
        <v>74</v>
      </c>
      <c r="BR904" t="s">
        <v>103</v>
      </c>
      <c r="BS904" t="s">
        <v>15949</v>
      </c>
      <c r="BT904" t="str">
        <f>HYPERLINK("https%3A%2F%2Fwww.webofscience.com%2Fwos%2Fwoscc%2Ffull-record%2FWOS:000268354200007","View Full Record in Web of Science")</f>
        <v>View Full Record in Web of Science</v>
      </c>
    </row>
    <row r="905" spans="1:72" x14ac:dyDescent="0.15">
      <c r="A905" t="s">
        <v>5277</v>
      </c>
      <c r="B905" t="s">
        <v>15950</v>
      </c>
      <c r="C905" t="s">
        <v>74</v>
      </c>
      <c r="D905" t="s">
        <v>15933</v>
      </c>
      <c r="E905" t="s">
        <v>74</v>
      </c>
      <c r="F905" t="s">
        <v>15951</v>
      </c>
      <c r="G905" t="s">
        <v>74</v>
      </c>
      <c r="H905" t="s">
        <v>74</v>
      </c>
      <c r="I905" t="s">
        <v>15952</v>
      </c>
      <c r="J905" t="s">
        <v>15936</v>
      </c>
      <c r="K905" t="s">
        <v>74</v>
      </c>
      <c r="L905" t="s">
        <v>74</v>
      </c>
      <c r="M905" t="s">
        <v>78</v>
      </c>
      <c r="N905" t="s">
        <v>11976</v>
      </c>
      <c r="O905" t="s">
        <v>74</v>
      </c>
      <c r="P905" t="s">
        <v>74</v>
      </c>
      <c r="Q905" t="s">
        <v>74</v>
      </c>
      <c r="R905" t="s">
        <v>74</v>
      </c>
      <c r="S905" t="s">
        <v>74</v>
      </c>
      <c r="T905" t="s">
        <v>74</v>
      </c>
      <c r="U905" t="s">
        <v>15953</v>
      </c>
      <c r="V905" t="s">
        <v>74</v>
      </c>
      <c r="W905" t="s">
        <v>15954</v>
      </c>
      <c r="X905" t="s">
        <v>15955</v>
      </c>
      <c r="Y905" t="s">
        <v>15956</v>
      </c>
      <c r="Z905" t="s">
        <v>15957</v>
      </c>
      <c r="AA905" t="s">
        <v>74</v>
      </c>
      <c r="AB905" t="s">
        <v>15958</v>
      </c>
      <c r="AC905" t="s">
        <v>74</v>
      </c>
      <c r="AD905" t="s">
        <v>74</v>
      </c>
      <c r="AE905" t="s">
        <v>74</v>
      </c>
      <c r="AF905" t="s">
        <v>74</v>
      </c>
      <c r="AG905">
        <v>96</v>
      </c>
      <c r="AH905">
        <v>109</v>
      </c>
      <c r="AI905">
        <v>123</v>
      </c>
      <c r="AJ905">
        <v>1</v>
      </c>
      <c r="AK905">
        <v>15</v>
      </c>
      <c r="AL905" t="s">
        <v>91</v>
      </c>
      <c r="AM905" t="s">
        <v>92</v>
      </c>
      <c r="AN905" t="s">
        <v>14534</v>
      </c>
      <c r="AO905" t="s">
        <v>74</v>
      </c>
      <c r="AP905" t="s">
        <v>74</v>
      </c>
      <c r="AQ905" t="s">
        <v>15944</v>
      </c>
      <c r="AR905" t="s">
        <v>74</v>
      </c>
      <c r="AS905" t="s">
        <v>74</v>
      </c>
      <c r="AT905" t="s">
        <v>74</v>
      </c>
      <c r="AU905">
        <v>2009</v>
      </c>
      <c r="AV905" t="s">
        <v>74</v>
      </c>
      <c r="AW905" t="s">
        <v>74</v>
      </c>
      <c r="AX905" t="s">
        <v>74</v>
      </c>
      <c r="AY905" t="s">
        <v>74</v>
      </c>
      <c r="AZ905" t="s">
        <v>74</v>
      </c>
      <c r="BA905" t="s">
        <v>74</v>
      </c>
      <c r="BB905">
        <v>257</v>
      </c>
      <c r="BC905">
        <v>280</v>
      </c>
      <c r="BD905" t="s">
        <v>74</v>
      </c>
      <c r="BE905" t="s">
        <v>15959</v>
      </c>
      <c r="BF905" t="str">
        <f>HYPERLINK("http://dx.doi.org/10.1007/978-0-387-89366-2_11","http://dx.doi.org/10.1007/978-0-387-89366-2_11")</f>
        <v>http://dx.doi.org/10.1007/978-0-387-89366-2_11</v>
      </c>
      <c r="BG905" t="s">
        <v>15946</v>
      </c>
      <c r="BH905" t="s">
        <v>74</v>
      </c>
      <c r="BI905">
        <v>24</v>
      </c>
      <c r="BJ905" t="s">
        <v>15947</v>
      </c>
      <c r="BK905" t="s">
        <v>11989</v>
      </c>
      <c r="BL905" t="s">
        <v>15947</v>
      </c>
      <c r="BM905" t="s">
        <v>15948</v>
      </c>
      <c r="BN905" t="s">
        <v>74</v>
      </c>
      <c r="BO905" t="s">
        <v>74</v>
      </c>
      <c r="BP905" t="s">
        <v>74</v>
      </c>
      <c r="BQ905" t="s">
        <v>74</v>
      </c>
      <c r="BR905" t="s">
        <v>103</v>
      </c>
      <c r="BS905" t="s">
        <v>15960</v>
      </c>
      <c r="BT905" t="str">
        <f>HYPERLINK("https%3A%2F%2Fwww.webofscience.com%2Fwos%2Fwoscc%2Ffull-record%2FWOS:000268354200012","View Full Record in Web of Science")</f>
        <v>View Full Record in Web of Science</v>
      </c>
    </row>
    <row r="906" spans="1:72" x14ac:dyDescent="0.15">
      <c r="A906" t="s">
        <v>72</v>
      </c>
      <c r="B906" t="s">
        <v>15961</v>
      </c>
      <c r="C906" t="s">
        <v>74</v>
      </c>
      <c r="D906" t="s">
        <v>74</v>
      </c>
      <c r="E906" t="s">
        <v>74</v>
      </c>
      <c r="F906" t="s">
        <v>15962</v>
      </c>
      <c r="G906" t="s">
        <v>74</v>
      </c>
      <c r="H906" t="s">
        <v>74</v>
      </c>
      <c r="I906" t="s">
        <v>15963</v>
      </c>
      <c r="J906" t="s">
        <v>15964</v>
      </c>
      <c r="K906" t="s">
        <v>74</v>
      </c>
      <c r="L906" t="s">
        <v>74</v>
      </c>
      <c r="M906" t="s">
        <v>78</v>
      </c>
      <c r="N906" t="s">
        <v>79</v>
      </c>
      <c r="O906" t="s">
        <v>74</v>
      </c>
      <c r="P906" t="s">
        <v>74</v>
      </c>
      <c r="Q906" t="s">
        <v>74</v>
      </c>
      <c r="R906" t="s">
        <v>74</v>
      </c>
      <c r="S906" t="s">
        <v>74</v>
      </c>
      <c r="T906" t="s">
        <v>15965</v>
      </c>
      <c r="U906" t="s">
        <v>15966</v>
      </c>
      <c r="V906" t="s">
        <v>15967</v>
      </c>
      <c r="W906" t="s">
        <v>15968</v>
      </c>
      <c r="X906" t="s">
        <v>15969</v>
      </c>
      <c r="Y906" t="s">
        <v>15970</v>
      </c>
      <c r="Z906" t="s">
        <v>15971</v>
      </c>
      <c r="AA906" t="s">
        <v>15972</v>
      </c>
      <c r="AB906" t="s">
        <v>15973</v>
      </c>
      <c r="AC906" t="s">
        <v>15974</v>
      </c>
      <c r="AD906" t="s">
        <v>15975</v>
      </c>
      <c r="AE906" t="s">
        <v>15976</v>
      </c>
      <c r="AF906" t="s">
        <v>74</v>
      </c>
      <c r="AG906">
        <v>31</v>
      </c>
      <c r="AH906">
        <v>14</v>
      </c>
      <c r="AI906">
        <v>14</v>
      </c>
      <c r="AJ906">
        <v>0</v>
      </c>
      <c r="AK906">
        <v>15</v>
      </c>
      <c r="AL906" t="s">
        <v>15977</v>
      </c>
      <c r="AM906" t="s">
        <v>15978</v>
      </c>
      <c r="AN906" t="s">
        <v>15979</v>
      </c>
      <c r="AO906" t="s">
        <v>15980</v>
      </c>
      <c r="AP906" t="s">
        <v>74</v>
      </c>
      <c r="AQ906" t="s">
        <v>74</v>
      </c>
      <c r="AR906" t="s">
        <v>15964</v>
      </c>
      <c r="AS906" t="s">
        <v>15981</v>
      </c>
      <c r="AT906" t="s">
        <v>74</v>
      </c>
      <c r="AU906">
        <v>2009</v>
      </c>
      <c r="AV906">
        <v>51</v>
      </c>
      <c r="AW906">
        <v>1</v>
      </c>
      <c r="AX906" t="s">
        <v>74</v>
      </c>
      <c r="AY906" t="s">
        <v>74</v>
      </c>
      <c r="AZ906" t="s">
        <v>74</v>
      </c>
      <c r="BA906" t="s">
        <v>74</v>
      </c>
      <c r="BB906">
        <v>13</v>
      </c>
      <c r="BC906">
        <v>28</v>
      </c>
      <c r="BD906" t="s">
        <v>74</v>
      </c>
      <c r="BE906" t="s">
        <v>15982</v>
      </c>
      <c r="BF906" t="str">
        <f>HYPERLINK("http://dx.doi.org/10.4002/040.051.0102","http://dx.doi.org/10.4002/040.051.0102")</f>
        <v>http://dx.doi.org/10.4002/040.051.0102</v>
      </c>
      <c r="BG906" t="s">
        <v>74</v>
      </c>
      <c r="BH906" t="s">
        <v>74</v>
      </c>
      <c r="BI906">
        <v>16</v>
      </c>
      <c r="BJ906" t="s">
        <v>908</v>
      </c>
      <c r="BK906" t="s">
        <v>100</v>
      </c>
      <c r="BL906" t="s">
        <v>908</v>
      </c>
      <c r="BM906" t="s">
        <v>15983</v>
      </c>
      <c r="BN906" t="s">
        <v>74</v>
      </c>
      <c r="BO906" t="s">
        <v>74</v>
      </c>
      <c r="BP906" t="s">
        <v>74</v>
      </c>
      <c r="BQ906" t="s">
        <v>74</v>
      </c>
      <c r="BR906" t="s">
        <v>103</v>
      </c>
      <c r="BS906" t="s">
        <v>15984</v>
      </c>
      <c r="BT906" t="str">
        <f>HYPERLINK("https%3A%2F%2Fwww.webofscience.com%2Fwos%2Fwoscc%2Ffull-record%2FWOS:000264418200002","View Full Record in Web of Science")</f>
        <v>View Full Record in Web of Science</v>
      </c>
    </row>
    <row r="907" spans="1:72" x14ac:dyDescent="0.15">
      <c r="A907" t="s">
        <v>72</v>
      </c>
      <c r="B907" t="s">
        <v>15985</v>
      </c>
      <c r="C907" t="s">
        <v>74</v>
      </c>
      <c r="D907" t="s">
        <v>74</v>
      </c>
      <c r="E907" t="s">
        <v>74</v>
      </c>
      <c r="F907" t="s">
        <v>15986</v>
      </c>
      <c r="G907" t="s">
        <v>74</v>
      </c>
      <c r="H907" t="s">
        <v>74</v>
      </c>
      <c r="I907" t="s">
        <v>15987</v>
      </c>
      <c r="J907" t="s">
        <v>15964</v>
      </c>
      <c r="K907" t="s">
        <v>74</v>
      </c>
      <c r="L907" t="s">
        <v>74</v>
      </c>
      <c r="M907" t="s">
        <v>78</v>
      </c>
      <c r="N907" t="s">
        <v>79</v>
      </c>
      <c r="O907" t="s">
        <v>74</v>
      </c>
      <c r="P907" t="s">
        <v>74</v>
      </c>
      <c r="Q907" t="s">
        <v>74</v>
      </c>
      <c r="R907" t="s">
        <v>74</v>
      </c>
      <c r="S907" t="s">
        <v>74</v>
      </c>
      <c r="T907" t="s">
        <v>15988</v>
      </c>
      <c r="U907" t="s">
        <v>15989</v>
      </c>
      <c r="V907" t="s">
        <v>15990</v>
      </c>
      <c r="W907" t="s">
        <v>15991</v>
      </c>
      <c r="X907" t="s">
        <v>15992</v>
      </c>
      <c r="Y907" t="s">
        <v>15993</v>
      </c>
      <c r="Z907" t="s">
        <v>15994</v>
      </c>
      <c r="AA907" t="s">
        <v>74</v>
      </c>
      <c r="AB907" t="s">
        <v>74</v>
      </c>
      <c r="AC907" t="s">
        <v>15995</v>
      </c>
      <c r="AD907" t="s">
        <v>15995</v>
      </c>
      <c r="AE907" t="s">
        <v>15996</v>
      </c>
      <c r="AF907" t="s">
        <v>74</v>
      </c>
      <c r="AG907">
        <v>26</v>
      </c>
      <c r="AH907">
        <v>18</v>
      </c>
      <c r="AI907">
        <v>22</v>
      </c>
      <c r="AJ907">
        <v>0</v>
      </c>
      <c r="AK907">
        <v>1</v>
      </c>
      <c r="AL907" t="s">
        <v>15977</v>
      </c>
      <c r="AM907" t="s">
        <v>15978</v>
      </c>
      <c r="AN907" t="s">
        <v>15979</v>
      </c>
      <c r="AO907" t="s">
        <v>15980</v>
      </c>
      <c r="AP907" t="s">
        <v>15997</v>
      </c>
      <c r="AQ907" t="s">
        <v>74</v>
      </c>
      <c r="AR907" t="s">
        <v>15964</v>
      </c>
      <c r="AS907" t="s">
        <v>15981</v>
      </c>
      <c r="AT907" t="s">
        <v>74</v>
      </c>
      <c r="AU907">
        <v>2009</v>
      </c>
      <c r="AV907">
        <v>51</v>
      </c>
      <c r="AW907">
        <v>2</v>
      </c>
      <c r="AX907" t="s">
        <v>74</v>
      </c>
      <c r="AY907" t="s">
        <v>74</v>
      </c>
      <c r="AZ907" t="s">
        <v>74</v>
      </c>
      <c r="BA907" t="s">
        <v>74</v>
      </c>
      <c r="BB907">
        <v>271</v>
      </c>
      <c r="BC907">
        <v>290</v>
      </c>
      <c r="BD907" t="s">
        <v>74</v>
      </c>
      <c r="BE907" t="s">
        <v>15998</v>
      </c>
      <c r="BF907" t="str">
        <f>HYPERLINK("http://dx.doi.org/10.4002/040.051.0204","http://dx.doi.org/10.4002/040.051.0204")</f>
        <v>http://dx.doi.org/10.4002/040.051.0204</v>
      </c>
      <c r="BG907" t="s">
        <v>74</v>
      </c>
      <c r="BH907" t="s">
        <v>74</v>
      </c>
      <c r="BI907">
        <v>20</v>
      </c>
      <c r="BJ907" t="s">
        <v>908</v>
      </c>
      <c r="BK907" t="s">
        <v>100</v>
      </c>
      <c r="BL907" t="s">
        <v>908</v>
      </c>
      <c r="BM907" t="s">
        <v>15999</v>
      </c>
      <c r="BN907" t="s">
        <v>74</v>
      </c>
      <c r="BO907" t="s">
        <v>74</v>
      </c>
      <c r="BP907" t="s">
        <v>74</v>
      </c>
      <c r="BQ907" t="s">
        <v>74</v>
      </c>
      <c r="BR907" t="s">
        <v>103</v>
      </c>
      <c r="BS907" t="s">
        <v>16000</v>
      </c>
      <c r="BT907" t="str">
        <f>HYPERLINK("https%3A%2F%2Fwww.webofscience.com%2Fwos%2Fwoscc%2Ffull-record%2FWOS:000269434500004","View Full Record in Web of Science")</f>
        <v>View Full Record in Web of Science</v>
      </c>
    </row>
    <row r="908" spans="1:72" x14ac:dyDescent="0.15">
      <c r="A908" t="s">
        <v>72</v>
      </c>
      <c r="B908" t="s">
        <v>16001</v>
      </c>
      <c r="C908" t="s">
        <v>74</v>
      </c>
      <c r="D908" t="s">
        <v>74</v>
      </c>
      <c r="E908" t="s">
        <v>74</v>
      </c>
      <c r="F908" t="s">
        <v>16002</v>
      </c>
      <c r="G908" t="s">
        <v>74</v>
      </c>
      <c r="H908" t="s">
        <v>74</v>
      </c>
      <c r="I908" t="s">
        <v>16003</v>
      </c>
      <c r="J908" t="s">
        <v>16004</v>
      </c>
      <c r="K908" t="s">
        <v>74</v>
      </c>
      <c r="L908" t="s">
        <v>74</v>
      </c>
      <c r="M908" t="s">
        <v>78</v>
      </c>
      <c r="N908" t="s">
        <v>79</v>
      </c>
      <c r="O908" t="s">
        <v>74</v>
      </c>
      <c r="P908" t="s">
        <v>74</v>
      </c>
      <c r="Q908" t="s">
        <v>74</v>
      </c>
      <c r="R908" t="s">
        <v>74</v>
      </c>
      <c r="S908" t="s">
        <v>74</v>
      </c>
      <c r="T908" t="s">
        <v>16005</v>
      </c>
      <c r="U908" t="s">
        <v>16006</v>
      </c>
      <c r="V908" t="s">
        <v>16007</v>
      </c>
      <c r="W908" t="s">
        <v>16008</v>
      </c>
      <c r="X908" t="s">
        <v>16009</v>
      </c>
      <c r="Y908" t="s">
        <v>16010</v>
      </c>
      <c r="Z908" t="s">
        <v>16011</v>
      </c>
      <c r="AA908" t="s">
        <v>16012</v>
      </c>
      <c r="AB908" t="s">
        <v>16013</v>
      </c>
      <c r="AC908" t="s">
        <v>16014</v>
      </c>
      <c r="AD908" t="s">
        <v>16015</v>
      </c>
      <c r="AE908" t="s">
        <v>16016</v>
      </c>
      <c r="AF908" t="s">
        <v>74</v>
      </c>
      <c r="AG908">
        <v>50</v>
      </c>
      <c r="AH908">
        <v>8</v>
      </c>
      <c r="AI908">
        <v>8</v>
      </c>
      <c r="AJ908">
        <v>1</v>
      </c>
      <c r="AK908">
        <v>13</v>
      </c>
      <c r="AL908" t="s">
        <v>2878</v>
      </c>
      <c r="AM908" t="s">
        <v>2879</v>
      </c>
      <c r="AN908" t="s">
        <v>2880</v>
      </c>
      <c r="AO908" t="s">
        <v>16017</v>
      </c>
      <c r="AP908" t="s">
        <v>16018</v>
      </c>
      <c r="AQ908" t="s">
        <v>74</v>
      </c>
      <c r="AR908" t="s">
        <v>16019</v>
      </c>
      <c r="AS908" t="s">
        <v>16020</v>
      </c>
      <c r="AT908" t="s">
        <v>74</v>
      </c>
      <c r="AU908">
        <v>2009</v>
      </c>
      <c r="AV908">
        <v>60</v>
      </c>
      <c r="AW908">
        <v>3</v>
      </c>
      <c r="AX908" t="s">
        <v>74</v>
      </c>
      <c r="AY908" t="s">
        <v>74</v>
      </c>
      <c r="AZ908" t="s">
        <v>74</v>
      </c>
      <c r="BA908" t="s">
        <v>74</v>
      </c>
      <c r="BB908">
        <v>203</v>
      </c>
      <c r="BC908">
        <v>210</v>
      </c>
      <c r="BD908" t="s">
        <v>74</v>
      </c>
      <c r="BE908" t="s">
        <v>16021</v>
      </c>
      <c r="BF908" t="str">
        <f>HYPERLINK("http://dx.doi.org/10.1071/MF07250","http://dx.doi.org/10.1071/MF07250")</f>
        <v>http://dx.doi.org/10.1071/MF07250</v>
      </c>
      <c r="BG908" t="s">
        <v>74</v>
      </c>
      <c r="BH908" t="s">
        <v>74</v>
      </c>
      <c r="BI908">
        <v>8</v>
      </c>
      <c r="BJ908" t="s">
        <v>16022</v>
      </c>
      <c r="BK908" t="s">
        <v>100</v>
      </c>
      <c r="BL908" t="s">
        <v>16023</v>
      </c>
      <c r="BM908" t="s">
        <v>16024</v>
      </c>
      <c r="BN908" t="s">
        <v>74</v>
      </c>
      <c r="BO908" t="s">
        <v>74</v>
      </c>
      <c r="BP908" t="s">
        <v>74</v>
      </c>
      <c r="BQ908" t="s">
        <v>74</v>
      </c>
      <c r="BR908" t="s">
        <v>103</v>
      </c>
      <c r="BS908" t="s">
        <v>16025</v>
      </c>
      <c r="BT908" t="str">
        <f>HYPERLINK("https%3A%2F%2Fwww.webofscience.com%2Fwos%2Fwoscc%2Ffull-record%2FWOS:000264640000001","View Full Record in Web of Science")</f>
        <v>View Full Record in Web of Science</v>
      </c>
    </row>
    <row r="909" spans="1:72" x14ac:dyDescent="0.15">
      <c r="A909" t="s">
        <v>72</v>
      </c>
      <c r="B909" t="s">
        <v>16026</v>
      </c>
      <c r="C909" t="s">
        <v>74</v>
      </c>
      <c r="D909" t="s">
        <v>74</v>
      </c>
      <c r="E909" t="s">
        <v>74</v>
      </c>
      <c r="F909" t="s">
        <v>16027</v>
      </c>
      <c r="G909" t="s">
        <v>74</v>
      </c>
      <c r="H909" t="s">
        <v>74</v>
      </c>
      <c r="I909" t="s">
        <v>16028</v>
      </c>
      <c r="J909" t="s">
        <v>16004</v>
      </c>
      <c r="K909" t="s">
        <v>74</v>
      </c>
      <c r="L909" t="s">
        <v>74</v>
      </c>
      <c r="M909" t="s">
        <v>78</v>
      </c>
      <c r="N909" t="s">
        <v>79</v>
      </c>
      <c r="O909" t="s">
        <v>74</v>
      </c>
      <c r="P909" t="s">
        <v>74</v>
      </c>
      <c r="Q909" t="s">
        <v>74</v>
      </c>
      <c r="R909" t="s">
        <v>74</v>
      </c>
      <c r="S909" t="s">
        <v>74</v>
      </c>
      <c r="T909" t="s">
        <v>16029</v>
      </c>
      <c r="U909" t="s">
        <v>16030</v>
      </c>
      <c r="V909" t="s">
        <v>16031</v>
      </c>
      <c r="W909" t="s">
        <v>16032</v>
      </c>
      <c r="X909" t="s">
        <v>16033</v>
      </c>
      <c r="Y909" t="s">
        <v>16034</v>
      </c>
      <c r="Z909" t="s">
        <v>16035</v>
      </c>
      <c r="AA909" t="s">
        <v>16036</v>
      </c>
      <c r="AB909" t="s">
        <v>16037</v>
      </c>
      <c r="AC909" t="s">
        <v>16038</v>
      </c>
      <c r="AD909" t="s">
        <v>16039</v>
      </c>
      <c r="AE909" t="s">
        <v>16040</v>
      </c>
      <c r="AF909" t="s">
        <v>74</v>
      </c>
      <c r="AG909">
        <v>13</v>
      </c>
      <c r="AH909">
        <v>44</v>
      </c>
      <c r="AI909">
        <v>48</v>
      </c>
      <c r="AJ909">
        <v>1</v>
      </c>
      <c r="AK909">
        <v>42</v>
      </c>
      <c r="AL909" t="s">
        <v>2878</v>
      </c>
      <c r="AM909" t="s">
        <v>14053</v>
      </c>
      <c r="AN909" t="s">
        <v>14054</v>
      </c>
      <c r="AO909" t="s">
        <v>16017</v>
      </c>
      <c r="AP909" t="s">
        <v>74</v>
      </c>
      <c r="AQ909" t="s">
        <v>74</v>
      </c>
      <c r="AR909" t="s">
        <v>16019</v>
      </c>
      <c r="AS909" t="s">
        <v>16020</v>
      </c>
      <c r="AT909" t="s">
        <v>74</v>
      </c>
      <c r="AU909">
        <v>2009</v>
      </c>
      <c r="AV909">
        <v>60</v>
      </c>
      <c r="AW909">
        <v>6</v>
      </c>
      <c r="AX909" t="s">
        <v>74</v>
      </c>
      <c r="AY909" t="s">
        <v>74</v>
      </c>
      <c r="AZ909" t="s">
        <v>74</v>
      </c>
      <c r="BA909" t="s">
        <v>74</v>
      </c>
      <c r="BB909">
        <v>607</v>
      </c>
      <c r="BC909">
        <v>609</v>
      </c>
      <c r="BD909" t="s">
        <v>74</v>
      </c>
      <c r="BE909" t="s">
        <v>16041</v>
      </c>
      <c r="BF909" t="str">
        <f>HYPERLINK("http://dx.doi.org/10.1071/MF08254","http://dx.doi.org/10.1071/MF08254")</f>
        <v>http://dx.doi.org/10.1071/MF08254</v>
      </c>
      <c r="BG909" t="s">
        <v>74</v>
      </c>
      <c r="BH909" t="s">
        <v>74</v>
      </c>
      <c r="BI909">
        <v>3</v>
      </c>
      <c r="BJ909" t="s">
        <v>16022</v>
      </c>
      <c r="BK909" t="s">
        <v>100</v>
      </c>
      <c r="BL909" t="s">
        <v>16023</v>
      </c>
      <c r="BM909" t="s">
        <v>16042</v>
      </c>
      <c r="BN909" t="s">
        <v>74</v>
      </c>
      <c r="BO909" t="s">
        <v>74</v>
      </c>
      <c r="BP909" t="s">
        <v>74</v>
      </c>
      <c r="BQ909" t="s">
        <v>74</v>
      </c>
      <c r="BR909" t="s">
        <v>103</v>
      </c>
      <c r="BS909" t="s">
        <v>16043</v>
      </c>
      <c r="BT909" t="str">
        <f>HYPERLINK("https%3A%2F%2Fwww.webofscience.com%2Fwos%2Fwoscc%2Ffull-record%2FWOS:000267198500012","View Full Record in Web of Science")</f>
        <v>View Full Record in Web of Science</v>
      </c>
    </row>
    <row r="910" spans="1:72" x14ac:dyDescent="0.15">
      <c r="A910" t="s">
        <v>72</v>
      </c>
      <c r="B910" t="s">
        <v>16044</v>
      </c>
      <c r="C910" t="s">
        <v>74</v>
      </c>
      <c r="D910" t="s">
        <v>74</v>
      </c>
      <c r="E910" t="s">
        <v>74</v>
      </c>
      <c r="F910" t="s">
        <v>16045</v>
      </c>
      <c r="G910" t="s">
        <v>74</v>
      </c>
      <c r="H910" t="s">
        <v>74</v>
      </c>
      <c r="I910" t="s">
        <v>16046</v>
      </c>
      <c r="J910" t="s">
        <v>16004</v>
      </c>
      <c r="K910" t="s">
        <v>74</v>
      </c>
      <c r="L910" t="s">
        <v>74</v>
      </c>
      <c r="M910" t="s">
        <v>78</v>
      </c>
      <c r="N910" t="s">
        <v>79</v>
      </c>
      <c r="O910" t="s">
        <v>74</v>
      </c>
      <c r="P910" t="s">
        <v>74</v>
      </c>
      <c r="Q910" t="s">
        <v>74</v>
      </c>
      <c r="R910" t="s">
        <v>74</v>
      </c>
      <c r="S910" t="s">
        <v>74</v>
      </c>
      <c r="T910" t="s">
        <v>16047</v>
      </c>
      <c r="U910" t="s">
        <v>16048</v>
      </c>
      <c r="V910" t="s">
        <v>16049</v>
      </c>
      <c r="W910" t="s">
        <v>16050</v>
      </c>
      <c r="X910" t="s">
        <v>16051</v>
      </c>
      <c r="Y910" t="s">
        <v>16052</v>
      </c>
      <c r="Z910" t="s">
        <v>16053</v>
      </c>
      <c r="AA910" t="s">
        <v>16054</v>
      </c>
      <c r="AB910" t="s">
        <v>16055</v>
      </c>
      <c r="AC910" t="s">
        <v>16056</v>
      </c>
      <c r="AD910" t="s">
        <v>16057</v>
      </c>
      <c r="AE910" t="s">
        <v>16058</v>
      </c>
      <c r="AF910" t="s">
        <v>74</v>
      </c>
      <c r="AG910">
        <v>50</v>
      </c>
      <c r="AH910">
        <v>13</v>
      </c>
      <c r="AI910">
        <v>13</v>
      </c>
      <c r="AJ910">
        <v>0</v>
      </c>
      <c r="AK910">
        <v>8</v>
      </c>
      <c r="AL910" t="s">
        <v>2878</v>
      </c>
      <c r="AM910" t="s">
        <v>14053</v>
      </c>
      <c r="AN910" t="s">
        <v>14054</v>
      </c>
      <c r="AO910" t="s">
        <v>16017</v>
      </c>
      <c r="AP910" t="s">
        <v>74</v>
      </c>
      <c r="AQ910" t="s">
        <v>74</v>
      </c>
      <c r="AR910" t="s">
        <v>16019</v>
      </c>
      <c r="AS910" t="s">
        <v>16020</v>
      </c>
      <c r="AT910" t="s">
        <v>74</v>
      </c>
      <c r="AU910">
        <v>2009</v>
      </c>
      <c r="AV910">
        <v>60</v>
      </c>
      <c r="AW910">
        <v>8</v>
      </c>
      <c r="AX910" t="s">
        <v>74</v>
      </c>
      <c r="AY910" t="s">
        <v>74</v>
      </c>
      <c r="AZ910" t="s">
        <v>74</v>
      </c>
      <c r="BA910" t="s">
        <v>74</v>
      </c>
      <c r="BB910">
        <v>810</v>
      </c>
      <c r="BC910">
        <v>823</v>
      </c>
      <c r="BD910" t="s">
        <v>74</v>
      </c>
      <c r="BE910" t="s">
        <v>16059</v>
      </c>
      <c r="BF910" t="str">
        <f>HYPERLINK("http://dx.doi.org/10.1071/MF08244","http://dx.doi.org/10.1071/MF08244")</f>
        <v>http://dx.doi.org/10.1071/MF08244</v>
      </c>
      <c r="BG910" t="s">
        <v>74</v>
      </c>
      <c r="BH910" t="s">
        <v>74</v>
      </c>
      <c r="BI910">
        <v>14</v>
      </c>
      <c r="BJ910" t="s">
        <v>16022</v>
      </c>
      <c r="BK910" t="s">
        <v>100</v>
      </c>
      <c r="BL910" t="s">
        <v>16023</v>
      </c>
      <c r="BM910" t="s">
        <v>16060</v>
      </c>
      <c r="BN910" t="s">
        <v>74</v>
      </c>
      <c r="BO910" t="s">
        <v>74</v>
      </c>
      <c r="BP910" t="s">
        <v>74</v>
      </c>
      <c r="BQ910" t="s">
        <v>74</v>
      </c>
      <c r="BR910" t="s">
        <v>103</v>
      </c>
      <c r="BS910" t="s">
        <v>16061</v>
      </c>
      <c r="BT910" t="str">
        <f>HYPERLINK("https%3A%2F%2Fwww.webofscience.com%2Fwos%2Fwoscc%2Ffull-record%2FWOS:000269318300003","View Full Record in Web of Science")</f>
        <v>View Full Record in Web of Science</v>
      </c>
    </row>
    <row r="911" spans="1:72" x14ac:dyDescent="0.15">
      <c r="A911" t="s">
        <v>72</v>
      </c>
      <c r="B911" t="s">
        <v>16062</v>
      </c>
      <c r="C911" t="s">
        <v>74</v>
      </c>
      <c r="D911" t="s">
        <v>74</v>
      </c>
      <c r="E911" t="s">
        <v>74</v>
      </c>
      <c r="F911" t="s">
        <v>16063</v>
      </c>
      <c r="G911" t="s">
        <v>74</v>
      </c>
      <c r="H911" t="s">
        <v>74</v>
      </c>
      <c r="I911" t="s">
        <v>16064</v>
      </c>
      <c r="J911" t="s">
        <v>16004</v>
      </c>
      <c r="K911" t="s">
        <v>74</v>
      </c>
      <c r="L911" t="s">
        <v>74</v>
      </c>
      <c r="M911" t="s">
        <v>78</v>
      </c>
      <c r="N911" t="s">
        <v>79</v>
      </c>
      <c r="O911" t="s">
        <v>74</v>
      </c>
      <c r="P911" t="s">
        <v>74</v>
      </c>
      <c r="Q911" t="s">
        <v>74</v>
      </c>
      <c r="R911" t="s">
        <v>74</v>
      </c>
      <c r="S911" t="s">
        <v>74</v>
      </c>
      <c r="T911" t="s">
        <v>16065</v>
      </c>
      <c r="U911" t="s">
        <v>16066</v>
      </c>
      <c r="V911" t="s">
        <v>16067</v>
      </c>
      <c r="W911" t="s">
        <v>16068</v>
      </c>
      <c r="X911" t="s">
        <v>16069</v>
      </c>
      <c r="Y911" t="s">
        <v>16070</v>
      </c>
      <c r="Z911" t="s">
        <v>16071</v>
      </c>
      <c r="AA911" t="s">
        <v>16072</v>
      </c>
      <c r="AB911" t="s">
        <v>16073</v>
      </c>
      <c r="AC911" t="s">
        <v>16074</v>
      </c>
      <c r="AD911" t="s">
        <v>16075</v>
      </c>
      <c r="AE911" t="s">
        <v>16076</v>
      </c>
      <c r="AF911" t="s">
        <v>74</v>
      </c>
      <c r="AG911">
        <v>55</v>
      </c>
      <c r="AH911">
        <v>5</v>
      </c>
      <c r="AI911">
        <v>5</v>
      </c>
      <c r="AJ911">
        <v>0</v>
      </c>
      <c r="AK911">
        <v>11</v>
      </c>
      <c r="AL911" t="s">
        <v>2878</v>
      </c>
      <c r="AM911" t="s">
        <v>2879</v>
      </c>
      <c r="AN911" t="s">
        <v>2880</v>
      </c>
      <c r="AO911" t="s">
        <v>16017</v>
      </c>
      <c r="AP911" t="s">
        <v>16018</v>
      </c>
      <c r="AQ911" t="s">
        <v>74</v>
      </c>
      <c r="AR911" t="s">
        <v>16019</v>
      </c>
      <c r="AS911" t="s">
        <v>16020</v>
      </c>
      <c r="AT911" t="s">
        <v>74</v>
      </c>
      <c r="AU911">
        <v>2009</v>
      </c>
      <c r="AV911">
        <v>60</v>
      </c>
      <c r="AW911">
        <v>12</v>
      </c>
      <c r="AX911" t="s">
        <v>74</v>
      </c>
      <c r="AY911" t="s">
        <v>74</v>
      </c>
      <c r="AZ911" t="s">
        <v>74</v>
      </c>
      <c r="BA911" t="s">
        <v>74</v>
      </c>
      <c r="BB911">
        <v>1244</v>
      </c>
      <c r="BC911">
        <v>1253</v>
      </c>
      <c r="BD911" t="s">
        <v>74</v>
      </c>
      <c r="BE911" t="s">
        <v>16077</v>
      </c>
      <c r="BF911" t="str">
        <f>HYPERLINK("http://dx.doi.org/10.1071/MF08318","http://dx.doi.org/10.1071/MF08318")</f>
        <v>http://dx.doi.org/10.1071/MF08318</v>
      </c>
      <c r="BG911" t="s">
        <v>74</v>
      </c>
      <c r="BH911" t="s">
        <v>74</v>
      </c>
      <c r="BI911">
        <v>10</v>
      </c>
      <c r="BJ911" t="s">
        <v>16022</v>
      </c>
      <c r="BK911" t="s">
        <v>100</v>
      </c>
      <c r="BL911" t="s">
        <v>16023</v>
      </c>
      <c r="BM911" t="s">
        <v>16078</v>
      </c>
      <c r="BN911" t="s">
        <v>74</v>
      </c>
      <c r="BO911" t="s">
        <v>74</v>
      </c>
      <c r="BP911" t="s">
        <v>74</v>
      </c>
      <c r="BQ911" t="s">
        <v>74</v>
      </c>
      <c r="BR911" t="s">
        <v>103</v>
      </c>
      <c r="BS911" t="s">
        <v>16079</v>
      </c>
      <c r="BT911" t="str">
        <f>HYPERLINK("https%3A%2F%2Fwww.webofscience.com%2Fwos%2Fwoscc%2Ffull-record%2FWOS:000272871200005","View Full Record in Web of Science")</f>
        <v>View Full Record in Web of Science</v>
      </c>
    </row>
    <row r="912" spans="1:72" x14ac:dyDescent="0.15">
      <c r="A912" t="s">
        <v>72</v>
      </c>
      <c r="B912" t="s">
        <v>16080</v>
      </c>
      <c r="C912" t="s">
        <v>74</v>
      </c>
      <c r="D912" t="s">
        <v>74</v>
      </c>
      <c r="E912" t="s">
        <v>74</v>
      </c>
      <c r="F912" t="s">
        <v>16081</v>
      </c>
      <c r="G912" t="s">
        <v>74</v>
      </c>
      <c r="H912" t="s">
        <v>74</v>
      </c>
      <c r="I912" t="s">
        <v>16082</v>
      </c>
      <c r="J912" t="s">
        <v>567</v>
      </c>
      <c r="K912" t="s">
        <v>74</v>
      </c>
      <c r="L912" t="s">
        <v>74</v>
      </c>
      <c r="M912" t="s">
        <v>78</v>
      </c>
      <c r="N912" t="s">
        <v>934</v>
      </c>
      <c r="O912" t="s">
        <v>74</v>
      </c>
      <c r="P912" t="s">
        <v>74</v>
      </c>
      <c r="Q912" t="s">
        <v>74</v>
      </c>
      <c r="R912" t="s">
        <v>74</v>
      </c>
      <c r="S912" t="s">
        <v>74</v>
      </c>
      <c r="T912" t="s">
        <v>16083</v>
      </c>
      <c r="U912" t="s">
        <v>16084</v>
      </c>
      <c r="V912" t="s">
        <v>16085</v>
      </c>
      <c r="W912" t="s">
        <v>16086</v>
      </c>
      <c r="X912" t="s">
        <v>16087</v>
      </c>
      <c r="Y912" t="s">
        <v>16088</v>
      </c>
      <c r="Z912" t="s">
        <v>16089</v>
      </c>
      <c r="AA912" t="s">
        <v>16090</v>
      </c>
      <c r="AB912" t="s">
        <v>74</v>
      </c>
      <c r="AC912" t="s">
        <v>74</v>
      </c>
      <c r="AD912" t="s">
        <v>74</v>
      </c>
      <c r="AE912" t="s">
        <v>74</v>
      </c>
      <c r="AF912" t="s">
        <v>74</v>
      </c>
      <c r="AG912">
        <v>46</v>
      </c>
      <c r="AH912">
        <v>8</v>
      </c>
      <c r="AI912">
        <v>11</v>
      </c>
      <c r="AJ912">
        <v>3</v>
      </c>
      <c r="AK912">
        <v>33</v>
      </c>
      <c r="AL912" t="s">
        <v>577</v>
      </c>
      <c r="AM912" t="s">
        <v>578</v>
      </c>
      <c r="AN912" t="s">
        <v>579</v>
      </c>
      <c r="AO912" t="s">
        <v>580</v>
      </c>
      <c r="AP912" t="s">
        <v>74</v>
      </c>
      <c r="AQ912" t="s">
        <v>74</v>
      </c>
      <c r="AR912" t="s">
        <v>582</v>
      </c>
      <c r="AS912" t="s">
        <v>583</v>
      </c>
      <c r="AT912" t="s">
        <v>74</v>
      </c>
      <c r="AU912">
        <v>2009</v>
      </c>
      <c r="AV912">
        <v>397</v>
      </c>
      <c r="AW912" t="s">
        <v>74</v>
      </c>
      <c r="AX912" t="s">
        <v>74</v>
      </c>
      <c r="AY912" t="s">
        <v>74</v>
      </c>
      <c r="AZ912" t="s">
        <v>74</v>
      </c>
      <c r="BA912" t="s">
        <v>74</v>
      </c>
      <c r="BB912">
        <v>1</v>
      </c>
      <c r="BC912">
        <v>5</v>
      </c>
      <c r="BD912" t="s">
        <v>74</v>
      </c>
      <c r="BE912" t="s">
        <v>16091</v>
      </c>
      <c r="BF912" t="str">
        <f>HYPERLINK("http://dx.doi.org/10.3354/meps08452","http://dx.doi.org/10.3354/meps08452")</f>
        <v>http://dx.doi.org/10.3354/meps08452</v>
      </c>
      <c r="BG912" t="s">
        <v>74</v>
      </c>
      <c r="BH912" t="s">
        <v>74</v>
      </c>
      <c r="BI912">
        <v>5</v>
      </c>
      <c r="BJ912" t="s">
        <v>586</v>
      </c>
      <c r="BK912" t="s">
        <v>100</v>
      </c>
      <c r="BL912" t="s">
        <v>587</v>
      </c>
      <c r="BM912" t="s">
        <v>16092</v>
      </c>
      <c r="BN912" t="s">
        <v>74</v>
      </c>
      <c r="BO912" t="s">
        <v>287</v>
      </c>
      <c r="BP912" t="s">
        <v>74</v>
      </c>
      <c r="BQ912" t="s">
        <v>74</v>
      </c>
      <c r="BR912" t="s">
        <v>103</v>
      </c>
      <c r="BS912" t="s">
        <v>16093</v>
      </c>
      <c r="BT912" t="str">
        <f>HYPERLINK("https%3A%2F%2Fwww.webofscience.com%2Fwos%2Fwoscc%2Ffull-record%2FWOS:000273968400001","View Full Record in Web of Science")</f>
        <v>View Full Record in Web of Science</v>
      </c>
    </row>
    <row r="913" spans="1:72" x14ac:dyDescent="0.15">
      <c r="A913" t="s">
        <v>72</v>
      </c>
      <c r="B913" t="s">
        <v>16094</v>
      </c>
      <c r="C913" t="s">
        <v>74</v>
      </c>
      <c r="D913" t="s">
        <v>74</v>
      </c>
      <c r="E913" t="s">
        <v>74</v>
      </c>
      <c r="F913" t="s">
        <v>16095</v>
      </c>
      <c r="G913" t="s">
        <v>74</v>
      </c>
      <c r="H913" t="s">
        <v>74</v>
      </c>
      <c r="I913" t="s">
        <v>16096</v>
      </c>
      <c r="J913" t="s">
        <v>567</v>
      </c>
      <c r="K913" t="s">
        <v>74</v>
      </c>
      <c r="L913" t="s">
        <v>74</v>
      </c>
      <c r="M913" t="s">
        <v>78</v>
      </c>
      <c r="N913" t="s">
        <v>79</v>
      </c>
      <c r="O913" t="s">
        <v>74</v>
      </c>
      <c r="P913" t="s">
        <v>74</v>
      </c>
      <c r="Q913" t="s">
        <v>74</v>
      </c>
      <c r="R913" t="s">
        <v>74</v>
      </c>
      <c r="S913" t="s">
        <v>74</v>
      </c>
      <c r="T913" t="s">
        <v>16097</v>
      </c>
      <c r="U913" t="s">
        <v>16098</v>
      </c>
      <c r="V913" t="s">
        <v>16099</v>
      </c>
      <c r="W913" t="s">
        <v>16100</v>
      </c>
      <c r="X913" t="s">
        <v>16101</v>
      </c>
      <c r="Y913" t="s">
        <v>16102</v>
      </c>
      <c r="Z913" t="s">
        <v>16103</v>
      </c>
      <c r="AA913" t="s">
        <v>74</v>
      </c>
      <c r="AB913" t="s">
        <v>74</v>
      </c>
      <c r="AC913" t="s">
        <v>74</v>
      </c>
      <c r="AD913" t="s">
        <v>74</v>
      </c>
      <c r="AE913" t="s">
        <v>74</v>
      </c>
      <c r="AF913" t="s">
        <v>74</v>
      </c>
      <c r="AG913">
        <v>23</v>
      </c>
      <c r="AH913">
        <v>7</v>
      </c>
      <c r="AI913">
        <v>7</v>
      </c>
      <c r="AJ913">
        <v>0</v>
      </c>
      <c r="AK913">
        <v>6</v>
      </c>
      <c r="AL913" t="s">
        <v>577</v>
      </c>
      <c r="AM913" t="s">
        <v>578</v>
      </c>
      <c r="AN913" t="s">
        <v>579</v>
      </c>
      <c r="AO913" t="s">
        <v>580</v>
      </c>
      <c r="AP913" t="s">
        <v>581</v>
      </c>
      <c r="AQ913" t="s">
        <v>74</v>
      </c>
      <c r="AR913" t="s">
        <v>582</v>
      </c>
      <c r="AS913" t="s">
        <v>583</v>
      </c>
      <c r="AT913" t="s">
        <v>74</v>
      </c>
      <c r="AU913">
        <v>2009</v>
      </c>
      <c r="AV913">
        <v>397</v>
      </c>
      <c r="AW913" t="s">
        <v>74</v>
      </c>
      <c r="AX913" t="s">
        <v>74</v>
      </c>
      <c r="AY913" t="s">
        <v>74</v>
      </c>
      <c r="AZ913" t="s">
        <v>74</v>
      </c>
      <c r="BA913" t="s">
        <v>74</v>
      </c>
      <c r="BB913">
        <v>7</v>
      </c>
      <c r="BC913">
        <v>10</v>
      </c>
      <c r="BD913" t="s">
        <v>74</v>
      </c>
      <c r="BE913" t="s">
        <v>16104</v>
      </c>
      <c r="BF913" t="str">
        <f>HYPERLINK("http://dx.doi.org/10.3354/meps08066","http://dx.doi.org/10.3354/meps08066")</f>
        <v>http://dx.doi.org/10.3354/meps08066</v>
      </c>
      <c r="BG913" t="s">
        <v>74</v>
      </c>
      <c r="BH913" t="s">
        <v>74</v>
      </c>
      <c r="BI913">
        <v>4</v>
      </c>
      <c r="BJ913" t="s">
        <v>586</v>
      </c>
      <c r="BK913" t="s">
        <v>100</v>
      </c>
      <c r="BL913" t="s">
        <v>587</v>
      </c>
      <c r="BM913" t="s">
        <v>16092</v>
      </c>
      <c r="BN913" t="s">
        <v>74</v>
      </c>
      <c r="BO913" t="s">
        <v>499</v>
      </c>
      <c r="BP913" t="s">
        <v>74</v>
      </c>
      <c r="BQ913" t="s">
        <v>74</v>
      </c>
      <c r="BR913" t="s">
        <v>103</v>
      </c>
      <c r="BS913" t="s">
        <v>16105</v>
      </c>
      <c r="BT913" t="str">
        <f>HYPERLINK("https%3A%2F%2Fwww.webofscience.com%2Fwos%2Fwoscc%2Ffull-record%2FWOS:000273968400002","View Full Record in Web of Science")</f>
        <v>View Full Record in Web of Science</v>
      </c>
    </row>
    <row r="914" spans="1:72" x14ac:dyDescent="0.15">
      <c r="A914" t="s">
        <v>72</v>
      </c>
      <c r="B914" t="s">
        <v>16106</v>
      </c>
      <c r="C914" t="s">
        <v>74</v>
      </c>
      <c r="D914" t="s">
        <v>74</v>
      </c>
      <c r="E914" t="s">
        <v>74</v>
      </c>
      <c r="F914" t="s">
        <v>16107</v>
      </c>
      <c r="G914" t="s">
        <v>74</v>
      </c>
      <c r="H914" t="s">
        <v>74</v>
      </c>
      <c r="I914" t="s">
        <v>16108</v>
      </c>
      <c r="J914" t="s">
        <v>567</v>
      </c>
      <c r="K914" t="s">
        <v>74</v>
      </c>
      <c r="L914" t="s">
        <v>74</v>
      </c>
      <c r="M914" t="s">
        <v>78</v>
      </c>
      <c r="N914" t="s">
        <v>79</v>
      </c>
      <c r="O914" t="s">
        <v>74</v>
      </c>
      <c r="P914" t="s">
        <v>74</v>
      </c>
      <c r="Q914" t="s">
        <v>74</v>
      </c>
      <c r="R914" t="s">
        <v>74</v>
      </c>
      <c r="S914" t="s">
        <v>74</v>
      </c>
      <c r="T914" t="s">
        <v>16109</v>
      </c>
      <c r="U914" t="s">
        <v>16110</v>
      </c>
      <c r="V914" t="s">
        <v>16111</v>
      </c>
      <c r="W914" t="s">
        <v>16112</v>
      </c>
      <c r="X914" t="s">
        <v>16113</v>
      </c>
      <c r="Y914" t="s">
        <v>16114</v>
      </c>
      <c r="Z914" t="s">
        <v>16115</v>
      </c>
      <c r="AA914" t="s">
        <v>16116</v>
      </c>
      <c r="AB914" t="s">
        <v>16117</v>
      </c>
      <c r="AC914" t="s">
        <v>16118</v>
      </c>
      <c r="AD914" t="s">
        <v>16119</v>
      </c>
      <c r="AE914" t="s">
        <v>16120</v>
      </c>
      <c r="AF914" t="s">
        <v>74</v>
      </c>
      <c r="AG914">
        <v>43</v>
      </c>
      <c r="AH914">
        <v>16</v>
      </c>
      <c r="AI914">
        <v>20</v>
      </c>
      <c r="AJ914">
        <v>1</v>
      </c>
      <c r="AK914">
        <v>17</v>
      </c>
      <c r="AL914" t="s">
        <v>577</v>
      </c>
      <c r="AM914" t="s">
        <v>578</v>
      </c>
      <c r="AN914" t="s">
        <v>579</v>
      </c>
      <c r="AO914" t="s">
        <v>580</v>
      </c>
      <c r="AP914" t="s">
        <v>581</v>
      </c>
      <c r="AQ914" t="s">
        <v>74</v>
      </c>
      <c r="AR914" t="s">
        <v>582</v>
      </c>
      <c r="AS914" t="s">
        <v>583</v>
      </c>
      <c r="AT914" t="s">
        <v>74</v>
      </c>
      <c r="AU914">
        <v>2009</v>
      </c>
      <c r="AV914">
        <v>397</v>
      </c>
      <c r="AW914" t="s">
        <v>74</v>
      </c>
      <c r="AX914" t="s">
        <v>74</v>
      </c>
      <c r="AY914" t="s">
        <v>74</v>
      </c>
      <c r="AZ914" t="s">
        <v>74</v>
      </c>
      <c r="BA914" t="s">
        <v>74</v>
      </c>
      <c r="BB914">
        <v>63</v>
      </c>
      <c r="BC914">
        <v>70</v>
      </c>
      <c r="BD914" t="s">
        <v>74</v>
      </c>
      <c r="BE914" t="s">
        <v>16121</v>
      </c>
      <c r="BF914" t="str">
        <f>HYPERLINK("http://dx.doi.org/10.3354/meps08271","http://dx.doi.org/10.3354/meps08271")</f>
        <v>http://dx.doi.org/10.3354/meps08271</v>
      </c>
      <c r="BG914" t="s">
        <v>74</v>
      </c>
      <c r="BH914" t="s">
        <v>74</v>
      </c>
      <c r="BI914">
        <v>8</v>
      </c>
      <c r="BJ914" t="s">
        <v>586</v>
      </c>
      <c r="BK914" t="s">
        <v>100</v>
      </c>
      <c r="BL914" t="s">
        <v>587</v>
      </c>
      <c r="BM914" t="s">
        <v>16092</v>
      </c>
      <c r="BN914" t="s">
        <v>74</v>
      </c>
      <c r="BO914" t="s">
        <v>1036</v>
      </c>
      <c r="BP914" t="s">
        <v>74</v>
      </c>
      <c r="BQ914" t="s">
        <v>74</v>
      </c>
      <c r="BR914" t="s">
        <v>103</v>
      </c>
      <c r="BS914" t="s">
        <v>16122</v>
      </c>
      <c r="BT914" t="str">
        <f>HYPERLINK("https%3A%2F%2Fwww.webofscience.com%2Fwos%2Fwoscc%2Ffull-record%2FWOS:000273968400007","View Full Record in Web of Science")</f>
        <v>View Full Record in Web of Science</v>
      </c>
    </row>
    <row r="915" spans="1:72" x14ac:dyDescent="0.15">
      <c r="A915" t="s">
        <v>72</v>
      </c>
      <c r="B915" t="s">
        <v>16123</v>
      </c>
      <c r="C915" t="s">
        <v>74</v>
      </c>
      <c r="D915" t="s">
        <v>74</v>
      </c>
      <c r="E915" t="s">
        <v>74</v>
      </c>
      <c r="F915" t="s">
        <v>16124</v>
      </c>
      <c r="G915" t="s">
        <v>74</v>
      </c>
      <c r="H915" t="s">
        <v>74</v>
      </c>
      <c r="I915" t="s">
        <v>16125</v>
      </c>
      <c r="J915" t="s">
        <v>567</v>
      </c>
      <c r="K915" t="s">
        <v>74</v>
      </c>
      <c r="L915" t="s">
        <v>74</v>
      </c>
      <c r="M915" t="s">
        <v>78</v>
      </c>
      <c r="N915" t="s">
        <v>79</v>
      </c>
      <c r="O915" t="s">
        <v>74</v>
      </c>
      <c r="P915" t="s">
        <v>74</v>
      </c>
      <c r="Q915" t="s">
        <v>74</v>
      </c>
      <c r="R915" t="s">
        <v>74</v>
      </c>
      <c r="S915" t="s">
        <v>74</v>
      </c>
      <c r="T915" t="s">
        <v>16126</v>
      </c>
      <c r="U915" t="s">
        <v>16127</v>
      </c>
      <c r="V915" t="s">
        <v>16128</v>
      </c>
      <c r="W915" t="s">
        <v>16129</v>
      </c>
      <c r="X915" t="s">
        <v>16130</v>
      </c>
      <c r="Y915" t="s">
        <v>16131</v>
      </c>
      <c r="Z915" t="s">
        <v>16132</v>
      </c>
      <c r="AA915" t="s">
        <v>16133</v>
      </c>
      <c r="AB915" t="s">
        <v>16134</v>
      </c>
      <c r="AC915" t="s">
        <v>16135</v>
      </c>
      <c r="AD915" t="s">
        <v>16136</v>
      </c>
      <c r="AE915" t="s">
        <v>16137</v>
      </c>
      <c r="AF915" t="s">
        <v>74</v>
      </c>
      <c r="AG915">
        <v>27</v>
      </c>
      <c r="AH915">
        <v>34</v>
      </c>
      <c r="AI915">
        <v>36</v>
      </c>
      <c r="AJ915">
        <v>1</v>
      </c>
      <c r="AK915">
        <v>20</v>
      </c>
      <c r="AL915" t="s">
        <v>577</v>
      </c>
      <c r="AM915" t="s">
        <v>578</v>
      </c>
      <c r="AN915" t="s">
        <v>579</v>
      </c>
      <c r="AO915" t="s">
        <v>580</v>
      </c>
      <c r="AP915" t="s">
        <v>581</v>
      </c>
      <c r="AQ915" t="s">
        <v>74</v>
      </c>
      <c r="AR915" t="s">
        <v>582</v>
      </c>
      <c r="AS915" t="s">
        <v>583</v>
      </c>
      <c r="AT915" t="s">
        <v>74</v>
      </c>
      <c r="AU915">
        <v>2009</v>
      </c>
      <c r="AV915">
        <v>397</v>
      </c>
      <c r="AW915" t="s">
        <v>74</v>
      </c>
      <c r="AX915" t="s">
        <v>74</v>
      </c>
      <c r="AY915" t="s">
        <v>74</v>
      </c>
      <c r="AZ915" t="s">
        <v>74</v>
      </c>
      <c r="BA915" t="s">
        <v>74</v>
      </c>
      <c r="BB915">
        <v>71</v>
      </c>
      <c r="BC915">
        <v>79</v>
      </c>
      <c r="BD915" t="s">
        <v>74</v>
      </c>
      <c r="BE915" t="s">
        <v>16138</v>
      </c>
      <c r="BF915" t="str">
        <f>HYPERLINK("http://dx.doi.org/10.3354/meps08230","http://dx.doi.org/10.3354/meps08230")</f>
        <v>http://dx.doi.org/10.3354/meps08230</v>
      </c>
      <c r="BG915" t="s">
        <v>74</v>
      </c>
      <c r="BH915" t="s">
        <v>74</v>
      </c>
      <c r="BI915">
        <v>9</v>
      </c>
      <c r="BJ915" t="s">
        <v>586</v>
      </c>
      <c r="BK915" t="s">
        <v>100</v>
      </c>
      <c r="BL915" t="s">
        <v>587</v>
      </c>
      <c r="BM915" t="s">
        <v>16092</v>
      </c>
      <c r="BN915" t="s">
        <v>74</v>
      </c>
      <c r="BO915" t="s">
        <v>499</v>
      </c>
      <c r="BP915" t="s">
        <v>74</v>
      </c>
      <c r="BQ915" t="s">
        <v>74</v>
      </c>
      <c r="BR915" t="s">
        <v>103</v>
      </c>
      <c r="BS915" t="s">
        <v>16139</v>
      </c>
      <c r="BT915" t="str">
        <f>HYPERLINK("https%3A%2F%2Fwww.webofscience.com%2Fwos%2Fwoscc%2Ffull-record%2FWOS:000273968400008","View Full Record in Web of Science")</f>
        <v>View Full Record in Web of Science</v>
      </c>
    </row>
    <row r="916" spans="1:72" x14ac:dyDescent="0.15">
      <c r="A916" t="s">
        <v>72</v>
      </c>
      <c r="B916" t="s">
        <v>16140</v>
      </c>
      <c r="C916" t="s">
        <v>74</v>
      </c>
      <c r="D916" t="s">
        <v>74</v>
      </c>
      <c r="E916" t="s">
        <v>74</v>
      </c>
      <c r="F916" t="s">
        <v>16141</v>
      </c>
      <c r="G916" t="s">
        <v>74</v>
      </c>
      <c r="H916" t="s">
        <v>74</v>
      </c>
      <c r="I916" t="s">
        <v>16142</v>
      </c>
      <c r="J916" t="s">
        <v>567</v>
      </c>
      <c r="K916" t="s">
        <v>74</v>
      </c>
      <c r="L916" t="s">
        <v>74</v>
      </c>
      <c r="M916" t="s">
        <v>78</v>
      </c>
      <c r="N916" t="s">
        <v>79</v>
      </c>
      <c r="O916" t="s">
        <v>74</v>
      </c>
      <c r="P916" t="s">
        <v>74</v>
      </c>
      <c r="Q916" t="s">
        <v>74</v>
      </c>
      <c r="R916" t="s">
        <v>74</v>
      </c>
      <c r="S916" t="s">
        <v>74</v>
      </c>
      <c r="T916" t="s">
        <v>16143</v>
      </c>
      <c r="U916" t="s">
        <v>16144</v>
      </c>
      <c r="V916" t="s">
        <v>16145</v>
      </c>
      <c r="W916" t="s">
        <v>16146</v>
      </c>
      <c r="X916" t="s">
        <v>16147</v>
      </c>
      <c r="Y916" t="s">
        <v>16148</v>
      </c>
      <c r="Z916" t="s">
        <v>16149</v>
      </c>
      <c r="AA916" t="s">
        <v>16150</v>
      </c>
      <c r="AB916" t="s">
        <v>16151</v>
      </c>
      <c r="AC916" t="s">
        <v>16152</v>
      </c>
      <c r="AD916" t="s">
        <v>16153</v>
      </c>
      <c r="AE916" t="s">
        <v>16154</v>
      </c>
      <c r="AF916" t="s">
        <v>74</v>
      </c>
      <c r="AG916">
        <v>45</v>
      </c>
      <c r="AH916">
        <v>35</v>
      </c>
      <c r="AI916">
        <v>41</v>
      </c>
      <c r="AJ916">
        <v>0</v>
      </c>
      <c r="AK916">
        <v>25</v>
      </c>
      <c r="AL916" t="s">
        <v>577</v>
      </c>
      <c r="AM916" t="s">
        <v>578</v>
      </c>
      <c r="AN916" t="s">
        <v>579</v>
      </c>
      <c r="AO916" t="s">
        <v>580</v>
      </c>
      <c r="AP916" t="s">
        <v>581</v>
      </c>
      <c r="AQ916" t="s">
        <v>74</v>
      </c>
      <c r="AR916" t="s">
        <v>582</v>
      </c>
      <c r="AS916" t="s">
        <v>583</v>
      </c>
      <c r="AT916" t="s">
        <v>74</v>
      </c>
      <c r="AU916">
        <v>2009</v>
      </c>
      <c r="AV916">
        <v>397</v>
      </c>
      <c r="AW916" t="s">
        <v>74</v>
      </c>
      <c r="AX916" t="s">
        <v>74</v>
      </c>
      <c r="AY916" t="s">
        <v>74</v>
      </c>
      <c r="AZ916" t="s">
        <v>74</v>
      </c>
      <c r="BA916" t="s">
        <v>74</v>
      </c>
      <c r="BB916">
        <v>209</v>
      </c>
      <c r="BC916">
        <v>218</v>
      </c>
      <c r="BD916" t="s">
        <v>74</v>
      </c>
      <c r="BE916" t="s">
        <v>16155</v>
      </c>
      <c r="BF916" t="str">
        <f>HYPERLINK("http://dx.doi.org/10.3354/meps08166","http://dx.doi.org/10.3354/meps08166")</f>
        <v>http://dx.doi.org/10.3354/meps08166</v>
      </c>
      <c r="BG916" t="s">
        <v>74</v>
      </c>
      <c r="BH916" t="s">
        <v>74</v>
      </c>
      <c r="BI916">
        <v>10</v>
      </c>
      <c r="BJ916" t="s">
        <v>586</v>
      </c>
      <c r="BK916" t="s">
        <v>100</v>
      </c>
      <c r="BL916" t="s">
        <v>587</v>
      </c>
      <c r="BM916" t="s">
        <v>16092</v>
      </c>
      <c r="BN916" t="s">
        <v>74</v>
      </c>
      <c r="BO916" t="s">
        <v>910</v>
      </c>
      <c r="BP916" t="s">
        <v>74</v>
      </c>
      <c r="BQ916" t="s">
        <v>74</v>
      </c>
      <c r="BR916" t="s">
        <v>103</v>
      </c>
      <c r="BS916" t="s">
        <v>16156</v>
      </c>
      <c r="BT916" t="str">
        <f>HYPERLINK("https%3A%2F%2Fwww.webofscience.com%2Fwos%2Fwoscc%2Ffull-record%2FWOS:000273968400020","View Full Record in Web of Science")</f>
        <v>View Full Record in Web of Science</v>
      </c>
    </row>
    <row r="917" spans="1:72" x14ac:dyDescent="0.15">
      <c r="A917" t="s">
        <v>72</v>
      </c>
      <c r="B917" t="s">
        <v>16157</v>
      </c>
      <c r="C917" t="s">
        <v>74</v>
      </c>
      <c r="D917" t="s">
        <v>74</v>
      </c>
      <c r="E917" t="s">
        <v>74</v>
      </c>
      <c r="F917" t="s">
        <v>16158</v>
      </c>
      <c r="G917" t="s">
        <v>74</v>
      </c>
      <c r="H917" t="s">
        <v>74</v>
      </c>
      <c r="I917" t="s">
        <v>16159</v>
      </c>
      <c r="J917" t="s">
        <v>567</v>
      </c>
      <c r="K917" t="s">
        <v>74</v>
      </c>
      <c r="L917" t="s">
        <v>74</v>
      </c>
      <c r="M917" t="s">
        <v>78</v>
      </c>
      <c r="N917" t="s">
        <v>79</v>
      </c>
      <c r="O917" t="s">
        <v>74</v>
      </c>
      <c r="P917" t="s">
        <v>74</v>
      </c>
      <c r="Q917" t="s">
        <v>74</v>
      </c>
      <c r="R917" t="s">
        <v>74</v>
      </c>
      <c r="S917" t="s">
        <v>74</v>
      </c>
      <c r="T917" t="s">
        <v>16160</v>
      </c>
      <c r="U917" t="s">
        <v>16161</v>
      </c>
      <c r="V917" t="s">
        <v>16162</v>
      </c>
      <c r="W917" t="s">
        <v>16163</v>
      </c>
      <c r="X917" t="s">
        <v>16164</v>
      </c>
      <c r="Y917" t="s">
        <v>16165</v>
      </c>
      <c r="Z917" t="s">
        <v>16166</v>
      </c>
      <c r="AA917" t="s">
        <v>16167</v>
      </c>
      <c r="AB917" t="s">
        <v>16168</v>
      </c>
      <c r="AC917" t="s">
        <v>16169</v>
      </c>
      <c r="AD917" t="s">
        <v>16170</v>
      </c>
      <c r="AE917" t="s">
        <v>16171</v>
      </c>
      <c r="AF917" t="s">
        <v>74</v>
      </c>
      <c r="AG917">
        <v>83</v>
      </c>
      <c r="AH917">
        <v>255</v>
      </c>
      <c r="AI917">
        <v>291</v>
      </c>
      <c r="AJ917">
        <v>2</v>
      </c>
      <c r="AK917">
        <v>140</v>
      </c>
      <c r="AL917" t="s">
        <v>577</v>
      </c>
      <c r="AM917" t="s">
        <v>578</v>
      </c>
      <c r="AN917" t="s">
        <v>579</v>
      </c>
      <c r="AO917" t="s">
        <v>580</v>
      </c>
      <c r="AP917" t="s">
        <v>581</v>
      </c>
      <c r="AQ917" t="s">
        <v>74</v>
      </c>
      <c r="AR917" t="s">
        <v>582</v>
      </c>
      <c r="AS917" t="s">
        <v>583</v>
      </c>
      <c r="AT917" t="s">
        <v>74</v>
      </c>
      <c r="AU917">
        <v>2009</v>
      </c>
      <c r="AV917">
        <v>395</v>
      </c>
      <c r="AW917" t="s">
        <v>74</v>
      </c>
      <c r="AX917" t="s">
        <v>74</v>
      </c>
      <c r="AY917" t="s">
        <v>74</v>
      </c>
      <c r="AZ917" t="s">
        <v>74</v>
      </c>
      <c r="BA917" t="s">
        <v>74</v>
      </c>
      <c r="BB917">
        <v>21</v>
      </c>
      <c r="BC917">
        <v>36</v>
      </c>
      <c r="BD917" t="s">
        <v>74</v>
      </c>
      <c r="BE917" t="s">
        <v>16172</v>
      </c>
      <c r="BF917" t="str">
        <f>HYPERLINK("http://dx.doi.org/10.3354/meps08123","http://dx.doi.org/10.3354/meps08123")</f>
        <v>http://dx.doi.org/10.3354/meps08123</v>
      </c>
      <c r="BG917" t="s">
        <v>74</v>
      </c>
      <c r="BH917" t="s">
        <v>74</v>
      </c>
      <c r="BI917">
        <v>16</v>
      </c>
      <c r="BJ917" t="s">
        <v>586</v>
      </c>
      <c r="BK917" t="s">
        <v>100</v>
      </c>
      <c r="BL917" t="s">
        <v>587</v>
      </c>
      <c r="BM917" t="s">
        <v>16173</v>
      </c>
      <c r="BN917" t="s">
        <v>74</v>
      </c>
      <c r="BO917" t="s">
        <v>1036</v>
      </c>
      <c r="BP917" t="s">
        <v>74</v>
      </c>
      <c r="BQ917" t="s">
        <v>74</v>
      </c>
      <c r="BR917" t="s">
        <v>103</v>
      </c>
      <c r="BS917" t="s">
        <v>16174</v>
      </c>
      <c r="BT917" t="str">
        <f>HYPERLINK("https%3A%2F%2Fwww.webofscience.com%2Fwos%2Fwoscc%2Ffull-record%2FWOS:000273383900003","View Full Record in Web of Science")</f>
        <v>View Full Record in Web of Science</v>
      </c>
    </row>
    <row r="918" spans="1:72" x14ac:dyDescent="0.15">
      <c r="A918" t="s">
        <v>72</v>
      </c>
      <c r="B918" t="s">
        <v>16175</v>
      </c>
      <c r="C918" t="s">
        <v>74</v>
      </c>
      <c r="D918" t="s">
        <v>74</v>
      </c>
      <c r="E918" t="s">
        <v>74</v>
      </c>
      <c r="F918" t="s">
        <v>16176</v>
      </c>
      <c r="G918" t="s">
        <v>74</v>
      </c>
      <c r="H918" t="s">
        <v>74</v>
      </c>
      <c r="I918" t="s">
        <v>16177</v>
      </c>
      <c r="J918" t="s">
        <v>567</v>
      </c>
      <c r="K918" t="s">
        <v>74</v>
      </c>
      <c r="L918" t="s">
        <v>74</v>
      </c>
      <c r="M918" t="s">
        <v>78</v>
      </c>
      <c r="N918" t="s">
        <v>79</v>
      </c>
      <c r="O918" t="s">
        <v>74</v>
      </c>
      <c r="P918" t="s">
        <v>74</v>
      </c>
      <c r="Q918" t="s">
        <v>74</v>
      </c>
      <c r="R918" t="s">
        <v>74</v>
      </c>
      <c r="S918" t="s">
        <v>74</v>
      </c>
      <c r="T918" t="s">
        <v>16178</v>
      </c>
      <c r="U918" t="s">
        <v>16179</v>
      </c>
      <c r="V918" t="s">
        <v>16180</v>
      </c>
      <c r="W918" t="s">
        <v>16181</v>
      </c>
      <c r="X918" t="s">
        <v>16182</v>
      </c>
      <c r="Y918" t="s">
        <v>16183</v>
      </c>
      <c r="Z918" t="s">
        <v>16184</v>
      </c>
      <c r="AA918" t="s">
        <v>74</v>
      </c>
      <c r="AB918" t="s">
        <v>16185</v>
      </c>
      <c r="AC918" t="s">
        <v>74</v>
      </c>
      <c r="AD918" t="s">
        <v>74</v>
      </c>
      <c r="AE918" t="s">
        <v>74</v>
      </c>
      <c r="AF918" t="s">
        <v>74</v>
      </c>
      <c r="AG918">
        <v>63</v>
      </c>
      <c r="AH918">
        <v>78</v>
      </c>
      <c r="AI918">
        <v>89</v>
      </c>
      <c r="AJ918">
        <v>2</v>
      </c>
      <c r="AK918">
        <v>27</v>
      </c>
      <c r="AL918" t="s">
        <v>577</v>
      </c>
      <c r="AM918" t="s">
        <v>578</v>
      </c>
      <c r="AN918" t="s">
        <v>579</v>
      </c>
      <c r="AO918" t="s">
        <v>580</v>
      </c>
      <c r="AP918" t="s">
        <v>74</v>
      </c>
      <c r="AQ918" t="s">
        <v>74</v>
      </c>
      <c r="AR918" t="s">
        <v>582</v>
      </c>
      <c r="AS918" t="s">
        <v>583</v>
      </c>
      <c r="AT918" t="s">
        <v>74</v>
      </c>
      <c r="AU918">
        <v>2009</v>
      </c>
      <c r="AV918">
        <v>395</v>
      </c>
      <c r="AW918" t="s">
        <v>74</v>
      </c>
      <c r="AX918" t="s">
        <v>74</v>
      </c>
      <c r="AY918" t="s">
        <v>74</v>
      </c>
      <c r="AZ918" t="s">
        <v>74</v>
      </c>
      <c r="BA918" t="s">
        <v>74</v>
      </c>
      <c r="BB918">
        <v>109</v>
      </c>
      <c r="BC918">
        <v>118</v>
      </c>
      <c r="BD918" t="s">
        <v>74</v>
      </c>
      <c r="BE918" t="s">
        <v>16186</v>
      </c>
      <c r="BF918" t="str">
        <f>HYPERLINK("http://dx.doi.org/10.3354/meps08174","http://dx.doi.org/10.3354/meps08174")</f>
        <v>http://dx.doi.org/10.3354/meps08174</v>
      </c>
      <c r="BG918" t="s">
        <v>74</v>
      </c>
      <c r="BH918" t="s">
        <v>74</v>
      </c>
      <c r="BI918">
        <v>10</v>
      </c>
      <c r="BJ918" t="s">
        <v>586</v>
      </c>
      <c r="BK918" t="s">
        <v>100</v>
      </c>
      <c r="BL918" t="s">
        <v>587</v>
      </c>
      <c r="BM918" t="s">
        <v>16173</v>
      </c>
      <c r="BN918" t="s">
        <v>74</v>
      </c>
      <c r="BO918" t="s">
        <v>499</v>
      </c>
      <c r="BP918" t="s">
        <v>74</v>
      </c>
      <c r="BQ918" t="s">
        <v>74</v>
      </c>
      <c r="BR918" t="s">
        <v>103</v>
      </c>
      <c r="BS918" t="s">
        <v>16187</v>
      </c>
      <c r="BT918" t="str">
        <f>HYPERLINK("https%3A%2F%2Fwww.webofscience.com%2Fwos%2Fwoscc%2Ffull-record%2FWOS:000273383900009","View Full Record in Web of Science")</f>
        <v>View Full Record in Web of Science</v>
      </c>
    </row>
    <row r="919" spans="1:72" x14ac:dyDescent="0.15">
      <c r="A919" t="s">
        <v>72</v>
      </c>
      <c r="B919" t="s">
        <v>16188</v>
      </c>
      <c r="C919" t="s">
        <v>74</v>
      </c>
      <c r="D919" t="s">
        <v>74</v>
      </c>
      <c r="E919" t="s">
        <v>74</v>
      </c>
      <c r="F919" t="s">
        <v>16189</v>
      </c>
      <c r="G919" t="s">
        <v>74</v>
      </c>
      <c r="H919" t="s">
        <v>74</v>
      </c>
      <c r="I919" t="s">
        <v>16190</v>
      </c>
      <c r="J919" t="s">
        <v>567</v>
      </c>
      <c r="K919" t="s">
        <v>74</v>
      </c>
      <c r="L919" t="s">
        <v>74</v>
      </c>
      <c r="M919" t="s">
        <v>78</v>
      </c>
      <c r="N919" t="s">
        <v>172</v>
      </c>
      <c r="O919" t="s">
        <v>74</v>
      </c>
      <c r="P919" t="s">
        <v>74</v>
      </c>
      <c r="Q919" t="s">
        <v>74</v>
      </c>
      <c r="R919" t="s">
        <v>74</v>
      </c>
      <c r="S919" t="s">
        <v>74</v>
      </c>
      <c r="T919" t="s">
        <v>16191</v>
      </c>
      <c r="U919" t="s">
        <v>16192</v>
      </c>
      <c r="V919" t="s">
        <v>16193</v>
      </c>
      <c r="W919" t="s">
        <v>16194</v>
      </c>
      <c r="X919" t="s">
        <v>16195</v>
      </c>
      <c r="Y919" t="s">
        <v>16196</v>
      </c>
      <c r="Z919" t="s">
        <v>16197</v>
      </c>
      <c r="AA919" t="s">
        <v>16198</v>
      </c>
      <c r="AB919" t="s">
        <v>16199</v>
      </c>
      <c r="AC919" t="s">
        <v>16200</v>
      </c>
      <c r="AD919" t="s">
        <v>16201</v>
      </c>
      <c r="AE919" t="s">
        <v>16202</v>
      </c>
      <c r="AF919" t="s">
        <v>74</v>
      </c>
      <c r="AG919">
        <v>156</v>
      </c>
      <c r="AH919">
        <v>41</v>
      </c>
      <c r="AI919">
        <v>51</v>
      </c>
      <c r="AJ919">
        <v>0</v>
      </c>
      <c r="AK919">
        <v>30</v>
      </c>
      <c r="AL919" t="s">
        <v>577</v>
      </c>
      <c r="AM919" t="s">
        <v>578</v>
      </c>
      <c r="AN919" t="s">
        <v>579</v>
      </c>
      <c r="AO919" t="s">
        <v>580</v>
      </c>
      <c r="AP919" t="s">
        <v>581</v>
      </c>
      <c r="AQ919" t="s">
        <v>74</v>
      </c>
      <c r="AR919" t="s">
        <v>582</v>
      </c>
      <c r="AS919" t="s">
        <v>583</v>
      </c>
      <c r="AT919" t="s">
        <v>74</v>
      </c>
      <c r="AU919">
        <v>2009</v>
      </c>
      <c r="AV919">
        <v>395</v>
      </c>
      <c r="AW919" t="s">
        <v>74</v>
      </c>
      <c r="AX919" t="s">
        <v>74</v>
      </c>
      <c r="AY919" t="s">
        <v>74</v>
      </c>
      <c r="AZ919" t="s">
        <v>74</v>
      </c>
      <c r="BA919" t="s">
        <v>74</v>
      </c>
      <c r="BB919">
        <v>137</v>
      </c>
      <c r="BC919">
        <v>160</v>
      </c>
      <c r="BD919" t="s">
        <v>74</v>
      </c>
      <c r="BE919" t="s">
        <v>16203</v>
      </c>
      <c r="BF919" t="str">
        <f>HYPERLINK("http://dx.doi.org/10.3354/meps08266","http://dx.doi.org/10.3354/meps08266")</f>
        <v>http://dx.doi.org/10.3354/meps08266</v>
      </c>
      <c r="BG919" t="s">
        <v>74</v>
      </c>
      <c r="BH919" t="s">
        <v>74</v>
      </c>
      <c r="BI919">
        <v>24</v>
      </c>
      <c r="BJ919" t="s">
        <v>586</v>
      </c>
      <c r="BK919" t="s">
        <v>100</v>
      </c>
      <c r="BL919" t="s">
        <v>587</v>
      </c>
      <c r="BM919" t="s">
        <v>16173</v>
      </c>
      <c r="BN919" t="s">
        <v>74</v>
      </c>
      <c r="BO919" t="s">
        <v>1137</v>
      </c>
      <c r="BP919" t="s">
        <v>74</v>
      </c>
      <c r="BQ919" t="s">
        <v>74</v>
      </c>
      <c r="BR919" t="s">
        <v>103</v>
      </c>
      <c r="BS919" t="s">
        <v>16204</v>
      </c>
      <c r="BT919" t="str">
        <f>HYPERLINK("https%3A%2F%2Fwww.webofscience.com%2Fwos%2Fwoscc%2Ffull-record%2FWOS:000273383900011","View Full Record in Web of Science")</f>
        <v>View Full Record in Web of Science</v>
      </c>
    </row>
    <row r="920" spans="1:72" x14ac:dyDescent="0.15">
      <c r="A920" t="s">
        <v>72</v>
      </c>
      <c r="B920" t="s">
        <v>16205</v>
      </c>
      <c r="C920" t="s">
        <v>74</v>
      </c>
      <c r="D920" t="s">
        <v>74</v>
      </c>
      <c r="E920" t="s">
        <v>74</v>
      </c>
      <c r="F920" t="s">
        <v>16206</v>
      </c>
      <c r="G920" t="s">
        <v>74</v>
      </c>
      <c r="H920" t="s">
        <v>74</v>
      </c>
      <c r="I920" t="s">
        <v>16207</v>
      </c>
      <c r="J920" t="s">
        <v>567</v>
      </c>
      <c r="K920" t="s">
        <v>74</v>
      </c>
      <c r="L920" t="s">
        <v>74</v>
      </c>
      <c r="M920" t="s">
        <v>78</v>
      </c>
      <c r="N920" t="s">
        <v>79</v>
      </c>
      <c r="O920" t="s">
        <v>74</v>
      </c>
      <c r="P920" t="s">
        <v>74</v>
      </c>
      <c r="Q920" t="s">
        <v>74</v>
      </c>
      <c r="R920" t="s">
        <v>74</v>
      </c>
      <c r="S920" t="s">
        <v>74</v>
      </c>
      <c r="T920" t="s">
        <v>16208</v>
      </c>
      <c r="U920" t="s">
        <v>16209</v>
      </c>
      <c r="V920" t="s">
        <v>16210</v>
      </c>
      <c r="W920" t="s">
        <v>16211</v>
      </c>
      <c r="X920" t="s">
        <v>14131</v>
      </c>
      <c r="Y920" t="s">
        <v>16212</v>
      </c>
      <c r="Z920" t="s">
        <v>16213</v>
      </c>
      <c r="AA920" t="s">
        <v>16214</v>
      </c>
      <c r="AB920" t="s">
        <v>16215</v>
      </c>
      <c r="AC920" t="s">
        <v>16216</v>
      </c>
      <c r="AD920" t="s">
        <v>16217</v>
      </c>
      <c r="AE920" t="s">
        <v>16218</v>
      </c>
      <c r="AF920" t="s">
        <v>74</v>
      </c>
      <c r="AG920">
        <v>97</v>
      </c>
      <c r="AH920">
        <v>39</v>
      </c>
      <c r="AI920">
        <v>44</v>
      </c>
      <c r="AJ920">
        <v>1</v>
      </c>
      <c r="AK920">
        <v>17</v>
      </c>
      <c r="AL920" t="s">
        <v>577</v>
      </c>
      <c r="AM920" t="s">
        <v>578</v>
      </c>
      <c r="AN920" t="s">
        <v>579</v>
      </c>
      <c r="AO920" t="s">
        <v>580</v>
      </c>
      <c r="AP920" t="s">
        <v>581</v>
      </c>
      <c r="AQ920" t="s">
        <v>74</v>
      </c>
      <c r="AR920" t="s">
        <v>582</v>
      </c>
      <c r="AS920" t="s">
        <v>583</v>
      </c>
      <c r="AT920" t="s">
        <v>74</v>
      </c>
      <c r="AU920">
        <v>2009</v>
      </c>
      <c r="AV920">
        <v>394</v>
      </c>
      <c r="AW920" t="s">
        <v>74</v>
      </c>
      <c r="AX920" t="s">
        <v>74</v>
      </c>
      <c r="AY920" t="s">
        <v>74</v>
      </c>
      <c r="AZ920" t="s">
        <v>74</v>
      </c>
      <c r="BA920" t="s">
        <v>74</v>
      </c>
      <c r="BB920">
        <v>49</v>
      </c>
      <c r="BC920">
        <v>63</v>
      </c>
      <c r="BD920" t="s">
        <v>74</v>
      </c>
      <c r="BE920" t="s">
        <v>16219</v>
      </c>
      <c r="BF920" t="str">
        <f>HYPERLINK("http://dx.doi.org/10.3354/meps08320","http://dx.doi.org/10.3354/meps08320")</f>
        <v>http://dx.doi.org/10.3354/meps08320</v>
      </c>
      <c r="BG920" t="s">
        <v>74</v>
      </c>
      <c r="BH920" t="s">
        <v>74</v>
      </c>
      <c r="BI920">
        <v>15</v>
      </c>
      <c r="BJ920" t="s">
        <v>586</v>
      </c>
      <c r="BK920" t="s">
        <v>100</v>
      </c>
      <c r="BL920" t="s">
        <v>587</v>
      </c>
      <c r="BM920" t="s">
        <v>16220</v>
      </c>
      <c r="BN920" t="s">
        <v>74</v>
      </c>
      <c r="BO920" t="s">
        <v>499</v>
      </c>
      <c r="BP920" t="s">
        <v>74</v>
      </c>
      <c r="BQ920" t="s">
        <v>74</v>
      </c>
      <c r="BR920" t="s">
        <v>103</v>
      </c>
      <c r="BS920" t="s">
        <v>16221</v>
      </c>
      <c r="BT920" t="str">
        <f>HYPERLINK("https%3A%2F%2Fwww.webofscience.com%2Fwos%2Fwoscc%2Ffull-record%2FWOS:000272965900004","View Full Record in Web of Science")</f>
        <v>View Full Record in Web of Science</v>
      </c>
    </row>
    <row r="921" spans="1:72" x14ac:dyDescent="0.15">
      <c r="A921" t="s">
        <v>72</v>
      </c>
      <c r="B921" t="s">
        <v>16222</v>
      </c>
      <c r="C921" t="s">
        <v>74</v>
      </c>
      <c r="D921" t="s">
        <v>74</v>
      </c>
      <c r="E921" t="s">
        <v>74</v>
      </c>
      <c r="F921" t="s">
        <v>16223</v>
      </c>
      <c r="G921" t="s">
        <v>74</v>
      </c>
      <c r="H921" t="s">
        <v>74</v>
      </c>
      <c r="I921" t="s">
        <v>16224</v>
      </c>
      <c r="J921" t="s">
        <v>567</v>
      </c>
      <c r="K921" t="s">
        <v>74</v>
      </c>
      <c r="L921" t="s">
        <v>74</v>
      </c>
      <c r="M921" t="s">
        <v>78</v>
      </c>
      <c r="N921" t="s">
        <v>79</v>
      </c>
      <c r="O921" t="s">
        <v>74</v>
      </c>
      <c r="P921" t="s">
        <v>74</v>
      </c>
      <c r="Q921" t="s">
        <v>74</v>
      </c>
      <c r="R921" t="s">
        <v>74</v>
      </c>
      <c r="S921" t="s">
        <v>74</v>
      </c>
      <c r="T921" t="s">
        <v>16225</v>
      </c>
      <c r="U921" t="s">
        <v>16226</v>
      </c>
      <c r="V921" t="s">
        <v>16227</v>
      </c>
      <c r="W921" t="s">
        <v>16228</v>
      </c>
      <c r="X921" t="s">
        <v>16229</v>
      </c>
      <c r="Y921" t="s">
        <v>16230</v>
      </c>
      <c r="Z921" t="s">
        <v>16231</v>
      </c>
      <c r="AA921" t="s">
        <v>16232</v>
      </c>
      <c r="AB921" t="s">
        <v>16233</v>
      </c>
      <c r="AC921" t="s">
        <v>16234</v>
      </c>
      <c r="AD921" t="s">
        <v>16235</v>
      </c>
      <c r="AE921" t="s">
        <v>16236</v>
      </c>
      <c r="AF921" t="s">
        <v>74</v>
      </c>
      <c r="AG921">
        <v>66</v>
      </c>
      <c r="AH921">
        <v>41</v>
      </c>
      <c r="AI921">
        <v>45</v>
      </c>
      <c r="AJ921">
        <v>0</v>
      </c>
      <c r="AK921">
        <v>13</v>
      </c>
      <c r="AL921" t="s">
        <v>577</v>
      </c>
      <c r="AM921" t="s">
        <v>578</v>
      </c>
      <c r="AN921" t="s">
        <v>579</v>
      </c>
      <c r="AO921" t="s">
        <v>580</v>
      </c>
      <c r="AP921" t="s">
        <v>581</v>
      </c>
      <c r="AQ921" t="s">
        <v>74</v>
      </c>
      <c r="AR921" t="s">
        <v>582</v>
      </c>
      <c r="AS921" t="s">
        <v>583</v>
      </c>
      <c r="AT921" t="s">
        <v>74</v>
      </c>
      <c r="AU921">
        <v>2009</v>
      </c>
      <c r="AV921">
        <v>394</v>
      </c>
      <c r="AW921" t="s">
        <v>74</v>
      </c>
      <c r="AX921" t="s">
        <v>74</v>
      </c>
      <c r="AY921" t="s">
        <v>74</v>
      </c>
      <c r="AZ921" t="s">
        <v>74</v>
      </c>
      <c r="BA921" t="s">
        <v>74</v>
      </c>
      <c r="BB921">
        <v>263</v>
      </c>
      <c r="BC921">
        <v>276</v>
      </c>
      <c r="BD921" t="s">
        <v>74</v>
      </c>
      <c r="BE921" t="s">
        <v>16237</v>
      </c>
      <c r="BF921" t="str">
        <f>HYPERLINK("http://dx.doi.org/10.3354/meps08292","http://dx.doi.org/10.3354/meps08292")</f>
        <v>http://dx.doi.org/10.3354/meps08292</v>
      </c>
      <c r="BG921" t="s">
        <v>74</v>
      </c>
      <c r="BH921" t="s">
        <v>74</v>
      </c>
      <c r="BI921">
        <v>14</v>
      </c>
      <c r="BJ921" t="s">
        <v>586</v>
      </c>
      <c r="BK921" t="s">
        <v>100</v>
      </c>
      <c r="BL921" t="s">
        <v>587</v>
      </c>
      <c r="BM921" t="s">
        <v>16220</v>
      </c>
      <c r="BN921" t="s">
        <v>74</v>
      </c>
      <c r="BO921" t="s">
        <v>499</v>
      </c>
      <c r="BP921" t="s">
        <v>74</v>
      </c>
      <c r="BQ921" t="s">
        <v>74</v>
      </c>
      <c r="BR921" t="s">
        <v>103</v>
      </c>
      <c r="BS921" t="s">
        <v>16238</v>
      </c>
      <c r="BT921" t="str">
        <f>HYPERLINK("https%3A%2F%2Fwww.webofscience.com%2Fwos%2Fwoscc%2Ffull-record%2FWOS:000272965900020","View Full Record in Web of Science")</f>
        <v>View Full Record in Web of Science</v>
      </c>
    </row>
    <row r="922" spans="1:72" x14ac:dyDescent="0.15">
      <c r="A922" t="s">
        <v>72</v>
      </c>
      <c r="B922" t="s">
        <v>16239</v>
      </c>
      <c r="C922" t="s">
        <v>74</v>
      </c>
      <c r="D922" t="s">
        <v>74</v>
      </c>
      <c r="E922" t="s">
        <v>74</v>
      </c>
      <c r="F922" t="s">
        <v>16240</v>
      </c>
      <c r="G922" t="s">
        <v>74</v>
      </c>
      <c r="H922" t="s">
        <v>74</v>
      </c>
      <c r="I922" t="s">
        <v>16241</v>
      </c>
      <c r="J922" t="s">
        <v>567</v>
      </c>
      <c r="K922" t="s">
        <v>74</v>
      </c>
      <c r="L922" t="s">
        <v>74</v>
      </c>
      <c r="M922" t="s">
        <v>78</v>
      </c>
      <c r="N922" t="s">
        <v>79</v>
      </c>
      <c r="O922" t="s">
        <v>74</v>
      </c>
      <c r="P922" t="s">
        <v>74</v>
      </c>
      <c r="Q922" t="s">
        <v>74</v>
      </c>
      <c r="R922" t="s">
        <v>74</v>
      </c>
      <c r="S922" t="s">
        <v>74</v>
      </c>
      <c r="T922" t="s">
        <v>16242</v>
      </c>
      <c r="U922" t="s">
        <v>16243</v>
      </c>
      <c r="V922" t="s">
        <v>16244</v>
      </c>
      <c r="W922" t="s">
        <v>16245</v>
      </c>
      <c r="X922" t="s">
        <v>16246</v>
      </c>
      <c r="Y922" t="s">
        <v>16247</v>
      </c>
      <c r="Z922" t="s">
        <v>16248</v>
      </c>
      <c r="AA922" t="s">
        <v>16249</v>
      </c>
      <c r="AB922" t="s">
        <v>16250</v>
      </c>
      <c r="AC922" t="s">
        <v>16251</v>
      </c>
      <c r="AD922" t="s">
        <v>16252</v>
      </c>
      <c r="AE922" t="s">
        <v>16253</v>
      </c>
      <c r="AF922" t="s">
        <v>74</v>
      </c>
      <c r="AG922">
        <v>67</v>
      </c>
      <c r="AH922">
        <v>13</v>
      </c>
      <c r="AI922">
        <v>15</v>
      </c>
      <c r="AJ922">
        <v>0</v>
      </c>
      <c r="AK922">
        <v>18</v>
      </c>
      <c r="AL922" t="s">
        <v>577</v>
      </c>
      <c r="AM922" t="s">
        <v>578</v>
      </c>
      <c r="AN922" t="s">
        <v>579</v>
      </c>
      <c r="AO922" t="s">
        <v>580</v>
      </c>
      <c r="AP922" t="s">
        <v>581</v>
      </c>
      <c r="AQ922" t="s">
        <v>74</v>
      </c>
      <c r="AR922" t="s">
        <v>582</v>
      </c>
      <c r="AS922" t="s">
        <v>583</v>
      </c>
      <c r="AT922" t="s">
        <v>74</v>
      </c>
      <c r="AU922">
        <v>2009</v>
      </c>
      <c r="AV922">
        <v>394</v>
      </c>
      <c r="AW922" t="s">
        <v>74</v>
      </c>
      <c r="AX922" t="s">
        <v>74</v>
      </c>
      <c r="AY922" t="s">
        <v>74</v>
      </c>
      <c r="AZ922" t="s">
        <v>74</v>
      </c>
      <c r="BA922" t="s">
        <v>74</v>
      </c>
      <c r="BB922">
        <v>277</v>
      </c>
      <c r="BC922">
        <v>288</v>
      </c>
      <c r="BD922" t="s">
        <v>74</v>
      </c>
      <c r="BE922" t="s">
        <v>16254</v>
      </c>
      <c r="BF922" t="str">
        <f>HYPERLINK("http://dx.doi.org/10.3354/meps08308","http://dx.doi.org/10.3354/meps08308")</f>
        <v>http://dx.doi.org/10.3354/meps08308</v>
      </c>
      <c r="BG922" t="s">
        <v>74</v>
      </c>
      <c r="BH922" t="s">
        <v>74</v>
      </c>
      <c r="BI922">
        <v>12</v>
      </c>
      <c r="BJ922" t="s">
        <v>586</v>
      </c>
      <c r="BK922" t="s">
        <v>100</v>
      </c>
      <c r="BL922" t="s">
        <v>587</v>
      </c>
      <c r="BM922" t="s">
        <v>16220</v>
      </c>
      <c r="BN922" t="s">
        <v>74</v>
      </c>
      <c r="BO922" t="s">
        <v>1036</v>
      </c>
      <c r="BP922" t="s">
        <v>74</v>
      </c>
      <c r="BQ922" t="s">
        <v>74</v>
      </c>
      <c r="BR922" t="s">
        <v>103</v>
      </c>
      <c r="BS922" t="s">
        <v>16255</v>
      </c>
      <c r="BT922" t="str">
        <f>HYPERLINK("https%3A%2F%2Fwww.webofscience.com%2Fwos%2Fwoscc%2Ffull-record%2FWOS:000272965900021","View Full Record in Web of Science")</f>
        <v>View Full Record in Web of Science</v>
      </c>
    </row>
    <row r="923" spans="1:72" x14ac:dyDescent="0.15">
      <c r="A923" t="s">
        <v>72</v>
      </c>
      <c r="B923" t="s">
        <v>16256</v>
      </c>
      <c r="C923" t="s">
        <v>74</v>
      </c>
      <c r="D923" t="s">
        <v>74</v>
      </c>
      <c r="E923" t="s">
        <v>74</v>
      </c>
      <c r="F923" t="s">
        <v>16257</v>
      </c>
      <c r="G923" t="s">
        <v>74</v>
      </c>
      <c r="H923" t="s">
        <v>74</v>
      </c>
      <c r="I923" t="s">
        <v>16258</v>
      </c>
      <c r="J923" t="s">
        <v>567</v>
      </c>
      <c r="K923" t="s">
        <v>74</v>
      </c>
      <c r="L923" t="s">
        <v>74</v>
      </c>
      <c r="M923" t="s">
        <v>78</v>
      </c>
      <c r="N923" t="s">
        <v>79</v>
      </c>
      <c r="O923" t="s">
        <v>74</v>
      </c>
      <c r="P923" t="s">
        <v>74</v>
      </c>
      <c r="Q923" t="s">
        <v>74</v>
      </c>
      <c r="R923" t="s">
        <v>74</v>
      </c>
      <c r="S923" t="s">
        <v>74</v>
      </c>
      <c r="T923" t="s">
        <v>16259</v>
      </c>
      <c r="U923" t="s">
        <v>16260</v>
      </c>
      <c r="V923" t="s">
        <v>16261</v>
      </c>
      <c r="W923" t="s">
        <v>16262</v>
      </c>
      <c r="X923" t="s">
        <v>4527</v>
      </c>
      <c r="Y923" t="s">
        <v>16263</v>
      </c>
      <c r="Z923" t="s">
        <v>4529</v>
      </c>
      <c r="AA923" t="s">
        <v>4530</v>
      </c>
      <c r="AB923" t="s">
        <v>16264</v>
      </c>
      <c r="AC923" t="s">
        <v>16265</v>
      </c>
      <c r="AD923" t="s">
        <v>1593</v>
      </c>
      <c r="AE923" t="s">
        <v>74</v>
      </c>
      <c r="AF923" t="s">
        <v>74</v>
      </c>
      <c r="AG923">
        <v>45</v>
      </c>
      <c r="AH923">
        <v>44</v>
      </c>
      <c r="AI923">
        <v>51</v>
      </c>
      <c r="AJ923">
        <v>1</v>
      </c>
      <c r="AK923">
        <v>45</v>
      </c>
      <c r="AL923" t="s">
        <v>577</v>
      </c>
      <c r="AM923" t="s">
        <v>578</v>
      </c>
      <c r="AN923" t="s">
        <v>579</v>
      </c>
      <c r="AO923" t="s">
        <v>580</v>
      </c>
      <c r="AP923" t="s">
        <v>581</v>
      </c>
      <c r="AQ923" t="s">
        <v>74</v>
      </c>
      <c r="AR923" t="s">
        <v>582</v>
      </c>
      <c r="AS923" t="s">
        <v>583</v>
      </c>
      <c r="AT923" t="s">
        <v>74</v>
      </c>
      <c r="AU923">
        <v>2009</v>
      </c>
      <c r="AV923">
        <v>393</v>
      </c>
      <c r="AW923" t="s">
        <v>74</v>
      </c>
      <c r="AX923" t="s">
        <v>74</v>
      </c>
      <c r="AY923" t="s">
        <v>74</v>
      </c>
      <c r="AZ923" t="s">
        <v>74</v>
      </c>
      <c r="BA923" t="s">
        <v>74</v>
      </c>
      <c r="BB923">
        <v>13</v>
      </c>
      <c r="BC923">
        <v>26</v>
      </c>
      <c r="BD923" t="s">
        <v>74</v>
      </c>
      <c r="BE923" t="s">
        <v>16266</v>
      </c>
      <c r="BF923" t="str">
        <f>HYPERLINK("http://dx.doi.org/10.3354/meps08246","http://dx.doi.org/10.3354/meps08246")</f>
        <v>http://dx.doi.org/10.3354/meps08246</v>
      </c>
      <c r="BG923" t="s">
        <v>74</v>
      </c>
      <c r="BH923" t="s">
        <v>74</v>
      </c>
      <c r="BI923">
        <v>14</v>
      </c>
      <c r="BJ923" t="s">
        <v>586</v>
      </c>
      <c r="BK923" t="s">
        <v>100</v>
      </c>
      <c r="BL923" t="s">
        <v>587</v>
      </c>
      <c r="BM923" t="s">
        <v>16267</v>
      </c>
      <c r="BN923" t="s">
        <v>74</v>
      </c>
      <c r="BO923" t="s">
        <v>287</v>
      </c>
      <c r="BP923" t="s">
        <v>74</v>
      </c>
      <c r="BQ923" t="s">
        <v>74</v>
      </c>
      <c r="BR923" t="s">
        <v>103</v>
      </c>
      <c r="BS923" t="s">
        <v>16268</v>
      </c>
      <c r="BT923" t="str">
        <f>HYPERLINK("https%3A%2F%2Fwww.webofscience.com%2Fwos%2Fwoscc%2Ffull-record%2FWOS:000272187800002","View Full Record in Web of Science")</f>
        <v>View Full Record in Web of Science</v>
      </c>
    </row>
    <row r="924" spans="1:72" x14ac:dyDescent="0.15">
      <c r="A924" t="s">
        <v>72</v>
      </c>
      <c r="B924" t="s">
        <v>16269</v>
      </c>
      <c r="C924" t="s">
        <v>74</v>
      </c>
      <c r="D924" t="s">
        <v>74</v>
      </c>
      <c r="E924" t="s">
        <v>74</v>
      </c>
      <c r="F924" t="s">
        <v>16270</v>
      </c>
      <c r="G924" t="s">
        <v>74</v>
      </c>
      <c r="H924" t="s">
        <v>74</v>
      </c>
      <c r="I924" t="s">
        <v>16271</v>
      </c>
      <c r="J924" t="s">
        <v>567</v>
      </c>
      <c r="K924" t="s">
        <v>74</v>
      </c>
      <c r="L924" t="s">
        <v>74</v>
      </c>
      <c r="M924" t="s">
        <v>78</v>
      </c>
      <c r="N924" t="s">
        <v>79</v>
      </c>
      <c r="O924" t="s">
        <v>74</v>
      </c>
      <c r="P924" t="s">
        <v>74</v>
      </c>
      <c r="Q924" t="s">
        <v>74</v>
      </c>
      <c r="R924" t="s">
        <v>74</v>
      </c>
      <c r="S924" t="s">
        <v>74</v>
      </c>
      <c r="T924" t="s">
        <v>16272</v>
      </c>
      <c r="U924" t="s">
        <v>16273</v>
      </c>
      <c r="V924" t="s">
        <v>16274</v>
      </c>
      <c r="W924" t="s">
        <v>16275</v>
      </c>
      <c r="X924" t="s">
        <v>16276</v>
      </c>
      <c r="Y924" t="s">
        <v>16277</v>
      </c>
      <c r="Z924" t="s">
        <v>16278</v>
      </c>
      <c r="AA924" t="s">
        <v>16279</v>
      </c>
      <c r="AB924" t="s">
        <v>74</v>
      </c>
      <c r="AC924" t="s">
        <v>16280</v>
      </c>
      <c r="AD924" t="s">
        <v>1490</v>
      </c>
      <c r="AE924" t="s">
        <v>74</v>
      </c>
      <c r="AF924" t="s">
        <v>74</v>
      </c>
      <c r="AG924">
        <v>68</v>
      </c>
      <c r="AH924">
        <v>25</v>
      </c>
      <c r="AI924">
        <v>30</v>
      </c>
      <c r="AJ924">
        <v>0</v>
      </c>
      <c r="AK924">
        <v>24</v>
      </c>
      <c r="AL924" t="s">
        <v>577</v>
      </c>
      <c r="AM924" t="s">
        <v>578</v>
      </c>
      <c r="AN924" t="s">
        <v>579</v>
      </c>
      <c r="AO924" t="s">
        <v>580</v>
      </c>
      <c r="AP924" t="s">
        <v>581</v>
      </c>
      <c r="AQ924" t="s">
        <v>74</v>
      </c>
      <c r="AR924" t="s">
        <v>582</v>
      </c>
      <c r="AS924" t="s">
        <v>583</v>
      </c>
      <c r="AT924" t="s">
        <v>74</v>
      </c>
      <c r="AU924">
        <v>2009</v>
      </c>
      <c r="AV924">
        <v>393</v>
      </c>
      <c r="AW924" t="s">
        <v>74</v>
      </c>
      <c r="AX924" t="s">
        <v>74</v>
      </c>
      <c r="AY924" t="s">
        <v>74</v>
      </c>
      <c r="AZ924" t="s">
        <v>74</v>
      </c>
      <c r="BA924" t="s">
        <v>74</v>
      </c>
      <c r="BB924">
        <v>69</v>
      </c>
      <c r="BC924">
        <v>82</v>
      </c>
      <c r="BD924" t="s">
        <v>74</v>
      </c>
      <c r="BE924" t="s">
        <v>16281</v>
      </c>
      <c r="BF924" t="str">
        <f>HYPERLINK("http://dx.doi.org/10.3354/meps08288","http://dx.doi.org/10.3354/meps08288")</f>
        <v>http://dx.doi.org/10.3354/meps08288</v>
      </c>
      <c r="BG924" t="s">
        <v>74</v>
      </c>
      <c r="BH924" t="s">
        <v>74</v>
      </c>
      <c r="BI924">
        <v>14</v>
      </c>
      <c r="BJ924" t="s">
        <v>586</v>
      </c>
      <c r="BK924" t="s">
        <v>100</v>
      </c>
      <c r="BL924" t="s">
        <v>587</v>
      </c>
      <c r="BM924" t="s">
        <v>16267</v>
      </c>
      <c r="BN924" t="s">
        <v>74</v>
      </c>
      <c r="BO924" t="s">
        <v>839</v>
      </c>
      <c r="BP924" t="s">
        <v>74</v>
      </c>
      <c r="BQ924" t="s">
        <v>74</v>
      </c>
      <c r="BR924" t="s">
        <v>103</v>
      </c>
      <c r="BS924" t="s">
        <v>16282</v>
      </c>
      <c r="BT924" t="str">
        <f>HYPERLINK("https%3A%2F%2Fwww.webofscience.com%2Fwos%2Fwoscc%2Ffull-record%2FWOS:000272187800007","View Full Record in Web of Science")</f>
        <v>View Full Record in Web of Science</v>
      </c>
    </row>
    <row r="925" spans="1:72" x14ac:dyDescent="0.15">
      <c r="A925" t="s">
        <v>72</v>
      </c>
      <c r="B925" t="s">
        <v>16283</v>
      </c>
      <c r="C925" t="s">
        <v>74</v>
      </c>
      <c r="D925" t="s">
        <v>74</v>
      </c>
      <c r="E925" t="s">
        <v>74</v>
      </c>
      <c r="F925" t="s">
        <v>16284</v>
      </c>
      <c r="G925" t="s">
        <v>74</v>
      </c>
      <c r="H925" t="s">
        <v>74</v>
      </c>
      <c r="I925" t="s">
        <v>16285</v>
      </c>
      <c r="J925" t="s">
        <v>567</v>
      </c>
      <c r="K925" t="s">
        <v>74</v>
      </c>
      <c r="L925" t="s">
        <v>74</v>
      </c>
      <c r="M925" t="s">
        <v>78</v>
      </c>
      <c r="N925" t="s">
        <v>79</v>
      </c>
      <c r="O925" t="s">
        <v>74</v>
      </c>
      <c r="P925" t="s">
        <v>74</v>
      </c>
      <c r="Q925" t="s">
        <v>74</v>
      </c>
      <c r="R925" t="s">
        <v>74</v>
      </c>
      <c r="S925" t="s">
        <v>74</v>
      </c>
      <c r="T925" t="s">
        <v>16286</v>
      </c>
      <c r="U925" t="s">
        <v>16287</v>
      </c>
      <c r="V925" t="s">
        <v>16288</v>
      </c>
      <c r="W925" t="s">
        <v>16289</v>
      </c>
      <c r="X925" t="s">
        <v>3049</v>
      </c>
      <c r="Y925" t="s">
        <v>16290</v>
      </c>
      <c r="Z925" t="s">
        <v>16291</v>
      </c>
      <c r="AA925" t="s">
        <v>74</v>
      </c>
      <c r="AB925" t="s">
        <v>16292</v>
      </c>
      <c r="AC925" t="s">
        <v>16293</v>
      </c>
      <c r="AD925" t="s">
        <v>16293</v>
      </c>
      <c r="AE925" t="s">
        <v>16294</v>
      </c>
      <c r="AF925" t="s">
        <v>74</v>
      </c>
      <c r="AG925">
        <v>55</v>
      </c>
      <c r="AH925">
        <v>45</v>
      </c>
      <c r="AI925">
        <v>55</v>
      </c>
      <c r="AJ925">
        <v>0</v>
      </c>
      <c r="AK925">
        <v>39</v>
      </c>
      <c r="AL925" t="s">
        <v>577</v>
      </c>
      <c r="AM925" t="s">
        <v>578</v>
      </c>
      <c r="AN925" t="s">
        <v>579</v>
      </c>
      <c r="AO925" t="s">
        <v>580</v>
      </c>
      <c r="AP925" t="s">
        <v>74</v>
      </c>
      <c r="AQ925" t="s">
        <v>74</v>
      </c>
      <c r="AR925" t="s">
        <v>582</v>
      </c>
      <c r="AS925" t="s">
        <v>583</v>
      </c>
      <c r="AT925" t="s">
        <v>74</v>
      </c>
      <c r="AU925">
        <v>2009</v>
      </c>
      <c r="AV925">
        <v>393</v>
      </c>
      <c r="AW925" t="s">
        <v>74</v>
      </c>
      <c r="AX925" t="s">
        <v>74</v>
      </c>
      <c r="AY925" t="s">
        <v>74</v>
      </c>
      <c r="AZ925" t="s">
        <v>74</v>
      </c>
      <c r="BA925" t="s">
        <v>74</v>
      </c>
      <c r="BB925">
        <v>97</v>
      </c>
      <c r="BC925">
        <v>109</v>
      </c>
      <c r="BD925" t="s">
        <v>74</v>
      </c>
      <c r="BE925" t="s">
        <v>16295</v>
      </c>
      <c r="BF925" t="str">
        <f>HYPERLINK("http://dx.doi.org/10.3354/meps08229","http://dx.doi.org/10.3354/meps08229")</f>
        <v>http://dx.doi.org/10.3354/meps08229</v>
      </c>
      <c r="BG925" t="s">
        <v>74</v>
      </c>
      <c r="BH925" t="s">
        <v>74</v>
      </c>
      <c r="BI925">
        <v>13</v>
      </c>
      <c r="BJ925" t="s">
        <v>586</v>
      </c>
      <c r="BK925" t="s">
        <v>100</v>
      </c>
      <c r="BL925" t="s">
        <v>587</v>
      </c>
      <c r="BM925" t="s">
        <v>16267</v>
      </c>
      <c r="BN925" t="s">
        <v>74</v>
      </c>
      <c r="BO925" t="s">
        <v>499</v>
      </c>
      <c r="BP925" t="s">
        <v>74</v>
      </c>
      <c r="BQ925" t="s">
        <v>74</v>
      </c>
      <c r="BR925" t="s">
        <v>103</v>
      </c>
      <c r="BS925" t="s">
        <v>16296</v>
      </c>
      <c r="BT925" t="str">
        <f>HYPERLINK("https%3A%2F%2Fwww.webofscience.com%2Fwos%2Fwoscc%2Ffull-record%2FWOS:000272187800009","View Full Record in Web of Science")</f>
        <v>View Full Record in Web of Science</v>
      </c>
    </row>
    <row r="926" spans="1:72" x14ac:dyDescent="0.15">
      <c r="A926" t="s">
        <v>72</v>
      </c>
      <c r="B926" t="s">
        <v>16297</v>
      </c>
      <c r="C926" t="s">
        <v>74</v>
      </c>
      <c r="D926" t="s">
        <v>74</v>
      </c>
      <c r="E926" t="s">
        <v>74</v>
      </c>
      <c r="F926" t="s">
        <v>16298</v>
      </c>
      <c r="G926" t="s">
        <v>74</v>
      </c>
      <c r="H926" t="s">
        <v>74</v>
      </c>
      <c r="I926" t="s">
        <v>16299</v>
      </c>
      <c r="J926" t="s">
        <v>567</v>
      </c>
      <c r="K926" t="s">
        <v>74</v>
      </c>
      <c r="L926" t="s">
        <v>74</v>
      </c>
      <c r="M926" t="s">
        <v>78</v>
      </c>
      <c r="N926" t="s">
        <v>172</v>
      </c>
      <c r="O926" t="s">
        <v>74</v>
      </c>
      <c r="P926" t="s">
        <v>74</v>
      </c>
      <c r="Q926" t="s">
        <v>74</v>
      </c>
      <c r="R926" t="s">
        <v>74</v>
      </c>
      <c r="S926" t="s">
        <v>74</v>
      </c>
      <c r="T926" t="s">
        <v>16300</v>
      </c>
      <c r="U926" t="s">
        <v>16301</v>
      </c>
      <c r="V926" t="s">
        <v>16302</v>
      </c>
      <c r="W926" t="s">
        <v>16303</v>
      </c>
      <c r="X926" t="s">
        <v>16304</v>
      </c>
      <c r="Y926" t="s">
        <v>16305</v>
      </c>
      <c r="Z926" t="s">
        <v>16306</v>
      </c>
      <c r="AA926" t="s">
        <v>16307</v>
      </c>
      <c r="AB926" t="s">
        <v>74</v>
      </c>
      <c r="AC926" t="s">
        <v>16308</v>
      </c>
      <c r="AD926" t="s">
        <v>16309</v>
      </c>
      <c r="AE926" t="s">
        <v>16310</v>
      </c>
      <c r="AF926" t="s">
        <v>74</v>
      </c>
      <c r="AG926">
        <v>109</v>
      </c>
      <c r="AH926">
        <v>133</v>
      </c>
      <c r="AI926">
        <v>156</v>
      </c>
      <c r="AJ926">
        <v>3</v>
      </c>
      <c r="AK926">
        <v>81</v>
      </c>
      <c r="AL926" t="s">
        <v>577</v>
      </c>
      <c r="AM926" t="s">
        <v>578</v>
      </c>
      <c r="AN926" t="s">
        <v>579</v>
      </c>
      <c r="AO926" t="s">
        <v>580</v>
      </c>
      <c r="AP926" t="s">
        <v>581</v>
      </c>
      <c r="AQ926" t="s">
        <v>74</v>
      </c>
      <c r="AR926" t="s">
        <v>582</v>
      </c>
      <c r="AS926" t="s">
        <v>583</v>
      </c>
      <c r="AT926" t="s">
        <v>74</v>
      </c>
      <c r="AU926">
        <v>2009</v>
      </c>
      <c r="AV926">
        <v>391</v>
      </c>
      <c r="AW926" t="s">
        <v>74</v>
      </c>
      <c r="AX926" t="s">
        <v>74</v>
      </c>
      <c r="AY926" t="s">
        <v>74</v>
      </c>
      <c r="AZ926" t="s">
        <v>74</v>
      </c>
      <c r="BA926" t="s">
        <v>74</v>
      </c>
      <c r="BB926">
        <v>139</v>
      </c>
      <c r="BC926">
        <v>151</v>
      </c>
      <c r="BD926" t="s">
        <v>74</v>
      </c>
      <c r="BE926" t="s">
        <v>16311</v>
      </c>
      <c r="BF926" t="str">
        <f>HYPERLINK("http://dx.doi.org/10.3354/meps07818","http://dx.doi.org/10.3354/meps07818")</f>
        <v>http://dx.doi.org/10.3354/meps07818</v>
      </c>
      <c r="BG926" t="s">
        <v>74</v>
      </c>
      <c r="BH926" t="s">
        <v>74</v>
      </c>
      <c r="BI926">
        <v>13</v>
      </c>
      <c r="BJ926" t="s">
        <v>586</v>
      </c>
      <c r="BK926" t="s">
        <v>100</v>
      </c>
      <c r="BL926" t="s">
        <v>587</v>
      </c>
      <c r="BM926" t="s">
        <v>16312</v>
      </c>
      <c r="BN926" t="s">
        <v>74</v>
      </c>
      <c r="BO926" t="s">
        <v>499</v>
      </c>
      <c r="BP926" t="s">
        <v>74</v>
      </c>
      <c r="BQ926" t="s">
        <v>74</v>
      </c>
      <c r="BR926" t="s">
        <v>103</v>
      </c>
      <c r="BS926" t="s">
        <v>16313</v>
      </c>
      <c r="BT926" t="str">
        <f>HYPERLINK("https%3A%2F%2Fwww.webofscience.com%2Fwos%2Fwoscc%2Ffull-record%2FWOS:000271218100013","View Full Record in Web of Science")</f>
        <v>View Full Record in Web of Science</v>
      </c>
    </row>
    <row r="927" spans="1:72" x14ac:dyDescent="0.15">
      <c r="A927" t="s">
        <v>72</v>
      </c>
      <c r="B927" t="s">
        <v>16314</v>
      </c>
      <c r="C927" t="s">
        <v>74</v>
      </c>
      <c r="D927" t="s">
        <v>74</v>
      </c>
      <c r="E927" t="s">
        <v>74</v>
      </c>
      <c r="F927" t="s">
        <v>16315</v>
      </c>
      <c r="G927" t="s">
        <v>74</v>
      </c>
      <c r="H927" t="s">
        <v>74</v>
      </c>
      <c r="I927" t="s">
        <v>16316</v>
      </c>
      <c r="J927" t="s">
        <v>567</v>
      </c>
      <c r="K927" t="s">
        <v>74</v>
      </c>
      <c r="L927" t="s">
        <v>74</v>
      </c>
      <c r="M927" t="s">
        <v>78</v>
      </c>
      <c r="N927" t="s">
        <v>172</v>
      </c>
      <c r="O927" t="s">
        <v>74</v>
      </c>
      <c r="P927" t="s">
        <v>74</v>
      </c>
      <c r="Q927" t="s">
        <v>74</v>
      </c>
      <c r="R927" t="s">
        <v>74</v>
      </c>
      <c r="S927" t="s">
        <v>74</v>
      </c>
      <c r="T927" t="s">
        <v>16317</v>
      </c>
      <c r="U927" t="s">
        <v>16318</v>
      </c>
      <c r="V927" t="s">
        <v>16319</v>
      </c>
      <c r="W927" t="s">
        <v>16320</v>
      </c>
      <c r="X927" t="s">
        <v>16321</v>
      </c>
      <c r="Y927" t="s">
        <v>16322</v>
      </c>
      <c r="Z927" t="s">
        <v>16323</v>
      </c>
      <c r="AA927" t="s">
        <v>16324</v>
      </c>
      <c r="AB927" t="s">
        <v>16325</v>
      </c>
      <c r="AC927" t="s">
        <v>16326</v>
      </c>
      <c r="AD927" t="s">
        <v>16327</v>
      </c>
      <c r="AE927" t="s">
        <v>16328</v>
      </c>
      <c r="AF927" t="s">
        <v>74</v>
      </c>
      <c r="AG927">
        <v>94</v>
      </c>
      <c r="AH927">
        <v>80</v>
      </c>
      <c r="AI927">
        <v>95</v>
      </c>
      <c r="AJ927">
        <v>0</v>
      </c>
      <c r="AK927">
        <v>56</v>
      </c>
      <c r="AL927" t="s">
        <v>577</v>
      </c>
      <c r="AM927" t="s">
        <v>578</v>
      </c>
      <c r="AN927" t="s">
        <v>579</v>
      </c>
      <c r="AO927" t="s">
        <v>580</v>
      </c>
      <c r="AP927" t="s">
        <v>581</v>
      </c>
      <c r="AQ927" t="s">
        <v>74</v>
      </c>
      <c r="AR927" t="s">
        <v>582</v>
      </c>
      <c r="AS927" t="s">
        <v>583</v>
      </c>
      <c r="AT927" t="s">
        <v>74</v>
      </c>
      <c r="AU927">
        <v>2009</v>
      </c>
      <c r="AV927">
        <v>391</v>
      </c>
      <c r="AW927" t="s">
        <v>74</v>
      </c>
      <c r="AX927" t="s">
        <v>74</v>
      </c>
      <c r="AY927" t="s">
        <v>74</v>
      </c>
      <c r="AZ927" t="s">
        <v>74</v>
      </c>
      <c r="BA927" t="s">
        <v>74</v>
      </c>
      <c r="BB927">
        <v>153</v>
      </c>
      <c r="BC927">
        <v>163</v>
      </c>
      <c r="BD927" t="s">
        <v>74</v>
      </c>
      <c r="BE927" t="s">
        <v>16329</v>
      </c>
      <c r="BF927" t="str">
        <f>HYPERLINK("http://dx.doi.org/10.3354/meps08146","http://dx.doi.org/10.3354/meps08146")</f>
        <v>http://dx.doi.org/10.3354/meps08146</v>
      </c>
      <c r="BG927" t="s">
        <v>74</v>
      </c>
      <c r="BH927" t="s">
        <v>74</v>
      </c>
      <c r="BI927">
        <v>11</v>
      </c>
      <c r="BJ927" t="s">
        <v>586</v>
      </c>
      <c r="BK927" t="s">
        <v>100</v>
      </c>
      <c r="BL927" t="s">
        <v>587</v>
      </c>
      <c r="BM927" t="s">
        <v>16312</v>
      </c>
      <c r="BN927" t="s">
        <v>74</v>
      </c>
      <c r="BO927" t="s">
        <v>499</v>
      </c>
      <c r="BP927" t="s">
        <v>74</v>
      </c>
      <c r="BQ927" t="s">
        <v>74</v>
      </c>
      <c r="BR927" t="s">
        <v>103</v>
      </c>
      <c r="BS927" t="s">
        <v>16330</v>
      </c>
      <c r="BT927" t="str">
        <f>HYPERLINK("https%3A%2F%2Fwww.webofscience.com%2Fwos%2Fwoscc%2Ffull-record%2FWOS:000271218100014","View Full Record in Web of Science")</f>
        <v>View Full Record in Web of Science</v>
      </c>
    </row>
    <row r="928" spans="1:72" x14ac:dyDescent="0.15">
      <c r="A928" t="s">
        <v>72</v>
      </c>
      <c r="B928" t="s">
        <v>16331</v>
      </c>
      <c r="C928" t="s">
        <v>74</v>
      </c>
      <c r="D928" t="s">
        <v>74</v>
      </c>
      <c r="E928" t="s">
        <v>74</v>
      </c>
      <c r="F928" t="s">
        <v>16332</v>
      </c>
      <c r="G928" t="s">
        <v>74</v>
      </c>
      <c r="H928" t="s">
        <v>74</v>
      </c>
      <c r="I928" t="s">
        <v>16333</v>
      </c>
      <c r="J928" t="s">
        <v>567</v>
      </c>
      <c r="K928" t="s">
        <v>74</v>
      </c>
      <c r="L928" t="s">
        <v>74</v>
      </c>
      <c r="M928" t="s">
        <v>78</v>
      </c>
      <c r="N928" t="s">
        <v>172</v>
      </c>
      <c r="O928" t="s">
        <v>74</v>
      </c>
      <c r="P928" t="s">
        <v>74</v>
      </c>
      <c r="Q928" t="s">
        <v>74</v>
      </c>
      <c r="R928" t="s">
        <v>74</v>
      </c>
      <c r="S928" t="s">
        <v>74</v>
      </c>
      <c r="T928" t="s">
        <v>16334</v>
      </c>
      <c r="U928" t="s">
        <v>16335</v>
      </c>
      <c r="V928" t="s">
        <v>16336</v>
      </c>
      <c r="W928" t="s">
        <v>16337</v>
      </c>
      <c r="X928" t="s">
        <v>16338</v>
      </c>
      <c r="Y928" t="s">
        <v>16339</v>
      </c>
      <c r="Z928" t="s">
        <v>16340</v>
      </c>
      <c r="AA928" t="s">
        <v>16341</v>
      </c>
      <c r="AB928" t="s">
        <v>16342</v>
      </c>
      <c r="AC928" t="s">
        <v>16343</v>
      </c>
      <c r="AD928" t="s">
        <v>16344</v>
      </c>
      <c r="AE928" t="s">
        <v>16345</v>
      </c>
      <c r="AF928" t="s">
        <v>74</v>
      </c>
      <c r="AG928">
        <v>237</v>
      </c>
      <c r="AH928">
        <v>158</v>
      </c>
      <c r="AI928">
        <v>181</v>
      </c>
      <c r="AJ928">
        <v>6</v>
      </c>
      <c r="AK928">
        <v>178</v>
      </c>
      <c r="AL928" t="s">
        <v>577</v>
      </c>
      <c r="AM928" t="s">
        <v>578</v>
      </c>
      <c r="AN928" t="s">
        <v>579</v>
      </c>
      <c r="AO928" t="s">
        <v>580</v>
      </c>
      <c r="AP928" t="s">
        <v>581</v>
      </c>
      <c r="AQ928" t="s">
        <v>74</v>
      </c>
      <c r="AR928" t="s">
        <v>582</v>
      </c>
      <c r="AS928" t="s">
        <v>583</v>
      </c>
      <c r="AT928" t="s">
        <v>74</v>
      </c>
      <c r="AU928">
        <v>2009</v>
      </c>
      <c r="AV928">
        <v>391</v>
      </c>
      <c r="AW928" t="s">
        <v>74</v>
      </c>
      <c r="AX928" t="s">
        <v>74</v>
      </c>
      <c r="AY928" t="s">
        <v>74</v>
      </c>
      <c r="AZ928" t="s">
        <v>74</v>
      </c>
      <c r="BA928" t="s">
        <v>74</v>
      </c>
      <c r="BB928">
        <v>165</v>
      </c>
      <c r="BC928">
        <v>182</v>
      </c>
      <c r="BD928" t="s">
        <v>74</v>
      </c>
      <c r="BE928" t="s">
        <v>16346</v>
      </c>
      <c r="BF928" t="str">
        <f>HYPERLINK("http://dx.doi.org/10.3354/meps08203","http://dx.doi.org/10.3354/meps08203")</f>
        <v>http://dx.doi.org/10.3354/meps08203</v>
      </c>
      <c r="BG928" t="s">
        <v>74</v>
      </c>
      <c r="BH928" t="s">
        <v>74</v>
      </c>
      <c r="BI928">
        <v>18</v>
      </c>
      <c r="BJ928" t="s">
        <v>586</v>
      </c>
      <c r="BK928" t="s">
        <v>100</v>
      </c>
      <c r="BL928" t="s">
        <v>587</v>
      </c>
      <c r="BM928" t="s">
        <v>16312</v>
      </c>
      <c r="BN928" t="s">
        <v>74</v>
      </c>
      <c r="BO928" t="s">
        <v>287</v>
      </c>
      <c r="BP928" t="s">
        <v>74</v>
      </c>
      <c r="BQ928" t="s">
        <v>74</v>
      </c>
      <c r="BR928" t="s">
        <v>103</v>
      </c>
      <c r="BS928" t="s">
        <v>16347</v>
      </c>
      <c r="BT928" t="str">
        <f>HYPERLINK("https%3A%2F%2Fwww.webofscience.com%2Fwos%2Fwoscc%2Ffull-record%2FWOS:000271218100015","View Full Record in Web of Science")</f>
        <v>View Full Record in Web of Science</v>
      </c>
    </row>
    <row r="929" spans="1:72" x14ac:dyDescent="0.15">
      <c r="A929" t="s">
        <v>72</v>
      </c>
      <c r="B929" t="s">
        <v>16348</v>
      </c>
      <c r="C929" t="s">
        <v>74</v>
      </c>
      <c r="D929" t="s">
        <v>74</v>
      </c>
      <c r="E929" t="s">
        <v>74</v>
      </c>
      <c r="F929" t="s">
        <v>16349</v>
      </c>
      <c r="G929" t="s">
        <v>74</v>
      </c>
      <c r="H929" t="s">
        <v>74</v>
      </c>
      <c r="I929" t="s">
        <v>16350</v>
      </c>
      <c r="J929" t="s">
        <v>567</v>
      </c>
      <c r="K929" t="s">
        <v>74</v>
      </c>
      <c r="L929" t="s">
        <v>74</v>
      </c>
      <c r="M929" t="s">
        <v>78</v>
      </c>
      <c r="N929" t="s">
        <v>79</v>
      </c>
      <c r="O929" t="s">
        <v>74</v>
      </c>
      <c r="P929" t="s">
        <v>74</v>
      </c>
      <c r="Q929" t="s">
        <v>74</v>
      </c>
      <c r="R929" t="s">
        <v>74</v>
      </c>
      <c r="S929" t="s">
        <v>74</v>
      </c>
      <c r="T929" t="s">
        <v>16351</v>
      </c>
      <c r="U929" t="s">
        <v>16352</v>
      </c>
      <c r="V929" t="s">
        <v>16353</v>
      </c>
      <c r="W929" t="s">
        <v>16354</v>
      </c>
      <c r="X929" t="s">
        <v>16355</v>
      </c>
      <c r="Y929" t="s">
        <v>16356</v>
      </c>
      <c r="Z929" t="s">
        <v>16357</v>
      </c>
      <c r="AA929" t="s">
        <v>16358</v>
      </c>
      <c r="AB929" t="s">
        <v>16359</v>
      </c>
      <c r="AC929" t="s">
        <v>16360</v>
      </c>
      <c r="AD929" t="s">
        <v>16361</v>
      </c>
      <c r="AE929" t="s">
        <v>16362</v>
      </c>
      <c r="AF929" t="s">
        <v>74</v>
      </c>
      <c r="AG929">
        <v>52</v>
      </c>
      <c r="AH929">
        <v>75</v>
      </c>
      <c r="AI929">
        <v>81</v>
      </c>
      <c r="AJ929">
        <v>1</v>
      </c>
      <c r="AK929">
        <v>28</v>
      </c>
      <c r="AL929" t="s">
        <v>577</v>
      </c>
      <c r="AM929" t="s">
        <v>578</v>
      </c>
      <c r="AN929" t="s">
        <v>579</v>
      </c>
      <c r="AO929" t="s">
        <v>580</v>
      </c>
      <c r="AP929" t="s">
        <v>74</v>
      </c>
      <c r="AQ929" t="s">
        <v>74</v>
      </c>
      <c r="AR929" t="s">
        <v>582</v>
      </c>
      <c r="AS929" t="s">
        <v>583</v>
      </c>
      <c r="AT929" t="s">
        <v>74</v>
      </c>
      <c r="AU929">
        <v>2009</v>
      </c>
      <c r="AV929">
        <v>391</v>
      </c>
      <c r="AW929" t="s">
        <v>74</v>
      </c>
      <c r="AX929" t="s">
        <v>74</v>
      </c>
      <c r="AY929" t="s">
        <v>74</v>
      </c>
      <c r="AZ929" t="s">
        <v>74</v>
      </c>
      <c r="BA929" t="s">
        <v>74</v>
      </c>
      <c r="BB929">
        <v>209</v>
      </c>
      <c r="BC929">
        <v>220</v>
      </c>
      <c r="BD929" t="s">
        <v>74</v>
      </c>
      <c r="BE929" t="s">
        <v>16363</v>
      </c>
      <c r="BF929" t="str">
        <f>HYPERLINK("http://dx.doi.org/10.3354/meps07932","http://dx.doi.org/10.3354/meps07932")</f>
        <v>http://dx.doi.org/10.3354/meps07932</v>
      </c>
      <c r="BG929" t="s">
        <v>74</v>
      </c>
      <c r="BH929" t="s">
        <v>74</v>
      </c>
      <c r="BI929">
        <v>12</v>
      </c>
      <c r="BJ929" t="s">
        <v>586</v>
      </c>
      <c r="BK929" t="s">
        <v>100</v>
      </c>
      <c r="BL929" t="s">
        <v>587</v>
      </c>
      <c r="BM929" t="s">
        <v>16312</v>
      </c>
      <c r="BN929" t="s">
        <v>74</v>
      </c>
      <c r="BO929" t="s">
        <v>499</v>
      </c>
      <c r="BP929" t="s">
        <v>74</v>
      </c>
      <c r="BQ929" t="s">
        <v>74</v>
      </c>
      <c r="BR929" t="s">
        <v>103</v>
      </c>
      <c r="BS929" t="s">
        <v>16364</v>
      </c>
      <c r="BT929" t="str">
        <f>HYPERLINK("https%3A%2F%2Fwww.webofscience.com%2Fwos%2Fwoscc%2Ffull-record%2FWOS:000271218100018","View Full Record in Web of Science")</f>
        <v>View Full Record in Web of Science</v>
      </c>
    </row>
    <row r="930" spans="1:72" x14ac:dyDescent="0.15">
      <c r="A930" t="s">
        <v>72</v>
      </c>
      <c r="B930" t="s">
        <v>16365</v>
      </c>
      <c r="C930" t="s">
        <v>74</v>
      </c>
      <c r="D930" t="s">
        <v>74</v>
      </c>
      <c r="E930" t="s">
        <v>74</v>
      </c>
      <c r="F930" t="s">
        <v>16366</v>
      </c>
      <c r="G930" t="s">
        <v>74</v>
      </c>
      <c r="H930" t="s">
        <v>74</v>
      </c>
      <c r="I930" t="s">
        <v>16367</v>
      </c>
      <c r="J930" t="s">
        <v>567</v>
      </c>
      <c r="K930" t="s">
        <v>74</v>
      </c>
      <c r="L930" t="s">
        <v>74</v>
      </c>
      <c r="M930" t="s">
        <v>78</v>
      </c>
      <c r="N930" t="s">
        <v>79</v>
      </c>
      <c r="O930" t="s">
        <v>74</v>
      </c>
      <c r="P930" t="s">
        <v>74</v>
      </c>
      <c r="Q930" t="s">
        <v>74</v>
      </c>
      <c r="R930" t="s">
        <v>74</v>
      </c>
      <c r="S930" t="s">
        <v>74</v>
      </c>
      <c r="T930" t="s">
        <v>16368</v>
      </c>
      <c r="U930" t="s">
        <v>16369</v>
      </c>
      <c r="V930" t="s">
        <v>16370</v>
      </c>
      <c r="W930" t="s">
        <v>16371</v>
      </c>
      <c r="X930" t="s">
        <v>16372</v>
      </c>
      <c r="Y930" t="s">
        <v>16373</v>
      </c>
      <c r="Z930" t="s">
        <v>16374</v>
      </c>
      <c r="AA930" t="s">
        <v>16375</v>
      </c>
      <c r="AB930" t="s">
        <v>16376</v>
      </c>
      <c r="AC930" t="s">
        <v>16377</v>
      </c>
      <c r="AD930" t="s">
        <v>16378</v>
      </c>
      <c r="AE930" t="s">
        <v>16379</v>
      </c>
      <c r="AF930" t="s">
        <v>74</v>
      </c>
      <c r="AG930">
        <v>37</v>
      </c>
      <c r="AH930">
        <v>81</v>
      </c>
      <c r="AI930">
        <v>89</v>
      </c>
      <c r="AJ930">
        <v>0</v>
      </c>
      <c r="AK930">
        <v>43</v>
      </c>
      <c r="AL930" t="s">
        <v>577</v>
      </c>
      <c r="AM930" t="s">
        <v>578</v>
      </c>
      <c r="AN930" t="s">
        <v>579</v>
      </c>
      <c r="AO930" t="s">
        <v>580</v>
      </c>
      <c r="AP930" t="s">
        <v>581</v>
      </c>
      <c r="AQ930" t="s">
        <v>74</v>
      </c>
      <c r="AR930" t="s">
        <v>582</v>
      </c>
      <c r="AS930" t="s">
        <v>583</v>
      </c>
      <c r="AT930" t="s">
        <v>74</v>
      </c>
      <c r="AU930">
        <v>2009</v>
      </c>
      <c r="AV930">
        <v>391</v>
      </c>
      <c r="AW930" t="s">
        <v>74</v>
      </c>
      <c r="AX930" t="s">
        <v>74</v>
      </c>
      <c r="AY930" t="s">
        <v>74</v>
      </c>
      <c r="AZ930" t="s">
        <v>74</v>
      </c>
      <c r="BA930" t="s">
        <v>74</v>
      </c>
      <c r="BB930">
        <v>221</v>
      </c>
      <c r="BC930">
        <v>230</v>
      </c>
      <c r="BD930" t="s">
        <v>74</v>
      </c>
      <c r="BE930" t="s">
        <v>16380</v>
      </c>
      <c r="BF930" t="str">
        <f>HYPERLINK("http://dx.doi.org/10.3354/meps08128","http://dx.doi.org/10.3354/meps08128")</f>
        <v>http://dx.doi.org/10.3354/meps08128</v>
      </c>
      <c r="BG930" t="s">
        <v>74</v>
      </c>
      <c r="BH930" t="s">
        <v>74</v>
      </c>
      <c r="BI930">
        <v>10</v>
      </c>
      <c r="BJ930" t="s">
        <v>586</v>
      </c>
      <c r="BK930" t="s">
        <v>100</v>
      </c>
      <c r="BL930" t="s">
        <v>587</v>
      </c>
      <c r="BM930" t="s">
        <v>16312</v>
      </c>
      <c r="BN930" t="s">
        <v>74</v>
      </c>
      <c r="BO930" t="s">
        <v>16381</v>
      </c>
      <c r="BP930" t="s">
        <v>74</v>
      </c>
      <c r="BQ930" t="s">
        <v>74</v>
      </c>
      <c r="BR930" t="s">
        <v>103</v>
      </c>
      <c r="BS930" t="s">
        <v>16382</v>
      </c>
      <c r="BT930" t="str">
        <f>HYPERLINK("https%3A%2F%2Fwww.webofscience.com%2Fwos%2Fwoscc%2Ffull-record%2FWOS:000271218100019","View Full Record in Web of Science")</f>
        <v>View Full Record in Web of Science</v>
      </c>
    </row>
    <row r="931" spans="1:72" x14ac:dyDescent="0.15">
      <c r="A931" t="s">
        <v>72</v>
      </c>
      <c r="B931" t="s">
        <v>16383</v>
      </c>
      <c r="C931" t="s">
        <v>74</v>
      </c>
      <c r="D931" t="s">
        <v>74</v>
      </c>
      <c r="E931" t="s">
        <v>74</v>
      </c>
      <c r="F931" t="s">
        <v>16384</v>
      </c>
      <c r="G931" t="s">
        <v>74</v>
      </c>
      <c r="H931" t="s">
        <v>74</v>
      </c>
      <c r="I931" t="s">
        <v>16385</v>
      </c>
      <c r="J931" t="s">
        <v>567</v>
      </c>
      <c r="K931" t="s">
        <v>74</v>
      </c>
      <c r="L931" t="s">
        <v>74</v>
      </c>
      <c r="M931" t="s">
        <v>78</v>
      </c>
      <c r="N931" t="s">
        <v>79</v>
      </c>
      <c r="O931" t="s">
        <v>74</v>
      </c>
      <c r="P931" t="s">
        <v>74</v>
      </c>
      <c r="Q931" t="s">
        <v>74</v>
      </c>
      <c r="R931" t="s">
        <v>74</v>
      </c>
      <c r="S931" t="s">
        <v>74</v>
      </c>
      <c r="T931" t="s">
        <v>16386</v>
      </c>
      <c r="U931" t="s">
        <v>16387</v>
      </c>
      <c r="V931" t="s">
        <v>16388</v>
      </c>
      <c r="W931" t="s">
        <v>16389</v>
      </c>
      <c r="X931" t="s">
        <v>16390</v>
      </c>
      <c r="Y931" t="s">
        <v>16391</v>
      </c>
      <c r="Z931" t="s">
        <v>16392</v>
      </c>
      <c r="AA931" t="s">
        <v>16393</v>
      </c>
      <c r="AB931" t="s">
        <v>16394</v>
      </c>
      <c r="AC931" t="s">
        <v>16395</v>
      </c>
      <c r="AD931" t="s">
        <v>16396</v>
      </c>
      <c r="AE931" t="s">
        <v>16397</v>
      </c>
      <c r="AF931" t="s">
        <v>74</v>
      </c>
      <c r="AG931">
        <v>48</v>
      </c>
      <c r="AH931">
        <v>66</v>
      </c>
      <c r="AI931">
        <v>72</v>
      </c>
      <c r="AJ931">
        <v>0</v>
      </c>
      <c r="AK931">
        <v>31</v>
      </c>
      <c r="AL931" t="s">
        <v>577</v>
      </c>
      <c r="AM931" t="s">
        <v>578</v>
      </c>
      <c r="AN931" t="s">
        <v>579</v>
      </c>
      <c r="AO931" t="s">
        <v>580</v>
      </c>
      <c r="AP931" t="s">
        <v>581</v>
      </c>
      <c r="AQ931" t="s">
        <v>74</v>
      </c>
      <c r="AR931" t="s">
        <v>582</v>
      </c>
      <c r="AS931" t="s">
        <v>583</v>
      </c>
      <c r="AT931" t="s">
        <v>74</v>
      </c>
      <c r="AU931">
        <v>2009</v>
      </c>
      <c r="AV931">
        <v>391</v>
      </c>
      <c r="AW931" t="s">
        <v>74</v>
      </c>
      <c r="AX931" t="s">
        <v>74</v>
      </c>
      <c r="AY931" t="s">
        <v>74</v>
      </c>
      <c r="AZ931" t="s">
        <v>74</v>
      </c>
      <c r="BA931" t="s">
        <v>74</v>
      </c>
      <c r="BB931">
        <v>231</v>
      </c>
      <c r="BC931">
        <v>242</v>
      </c>
      <c r="BD931" t="s">
        <v>74</v>
      </c>
      <c r="BE931" t="s">
        <v>16398</v>
      </c>
      <c r="BF931" t="str">
        <f>HYPERLINK("http://dx.doi.org/10.3354/meps07717","http://dx.doi.org/10.3354/meps07717")</f>
        <v>http://dx.doi.org/10.3354/meps07717</v>
      </c>
      <c r="BG931" t="s">
        <v>74</v>
      </c>
      <c r="BH931" t="s">
        <v>74</v>
      </c>
      <c r="BI931">
        <v>12</v>
      </c>
      <c r="BJ931" t="s">
        <v>586</v>
      </c>
      <c r="BK931" t="s">
        <v>100</v>
      </c>
      <c r="BL931" t="s">
        <v>587</v>
      </c>
      <c r="BM931" t="s">
        <v>16312</v>
      </c>
      <c r="BN931" t="s">
        <v>74</v>
      </c>
      <c r="BO931" t="s">
        <v>287</v>
      </c>
      <c r="BP931" t="s">
        <v>74</v>
      </c>
      <c r="BQ931" t="s">
        <v>74</v>
      </c>
      <c r="BR931" t="s">
        <v>103</v>
      </c>
      <c r="BS931" t="s">
        <v>16399</v>
      </c>
      <c r="BT931" t="str">
        <f>HYPERLINK("https%3A%2F%2Fwww.webofscience.com%2Fwos%2Fwoscc%2Ffull-record%2FWOS:000271218100020","View Full Record in Web of Science")</f>
        <v>View Full Record in Web of Science</v>
      </c>
    </row>
    <row r="932" spans="1:72" x14ac:dyDescent="0.15">
      <c r="A932" t="s">
        <v>72</v>
      </c>
      <c r="B932" t="s">
        <v>16400</v>
      </c>
      <c r="C932" t="s">
        <v>74</v>
      </c>
      <c r="D932" t="s">
        <v>74</v>
      </c>
      <c r="E932" t="s">
        <v>74</v>
      </c>
      <c r="F932" t="s">
        <v>16401</v>
      </c>
      <c r="G932" t="s">
        <v>74</v>
      </c>
      <c r="H932" t="s">
        <v>74</v>
      </c>
      <c r="I932" t="s">
        <v>16402</v>
      </c>
      <c r="J932" t="s">
        <v>567</v>
      </c>
      <c r="K932" t="s">
        <v>74</v>
      </c>
      <c r="L932" t="s">
        <v>74</v>
      </c>
      <c r="M932" t="s">
        <v>78</v>
      </c>
      <c r="N932" t="s">
        <v>79</v>
      </c>
      <c r="O932" t="s">
        <v>74</v>
      </c>
      <c r="P932" t="s">
        <v>74</v>
      </c>
      <c r="Q932" t="s">
        <v>74</v>
      </c>
      <c r="R932" t="s">
        <v>74</v>
      </c>
      <c r="S932" t="s">
        <v>74</v>
      </c>
      <c r="T932" t="s">
        <v>16403</v>
      </c>
      <c r="U932" t="s">
        <v>16404</v>
      </c>
      <c r="V932" t="s">
        <v>16405</v>
      </c>
      <c r="W932" t="s">
        <v>16406</v>
      </c>
      <c r="X932" t="s">
        <v>16407</v>
      </c>
      <c r="Y932" t="s">
        <v>16408</v>
      </c>
      <c r="Z932" t="s">
        <v>16409</v>
      </c>
      <c r="AA932" t="s">
        <v>74</v>
      </c>
      <c r="AB932" t="s">
        <v>74</v>
      </c>
      <c r="AC932" t="s">
        <v>16410</v>
      </c>
      <c r="AD932" t="s">
        <v>1490</v>
      </c>
      <c r="AE932" t="s">
        <v>74</v>
      </c>
      <c r="AF932" t="s">
        <v>74</v>
      </c>
      <c r="AG932">
        <v>49</v>
      </c>
      <c r="AH932">
        <v>31</v>
      </c>
      <c r="AI932">
        <v>33</v>
      </c>
      <c r="AJ932">
        <v>0</v>
      </c>
      <c r="AK932">
        <v>20</v>
      </c>
      <c r="AL932" t="s">
        <v>577</v>
      </c>
      <c r="AM932" t="s">
        <v>578</v>
      </c>
      <c r="AN932" t="s">
        <v>579</v>
      </c>
      <c r="AO932" t="s">
        <v>580</v>
      </c>
      <c r="AP932" t="s">
        <v>581</v>
      </c>
      <c r="AQ932" t="s">
        <v>74</v>
      </c>
      <c r="AR932" t="s">
        <v>582</v>
      </c>
      <c r="AS932" t="s">
        <v>583</v>
      </c>
      <c r="AT932" t="s">
        <v>74</v>
      </c>
      <c r="AU932">
        <v>2009</v>
      </c>
      <c r="AV932">
        <v>391</v>
      </c>
      <c r="AW932" t="s">
        <v>74</v>
      </c>
      <c r="AX932" t="s">
        <v>74</v>
      </c>
      <c r="AY932" t="s">
        <v>74</v>
      </c>
      <c r="AZ932" t="s">
        <v>74</v>
      </c>
      <c r="BA932" t="s">
        <v>74</v>
      </c>
      <c r="BB932">
        <v>279</v>
      </c>
      <c r="BC932">
        <v>292</v>
      </c>
      <c r="BD932" t="s">
        <v>74</v>
      </c>
      <c r="BE932" t="s">
        <v>16411</v>
      </c>
      <c r="BF932" t="str">
        <f>HYPERLINK("http://dx.doi.org/10.3354/meps08028","http://dx.doi.org/10.3354/meps08028")</f>
        <v>http://dx.doi.org/10.3354/meps08028</v>
      </c>
      <c r="BG932" t="s">
        <v>74</v>
      </c>
      <c r="BH932" t="s">
        <v>74</v>
      </c>
      <c r="BI932">
        <v>14</v>
      </c>
      <c r="BJ932" t="s">
        <v>586</v>
      </c>
      <c r="BK932" t="s">
        <v>100</v>
      </c>
      <c r="BL932" t="s">
        <v>587</v>
      </c>
      <c r="BM932" t="s">
        <v>16312</v>
      </c>
      <c r="BN932" t="s">
        <v>74</v>
      </c>
      <c r="BO932" t="s">
        <v>839</v>
      </c>
      <c r="BP932" t="s">
        <v>74</v>
      </c>
      <c r="BQ932" t="s">
        <v>74</v>
      </c>
      <c r="BR932" t="s">
        <v>103</v>
      </c>
      <c r="BS932" t="s">
        <v>16412</v>
      </c>
      <c r="BT932" t="str">
        <f>HYPERLINK("https%3A%2F%2Fwww.webofscience.com%2Fwos%2Fwoscc%2Ffull-record%2FWOS:000271218100024","View Full Record in Web of Science")</f>
        <v>View Full Record in Web of Science</v>
      </c>
    </row>
    <row r="933" spans="1:72" x14ac:dyDescent="0.15">
      <c r="A933" t="s">
        <v>72</v>
      </c>
      <c r="B933" t="s">
        <v>16413</v>
      </c>
      <c r="C933" t="s">
        <v>74</v>
      </c>
      <c r="D933" t="s">
        <v>74</v>
      </c>
      <c r="E933" t="s">
        <v>74</v>
      </c>
      <c r="F933" t="s">
        <v>16414</v>
      </c>
      <c r="G933" t="s">
        <v>74</v>
      </c>
      <c r="H933" t="s">
        <v>74</v>
      </c>
      <c r="I933" t="s">
        <v>16415</v>
      </c>
      <c r="J933" t="s">
        <v>567</v>
      </c>
      <c r="K933" t="s">
        <v>74</v>
      </c>
      <c r="L933" t="s">
        <v>74</v>
      </c>
      <c r="M933" t="s">
        <v>78</v>
      </c>
      <c r="N933" t="s">
        <v>79</v>
      </c>
      <c r="O933" t="s">
        <v>74</v>
      </c>
      <c r="P933" t="s">
        <v>74</v>
      </c>
      <c r="Q933" t="s">
        <v>74</v>
      </c>
      <c r="R933" t="s">
        <v>74</v>
      </c>
      <c r="S933" t="s">
        <v>74</v>
      </c>
      <c r="T933" t="s">
        <v>16416</v>
      </c>
      <c r="U933" t="s">
        <v>16417</v>
      </c>
      <c r="V933" t="s">
        <v>16418</v>
      </c>
      <c r="W933" t="s">
        <v>16419</v>
      </c>
      <c r="X933" t="s">
        <v>16420</v>
      </c>
      <c r="Y933" t="s">
        <v>16421</v>
      </c>
      <c r="Z933" t="s">
        <v>16422</v>
      </c>
      <c r="AA933" t="s">
        <v>16423</v>
      </c>
      <c r="AB933" t="s">
        <v>16424</v>
      </c>
      <c r="AC933" t="s">
        <v>16425</v>
      </c>
      <c r="AD933" t="s">
        <v>16426</v>
      </c>
      <c r="AE933" t="s">
        <v>16427</v>
      </c>
      <c r="AF933" t="s">
        <v>74</v>
      </c>
      <c r="AG933">
        <v>67</v>
      </c>
      <c r="AH933">
        <v>127</v>
      </c>
      <c r="AI933">
        <v>151</v>
      </c>
      <c r="AJ933">
        <v>5</v>
      </c>
      <c r="AK933">
        <v>83</v>
      </c>
      <c r="AL933" t="s">
        <v>577</v>
      </c>
      <c r="AM933" t="s">
        <v>578</v>
      </c>
      <c r="AN933" t="s">
        <v>579</v>
      </c>
      <c r="AO933" t="s">
        <v>580</v>
      </c>
      <c r="AP933" t="s">
        <v>581</v>
      </c>
      <c r="AQ933" t="s">
        <v>74</v>
      </c>
      <c r="AR933" t="s">
        <v>582</v>
      </c>
      <c r="AS933" t="s">
        <v>583</v>
      </c>
      <c r="AT933" t="s">
        <v>74</v>
      </c>
      <c r="AU933">
        <v>2009</v>
      </c>
      <c r="AV933">
        <v>391</v>
      </c>
      <c r="AW933" t="s">
        <v>74</v>
      </c>
      <c r="AX933" t="s">
        <v>74</v>
      </c>
      <c r="AY933" t="s">
        <v>74</v>
      </c>
      <c r="AZ933" t="s">
        <v>74</v>
      </c>
      <c r="BA933" t="s">
        <v>74</v>
      </c>
      <c r="BB933">
        <v>293</v>
      </c>
      <c r="BC933">
        <v>306</v>
      </c>
      <c r="BD933" t="s">
        <v>74</v>
      </c>
      <c r="BE933" t="s">
        <v>16428</v>
      </c>
      <c r="BF933" t="str">
        <f>HYPERLINK("http://dx.doi.org/10.3354/meps08215","http://dx.doi.org/10.3354/meps08215")</f>
        <v>http://dx.doi.org/10.3354/meps08215</v>
      </c>
      <c r="BG933" t="s">
        <v>74</v>
      </c>
      <c r="BH933" t="s">
        <v>74</v>
      </c>
      <c r="BI933">
        <v>14</v>
      </c>
      <c r="BJ933" t="s">
        <v>586</v>
      </c>
      <c r="BK933" t="s">
        <v>100</v>
      </c>
      <c r="BL933" t="s">
        <v>587</v>
      </c>
      <c r="BM933" t="s">
        <v>16312</v>
      </c>
      <c r="BN933" t="s">
        <v>74</v>
      </c>
      <c r="BO933" t="s">
        <v>9578</v>
      </c>
      <c r="BP933" t="s">
        <v>74</v>
      </c>
      <c r="BQ933" t="s">
        <v>74</v>
      </c>
      <c r="BR933" t="s">
        <v>103</v>
      </c>
      <c r="BS933" t="s">
        <v>16429</v>
      </c>
      <c r="BT933" t="str">
        <f>HYPERLINK("https%3A%2F%2Fwww.webofscience.com%2Fwos%2Fwoscc%2Ffull-record%2FWOS:000271218100025","View Full Record in Web of Science")</f>
        <v>View Full Record in Web of Science</v>
      </c>
    </row>
    <row r="934" spans="1:72" x14ac:dyDescent="0.15">
      <c r="A934" t="s">
        <v>72</v>
      </c>
      <c r="B934" t="s">
        <v>16430</v>
      </c>
      <c r="C934" t="s">
        <v>74</v>
      </c>
      <c r="D934" t="s">
        <v>74</v>
      </c>
      <c r="E934" t="s">
        <v>74</v>
      </c>
      <c r="F934" t="s">
        <v>16431</v>
      </c>
      <c r="G934" t="s">
        <v>74</v>
      </c>
      <c r="H934" t="s">
        <v>74</v>
      </c>
      <c r="I934" t="s">
        <v>16432</v>
      </c>
      <c r="J934" t="s">
        <v>567</v>
      </c>
      <c r="K934" t="s">
        <v>74</v>
      </c>
      <c r="L934" t="s">
        <v>74</v>
      </c>
      <c r="M934" t="s">
        <v>78</v>
      </c>
      <c r="N934" t="s">
        <v>79</v>
      </c>
      <c r="O934" t="s">
        <v>74</v>
      </c>
      <c r="P934" t="s">
        <v>74</v>
      </c>
      <c r="Q934" t="s">
        <v>74</v>
      </c>
      <c r="R934" t="s">
        <v>74</v>
      </c>
      <c r="S934" t="s">
        <v>74</v>
      </c>
      <c r="T934" t="s">
        <v>16433</v>
      </c>
      <c r="U934" t="s">
        <v>16434</v>
      </c>
      <c r="V934" t="s">
        <v>16435</v>
      </c>
      <c r="W934" t="s">
        <v>16436</v>
      </c>
      <c r="X934" t="s">
        <v>16437</v>
      </c>
      <c r="Y934" t="s">
        <v>16438</v>
      </c>
      <c r="Z934" t="s">
        <v>16439</v>
      </c>
      <c r="AA934" t="s">
        <v>16440</v>
      </c>
      <c r="AB934" t="s">
        <v>16441</v>
      </c>
      <c r="AC934" t="s">
        <v>16442</v>
      </c>
      <c r="AD934" t="s">
        <v>16442</v>
      </c>
      <c r="AE934" t="s">
        <v>16443</v>
      </c>
      <c r="AF934" t="s">
        <v>74</v>
      </c>
      <c r="AG934">
        <v>76</v>
      </c>
      <c r="AH934">
        <v>31</v>
      </c>
      <c r="AI934">
        <v>31</v>
      </c>
      <c r="AJ934">
        <v>0</v>
      </c>
      <c r="AK934">
        <v>7</v>
      </c>
      <c r="AL934" t="s">
        <v>577</v>
      </c>
      <c r="AM934" t="s">
        <v>578</v>
      </c>
      <c r="AN934" t="s">
        <v>579</v>
      </c>
      <c r="AO934" t="s">
        <v>580</v>
      </c>
      <c r="AP934" t="s">
        <v>74</v>
      </c>
      <c r="AQ934" t="s">
        <v>74</v>
      </c>
      <c r="AR934" t="s">
        <v>582</v>
      </c>
      <c r="AS934" t="s">
        <v>583</v>
      </c>
      <c r="AT934" t="s">
        <v>74</v>
      </c>
      <c r="AU934">
        <v>2009</v>
      </c>
      <c r="AV934">
        <v>389</v>
      </c>
      <c r="AW934" t="s">
        <v>74</v>
      </c>
      <c r="AX934" t="s">
        <v>74</v>
      </c>
      <c r="AY934" t="s">
        <v>74</v>
      </c>
      <c r="AZ934" t="s">
        <v>74</v>
      </c>
      <c r="BA934" t="s">
        <v>74</v>
      </c>
      <c r="BB934">
        <v>97</v>
      </c>
      <c r="BC934">
        <v>116</v>
      </c>
      <c r="BD934" t="s">
        <v>74</v>
      </c>
      <c r="BE934" t="s">
        <v>16444</v>
      </c>
      <c r="BF934" t="str">
        <f>HYPERLINK("http://dx.doi.org/10.3354/meps08126","http://dx.doi.org/10.3354/meps08126")</f>
        <v>http://dx.doi.org/10.3354/meps08126</v>
      </c>
      <c r="BG934" t="s">
        <v>74</v>
      </c>
      <c r="BH934" t="s">
        <v>74</v>
      </c>
      <c r="BI934">
        <v>20</v>
      </c>
      <c r="BJ934" t="s">
        <v>586</v>
      </c>
      <c r="BK934" t="s">
        <v>100</v>
      </c>
      <c r="BL934" t="s">
        <v>587</v>
      </c>
      <c r="BM934" t="s">
        <v>16445</v>
      </c>
      <c r="BN934" t="s">
        <v>74</v>
      </c>
      <c r="BO934" t="s">
        <v>499</v>
      </c>
      <c r="BP934" t="s">
        <v>74</v>
      </c>
      <c r="BQ934" t="s">
        <v>74</v>
      </c>
      <c r="BR934" t="s">
        <v>103</v>
      </c>
      <c r="BS934" t="s">
        <v>16446</v>
      </c>
      <c r="BT934" t="str">
        <f>HYPERLINK("https%3A%2F%2Fwww.webofscience.com%2Fwos%2Fwoscc%2Ffull-record%2FWOS:000270673100008","View Full Record in Web of Science")</f>
        <v>View Full Record in Web of Science</v>
      </c>
    </row>
    <row r="935" spans="1:72" x14ac:dyDescent="0.15">
      <c r="A935" t="s">
        <v>72</v>
      </c>
      <c r="B935" t="s">
        <v>16447</v>
      </c>
      <c r="C935" t="s">
        <v>74</v>
      </c>
      <c r="D935" t="s">
        <v>74</v>
      </c>
      <c r="E935" t="s">
        <v>74</v>
      </c>
      <c r="F935" t="s">
        <v>16448</v>
      </c>
      <c r="G935" t="s">
        <v>74</v>
      </c>
      <c r="H935" t="s">
        <v>74</v>
      </c>
      <c r="I935" t="s">
        <v>16449</v>
      </c>
      <c r="J935" t="s">
        <v>567</v>
      </c>
      <c r="K935" t="s">
        <v>74</v>
      </c>
      <c r="L935" t="s">
        <v>74</v>
      </c>
      <c r="M935" t="s">
        <v>78</v>
      </c>
      <c r="N935" t="s">
        <v>79</v>
      </c>
      <c r="O935" t="s">
        <v>74</v>
      </c>
      <c r="P935" t="s">
        <v>74</v>
      </c>
      <c r="Q935" t="s">
        <v>74</v>
      </c>
      <c r="R935" t="s">
        <v>74</v>
      </c>
      <c r="S935" t="s">
        <v>74</v>
      </c>
      <c r="T935" t="s">
        <v>16450</v>
      </c>
      <c r="U935" t="s">
        <v>16451</v>
      </c>
      <c r="V935" t="s">
        <v>16452</v>
      </c>
      <c r="W935" t="s">
        <v>16453</v>
      </c>
      <c r="X935" t="s">
        <v>16454</v>
      </c>
      <c r="Y935" t="s">
        <v>16455</v>
      </c>
      <c r="Z935" t="s">
        <v>16456</v>
      </c>
      <c r="AA935" t="s">
        <v>16457</v>
      </c>
      <c r="AB935" t="s">
        <v>16458</v>
      </c>
      <c r="AC935" t="s">
        <v>16459</v>
      </c>
      <c r="AD935" t="s">
        <v>16460</v>
      </c>
      <c r="AE935" t="s">
        <v>16461</v>
      </c>
      <c r="AF935" t="s">
        <v>74</v>
      </c>
      <c r="AG935">
        <v>48</v>
      </c>
      <c r="AH935">
        <v>24</v>
      </c>
      <c r="AI935">
        <v>26</v>
      </c>
      <c r="AJ935">
        <v>0</v>
      </c>
      <c r="AK935">
        <v>9</v>
      </c>
      <c r="AL935" t="s">
        <v>577</v>
      </c>
      <c r="AM935" t="s">
        <v>578</v>
      </c>
      <c r="AN935" t="s">
        <v>579</v>
      </c>
      <c r="AO935" t="s">
        <v>580</v>
      </c>
      <c r="AP935" t="s">
        <v>581</v>
      </c>
      <c r="AQ935" t="s">
        <v>74</v>
      </c>
      <c r="AR935" t="s">
        <v>582</v>
      </c>
      <c r="AS935" t="s">
        <v>583</v>
      </c>
      <c r="AT935" t="s">
        <v>74</v>
      </c>
      <c r="AU935">
        <v>2009</v>
      </c>
      <c r="AV935">
        <v>388</v>
      </c>
      <c r="AW935" t="s">
        <v>74</v>
      </c>
      <c r="AX935" t="s">
        <v>74</v>
      </c>
      <c r="AY935" t="s">
        <v>74</v>
      </c>
      <c r="AZ935" t="s">
        <v>74</v>
      </c>
      <c r="BA935" t="s">
        <v>74</v>
      </c>
      <c r="BB935">
        <v>111</v>
      </c>
      <c r="BC935">
        <v>119</v>
      </c>
      <c r="BD935" t="s">
        <v>74</v>
      </c>
      <c r="BE935" t="s">
        <v>16462</v>
      </c>
      <c r="BF935" t="str">
        <f>HYPERLINK("http://dx.doi.org/10.3354/meps08046","http://dx.doi.org/10.3354/meps08046")</f>
        <v>http://dx.doi.org/10.3354/meps08046</v>
      </c>
      <c r="BG935" t="s">
        <v>74</v>
      </c>
      <c r="BH935" t="s">
        <v>74</v>
      </c>
      <c r="BI935">
        <v>9</v>
      </c>
      <c r="BJ935" t="s">
        <v>586</v>
      </c>
      <c r="BK935" t="s">
        <v>100</v>
      </c>
      <c r="BL935" t="s">
        <v>587</v>
      </c>
      <c r="BM935" t="s">
        <v>16463</v>
      </c>
      <c r="BN935" t="s">
        <v>74</v>
      </c>
      <c r="BO935" t="s">
        <v>499</v>
      </c>
      <c r="BP935" t="s">
        <v>74</v>
      </c>
      <c r="BQ935" t="s">
        <v>74</v>
      </c>
      <c r="BR935" t="s">
        <v>103</v>
      </c>
      <c r="BS935" t="s">
        <v>16464</v>
      </c>
      <c r="BT935" t="str">
        <f>HYPERLINK("https%3A%2F%2Fwww.webofscience.com%2Fwos%2Fwoscc%2Ffull-record%2FWOS:000269892700010","View Full Record in Web of Science")</f>
        <v>View Full Record in Web of Science</v>
      </c>
    </row>
    <row r="936" spans="1:72" x14ac:dyDescent="0.15">
      <c r="A936" t="s">
        <v>72</v>
      </c>
      <c r="B936" t="s">
        <v>16465</v>
      </c>
      <c r="C936" t="s">
        <v>74</v>
      </c>
      <c r="D936" t="s">
        <v>74</v>
      </c>
      <c r="E936" t="s">
        <v>74</v>
      </c>
      <c r="F936" t="s">
        <v>16466</v>
      </c>
      <c r="G936" t="s">
        <v>74</v>
      </c>
      <c r="H936" t="s">
        <v>74</v>
      </c>
      <c r="I936" t="s">
        <v>16467</v>
      </c>
      <c r="J936" t="s">
        <v>567</v>
      </c>
      <c r="K936" t="s">
        <v>74</v>
      </c>
      <c r="L936" t="s">
        <v>74</v>
      </c>
      <c r="M936" t="s">
        <v>78</v>
      </c>
      <c r="N936" t="s">
        <v>79</v>
      </c>
      <c r="O936" t="s">
        <v>74</v>
      </c>
      <c r="P936" t="s">
        <v>74</v>
      </c>
      <c r="Q936" t="s">
        <v>74</v>
      </c>
      <c r="R936" t="s">
        <v>74</v>
      </c>
      <c r="S936" t="s">
        <v>74</v>
      </c>
      <c r="T936" t="s">
        <v>16468</v>
      </c>
      <c r="U936" t="s">
        <v>16469</v>
      </c>
      <c r="V936" t="s">
        <v>16470</v>
      </c>
      <c r="W936" t="s">
        <v>16471</v>
      </c>
      <c r="X936" t="s">
        <v>8354</v>
      </c>
      <c r="Y936" t="s">
        <v>16472</v>
      </c>
      <c r="Z936" t="s">
        <v>16473</v>
      </c>
      <c r="AA936" t="s">
        <v>74</v>
      </c>
      <c r="AB936" t="s">
        <v>16474</v>
      </c>
      <c r="AC936" t="s">
        <v>16475</v>
      </c>
      <c r="AD936" t="s">
        <v>16476</v>
      </c>
      <c r="AE936" t="s">
        <v>16477</v>
      </c>
      <c r="AF936" t="s">
        <v>74</v>
      </c>
      <c r="AG936">
        <v>22</v>
      </c>
      <c r="AH936">
        <v>34</v>
      </c>
      <c r="AI936">
        <v>34</v>
      </c>
      <c r="AJ936">
        <v>0</v>
      </c>
      <c r="AK936">
        <v>5</v>
      </c>
      <c r="AL936" t="s">
        <v>577</v>
      </c>
      <c r="AM936" t="s">
        <v>578</v>
      </c>
      <c r="AN936" t="s">
        <v>579</v>
      </c>
      <c r="AO936" t="s">
        <v>580</v>
      </c>
      <c r="AP936" t="s">
        <v>581</v>
      </c>
      <c r="AQ936" t="s">
        <v>74</v>
      </c>
      <c r="AR936" t="s">
        <v>582</v>
      </c>
      <c r="AS936" t="s">
        <v>583</v>
      </c>
      <c r="AT936" t="s">
        <v>74</v>
      </c>
      <c r="AU936">
        <v>2009</v>
      </c>
      <c r="AV936">
        <v>388</v>
      </c>
      <c r="AW936" t="s">
        <v>74</v>
      </c>
      <c r="AX936" t="s">
        <v>74</v>
      </c>
      <c r="AY936" t="s">
        <v>74</v>
      </c>
      <c r="AZ936" t="s">
        <v>74</v>
      </c>
      <c r="BA936" t="s">
        <v>74</v>
      </c>
      <c r="BB936">
        <v>121</v>
      </c>
      <c r="BC936">
        <v>135</v>
      </c>
      <c r="BD936" t="s">
        <v>74</v>
      </c>
      <c r="BE936" t="s">
        <v>16478</v>
      </c>
      <c r="BF936" t="str">
        <f>HYPERLINK("http://dx.doi.org/10.3354/meps08167","http://dx.doi.org/10.3354/meps08167")</f>
        <v>http://dx.doi.org/10.3354/meps08167</v>
      </c>
      <c r="BG936" t="s">
        <v>74</v>
      </c>
      <c r="BH936" t="s">
        <v>74</v>
      </c>
      <c r="BI936">
        <v>15</v>
      </c>
      <c r="BJ936" t="s">
        <v>586</v>
      </c>
      <c r="BK936" t="s">
        <v>100</v>
      </c>
      <c r="BL936" t="s">
        <v>587</v>
      </c>
      <c r="BM936" t="s">
        <v>16463</v>
      </c>
      <c r="BN936" t="s">
        <v>74</v>
      </c>
      <c r="BO936" t="s">
        <v>499</v>
      </c>
      <c r="BP936" t="s">
        <v>74</v>
      </c>
      <c r="BQ936" t="s">
        <v>74</v>
      </c>
      <c r="BR936" t="s">
        <v>103</v>
      </c>
      <c r="BS936" t="s">
        <v>16479</v>
      </c>
      <c r="BT936" t="str">
        <f>HYPERLINK("https%3A%2F%2Fwww.webofscience.com%2Fwos%2Fwoscc%2Ffull-record%2FWOS:000269892700011","View Full Record in Web of Science")</f>
        <v>View Full Record in Web of Science</v>
      </c>
    </row>
    <row r="937" spans="1:72" x14ac:dyDescent="0.15">
      <c r="A937" t="s">
        <v>72</v>
      </c>
      <c r="B937" t="s">
        <v>16480</v>
      </c>
      <c r="C937" t="s">
        <v>74</v>
      </c>
      <c r="D937" t="s">
        <v>74</v>
      </c>
      <c r="E937" t="s">
        <v>74</v>
      </c>
      <c r="F937" t="s">
        <v>16481</v>
      </c>
      <c r="G937" t="s">
        <v>74</v>
      </c>
      <c r="H937" t="s">
        <v>74</v>
      </c>
      <c r="I937" t="s">
        <v>16482</v>
      </c>
      <c r="J937" t="s">
        <v>567</v>
      </c>
      <c r="K937" t="s">
        <v>74</v>
      </c>
      <c r="L937" t="s">
        <v>74</v>
      </c>
      <c r="M937" t="s">
        <v>78</v>
      </c>
      <c r="N937" t="s">
        <v>79</v>
      </c>
      <c r="O937" t="s">
        <v>74</v>
      </c>
      <c r="P937" t="s">
        <v>74</v>
      </c>
      <c r="Q937" t="s">
        <v>74</v>
      </c>
      <c r="R937" t="s">
        <v>74</v>
      </c>
      <c r="S937" t="s">
        <v>74</v>
      </c>
      <c r="T937" t="s">
        <v>16483</v>
      </c>
      <c r="U937" t="s">
        <v>16484</v>
      </c>
      <c r="V937" t="s">
        <v>16485</v>
      </c>
      <c r="W937" t="s">
        <v>16486</v>
      </c>
      <c r="X937" t="s">
        <v>16487</v>
      </c>
      <c r="Y937" t="s">
        <v>16488</v>
      </c>
      <c r="Z937" t="s">
        <v>16489</v>
      </c>
      <c r="AA937" t="s">
        <v>16490</v>
      </c>
      <c r="AB937" t="s">
        <v>16491</v>
      </c>
      <c r="AC937" t="s">
        <v>74</v>
      </c>
      <c r="AD937" t="s">
        <v>74</v>
      </c>
      <c r="AE937" t="s">
        <v>74</v>
      </c>
      <c r="AF937" t="s">
        <v>74</v>
      </c>
      <c r="AG937">
        <v>73</v>
      </c>
      <c r="AH937">
        <v>32</v>
      </c>
      <c r="AI937">
        <v>34</v>
      </c>
      <c r="AJ937">
        <v>3</v>
      </c>
      <c r="AK937">
        <v>26</v>
      </c>
      <c r="AL937" t="s">
        <v>577</v>
      </c>
      <c r="AM937" t="s">
        <v>578</v>
      </c>
      <c r="AN937" t="s">
        <v>579</v>
      </c>
      <c r="AO937" t="s">
        <v>580</v>
      </c>
      <c r="AP937" t="s">
        <v>74</v>
      </c>
      <c r="AQ937" t="s">
        <v>74</v>
      </c>
      <c r="AR937" t="s">
        <v>582</v>
      </c>
      <c r="AS937" t="s">
        <v>583</v>
      </c>
      <c r="AT937" t="s">
        <v>74</v>
      </c>
      <c r="AU937">
        <v>2009</v>
      </c>
      <c r="AV937">
        <v>388</v>
      </c>
      <c r="AW937" t="s">
        <v>74</v>
      </c>
      <c r="AX937" t="s">
        <v>74</v>
      </c>
      <c r="AY937" t="s">
        <v>74</v>
      </c>
      <c r="AZ937" t="s">
        <v>74</v>
      </c>
      <c r="BA937" t="s">
        <v>74</v>
      </c>
      <c r="BB937">
        <v>169</v>
      </c>
      <c r="BC937">
        <v>184</v>
      </c>
      <c r="BD937" t="s">
        <v>74</v>
      </c>
      <c r="BE937" t="s">
        <v>16492</v>
      </c>
      <c r="BF937" t="str">
        <f>HYPERLINK("http://dx.doi.org/10.3354/meps08096","http://dx.doi.org/10.3354/meps08096")</f>
        <v>http://dx.doi.org/10.3354/meps08096</v>
      </c>
      <c r="BG937" t="s">
        <v>74</v>
      </c>
      <c r="BH937" t="s">
        <v>74</v>
      </c>
      <c r="BI937">
        <v>16</v>
      </c>
      <c r="BJ937" t="s">
        <v>586</v>
      </c>
      <c r="BK937" t="s">
        <v>100</v>
      </c>
      <c r="BL937" t="s">
        <v>587</v>
      </c>
      <c r="BM937" t="s">
        <v>16463</v>
      </c>
      <c r="BN937" t="s">
        <v>74</v>
      </c>
      <c r="BO937" t="s">
        <v>1036</v>
      </c>
      <c r="BP937" t="s">
        <v>74</v>
      </c>
      <c r="BQ937" t="s">
        <v>74</v>
      </c>
      <c r="BR937" t="s">
        <v>103</v>
      </c>
      <c r="BS937" t="s">
        <v>16493</v>
      </c>
      <c r="BT937" t="str">
        <f>HYPERLINK("https%3A%2F%2Fwww.webofscience.com%2Fwos%2Fwoscc%2Ffull-record%2FWOS:000269892700015","View Full Record in Web of Science")</f>
        <v>View Full Record in Web of Science</v>
      </c>
    </row>
    <row r="938" spans="1:72" x14ac:dyDescent="0.15">
      <c r="A938" t="s">
        <v>72</v>
      </c>
      <c r="B938" t="s">
        <v>16494</v>
      </c>
      <c r="C938" t="s">
        <v>74</v>
      </c>
      <c r="D938" t="s">
        <v>74</v>
      </c>
      <c r="E938" t="s">
        <v>74</v>
      </c>
      <c r="F938" t="s">
        <v>16495</v>
      </c>
      <c r="G938" t="s">
        <v>74</v>
      </c>
      <c r="H938" t="s">
        <v>74</v>
      </c>
      <c r="I938" t="s">
        <v>16496</v>
      </c>
      <c r="J938" t="s">
        <v>567</v>
      </c>
      <c r="K938" t="s">
        <v>74</v>
      </c>
      <c r="L938" t="s">
        <v>74</v>
      </c>
      <c r="M938" t="s">
        <v>78</v>
      </c>
      <c r="N938" t="s">
        <v>79</v>
      </c>
      <c r="O938" t="s">
        <v>74</v>
      </c>
      <c r="P938" t="s">
        <v>74</v>
      </c>
      <c r="Q938" t="s">
        <v>74</v>
      </c>
      <c r="R938" t="s">
        <v>74</v>
      </c>
      <c r="S938" t="s">
        <v>74</v>
      </c>
      <c r="T938" t="s">
        <v>16497</v>
      </c>
      <c r="U938" t="s">
        <v>16498</v>
      </c>
      <c r="V938" t="s">
        <v>16499</v>
      </c>
      <c r="W938" t="s">
        <v>16500</v>
      </c>
      <c r="X938" t="s">
        <v>16501</v>
      </c>
      <c r="Y938" t="s">
        <v>16502</v>
      </c>
      <c r="Z938" t="s">
        <v>16503</v>
      </c>
      <c r="AA938" t="s">
        <v>16504</v>
      </c>
      <c r="AB938" t="s">
        <v>16505</v>
      </c>
      <c r="AC938" t="s">
        <v>16506</v>
      </c>
      <c r="AD938" t="s">
        <v>1593</v>
      </c>
      <c r="AE938" t="s">
        <v>74</v>
      </c>
      <c r="AF938" t="s">
        <v>74</v>
      </c>
      <c r="AG938">
        <v>45</v>
      </c>
      <c r="AH938">
        <v>43</v>
      </c>
      <c r="AI938">
        <v>45</v>
      </c>
      <c r="AJ938">
        <v>1</v>
      </c>
      <c r="AK938">
        <v>14</v>
      </c>
      <c r="AL938" t="s">
        <v>577</v>
      </c>
      <c r="AM938" t="s">
        <v>578</v>
      </c>
      <c r="AN938" t="s">
        <v>579</v>
      </c>
      <c r="AO938" t="s">
        <v>580</v>
      </c>
      <c r="AP938" t="s">
        <v>581</v>
      </c>
      <c r="AQ938" t="s">
        <v>74</v>
      </c>
      <c r="AR938" t="s">
        <v>582</v>
      </c>
      <c r="AS938" t="s">
        <v>583</v>
      </c>
      <c r="AT938" t="s">
        <v>74</v>
      </c>
      <c r="AU938">
        <v>2009</v>
      </c>
      <c r="AV938">
        <v>388</v>
      </c>
      <c r="AW938" t="s">
        <v>74</v>
      </c>
      <c r="AX938" t="s">
        <v>74</v>
      </c>
      <c r="AY938" t="s">
        <v>74</v>
      </c>
      <c r="AZ938" t="s">
        <v>74</v>
      </c>
      <c r="BA938" t="s">
        <v>74</v>
      </c>
      <c r="BB938">
        <v>263</v>
      </c>
      <c r="BC938">
        <v>272</v>
      </c>
      <c r="BD938" t="s">
        <v>74</v>
      </c>
      <c r="BE938" t="s">
        <v>16507</v>
      </c>
      <c r="BF938" t="str">
        <f>HYPERLINK("http://dx.doi.org/10.3354/meps08158","http://dx.doi.org/10.3354/meps08158")</f>
        <v>http://dx.doi.org/10.3354/meps08158</v>
      </c>
      <c r="BG938" t="s">
        <v>74</v>
      </c>
      <c r="BH938" t="s">
        <v>74</v>
      </c>
      <c r="BI938">
        <v>10</v>
      </c>
      <c r="BJ938" t="s">
        <v>586</v>
      </c>
      <c r="BK938" t="s">
        <v>100</v>
      </c>
      <c r="BL938" t="s">
        <v>587</v>
      </c>
      <c r="BM938" t="s">
        <v>16463</v>
      </c>
      <c r="BN938" t="s">
        <v>74</v>
      </c>
      <c r="BO938" t="s">
        <v>839</v>
      </c>
      <c r="BP938" t="s">
        <v>74</v>
      </c>
      <c r="BQ938" t="s">
        <v>74</v>
      </c>
      <c r="BR938" t="s">
        <v>103</v>
      </c>
      <c r="BS938" t="s">
        <v>16508</v>
      </c>
      <c r="BT938" t="str">
        <f>HYPERLINK("https%3A%2F%2Fwww.webofscience.com%2Fwos%2Fwoscc%2Ffull-record%2FWOS:000269892700022","View Full Record in Web of Science")</f>
        <v>View Full Record in Web of Science</v>
      </c>
    </row>
    <row r="939" spans="1:72" x14ac:dyDescent="0.15">
      <c r="A939" t="s">
        <v>72</v>
      </c>
      <c r="B939" t="s">
        <v>16509</v>
      </c>
      <c r="C939" t="s">
        <v>74</v>
      </c>
      <c r="D939" t="s">
        <v>74</v>
      </c>
      <c r="E939" t="s">
        <v>74</v>
      </c>
      <c r="F939" t="s">
        <v>16510</v>
      </c>
      <c r="G939" t="s">
        <v>74</v>
      </c>
      <c r="H939" t="s">
        <v>74</v>
      </c>
      <c r="I939" t="s">
        <v>16511</v>
      </c>
      <c r="J939" t="s">
        <v>567</v>
      </c>
      <c r="K939" t="s">
        <v>74</v>
      </c>
      <c r="L939" t="s">
        <v>74</v>
      </c>
      <c r="M939" t="s">
        <v>78</v>
      </c>
      <c r="N939" t="s">
        <v>79</v>
      </c>
      <c r="O939" t="s">
        <v>74</v>
      </c>
      <c r="P939" t="s">
        <v>74</v>
      </c>
      <c r="Q939" t="s">
        <v>74</v>
      </c>
      <c r="R939" t="s">
        <v>74</v>
      </c>
      <c r="S939" t="s">
        <v>74</v>
      </c>
      <c r="T939" t="s">
        <v>16512</v>
      </c>
      <c r="U939" t="s">
        <v>16513</v>
      </c>
      <c r="V939" t="s">
        <v>16514</v>
      </c>
      <c r="W939" t="s">
        <v>16515</v>
      </c>
      <c r="X939" t="s">
        <v>16516</v>
      </c>
      <c r="Y939" t="s">
        <v>16517</v>
      </c>
      <c r="Z939" t="s">
        <v>16518</v>
      </c>
      <c r="AA939" t="s">
        <v>16519</v>
      </c>
      <c r="AB939" t="s">
        <v>16520</v>
      </c>
      <c r="AC939" t="s">
        <v>16521</v>
      </c>
      <c r="AD939" t="s">
        <v>16521</v>
      </c>
      <c r="AE939" t="s">
        <v>16522</v>
      </c>
      <c r="AF939" t="s">
        <v>74</v>
      </c>
      <c r="AG939">
        <v>71</v>
      </c>
      <c r="AH939">
        <v>40</v>
      </c>
      <c r="AI939">
        <v>40</v>
      </c>
      <c r="AJ939">
        <v>1</v>
      </c>
      <c r="AK939">
        <v>30</v>
      </c>
      <c r="AL939" t="s">
        <v>577</v>
      </c>
      <c r="AM939" t="s">
        <v>578</v>
      </c>
      <c r="AN939" t="s">
        <v>579</v>
      </c>
      <c r="AO939" t="s">
        <v>580</v>
      </c>
      <c r="AP939" t="s">
        <v>581</v>
      </c>
      <c r="AQ939" t="s">
        <v>74</v>
      </c>
      <c r="AR939" t="s">
        <v>582</v>
      </c>
      <c r="AS939" t="s">
        <v>583</v>
      </c>
      <c r="AT939" t="s">
        <v>74</v>
      </c>
      <c r="AU939">
        <v>2009</v>
      </c>
      <c r="AV939">
        <v>387</v>
      </c>
      <c r="AW939" t="s">
        <v>74</v>
      </c>
      <c r="AX939" t="s">
        <v>74</v>
      </c>
      <c r="AY939" t="s">
        <v>74</v>
      </c>
      <c r="AZ939" t="s">
        <v>74</v>
      </c>
      <c r="BA939" t="s">
        <v>74</v>
      </c>
      <c r="BB939">
        <v>1</v>
      </c>
      <c r="BC939">
        <v>14</v>
      </c>
      <c r="BD939" t="s">
        <v>74</v>
      </c>
      <c r="BE939" t="s">
        <v>16523</v>
      </c>
      <c r="BF939" t="str">
        <f>HYPERLINK("http://dx.doi.org/10.3354/meps08106","http://dx.doi.org/10.3354/meps08106")</f>
        <v>http://dx.doi.org/10.3354/meps08106</v>
      </c>
      <c r="BG939" t="s">
        <v>74</v>
      </c>
      <c r="BH939" t="s">
        <v>74</v>
      </c>
      <c r="BI939">
        <v>14</v>
      </c>
      <c r="BJ939" t="s">
        <v>586</v>
      </c>
      <c r="BK939" t="s">
        <v>100</v>
      </c>
      <c r="BL939" t="s">
        <v>587</v>
      </c>
      <c r="BM939" t="s">
        <v>16524</v>
      </c>
      <c r="BN939" t="s">
        <v>74</v>
      </c>
      <c r="BO939" t="s">
        <v>499</v>
      </c>
      <c r="BP939" t="s">
        <v>74</v>
      </c>
      <c r="BQ939" t="s">
        <v>74</v>
      </c>
      <c r="BR939" t="s">
        <v>103</v>
      </c>
      <c r="BS939" t="s">
        <v>16525</v>
      </c>
      <c r="BT939" t="str">
        <f>HYPERLINK("https%3A%2F%2Fwww.webofscience.com%2Fwos%2Fwoscc%2Ffull-record%2FWOS:000269405500001","View Full Record in Web of Science")</f>
        <v>View Full Record in Web of Science</v>
      </c>
    </row>
    <row r="940" spans="1:72" x14ac:dyDescent="0.15">
      <c r="A940" t="s">
        <v>72</v>
      </c>
      <c r="B940" t="s">
        <v>16526</v>
      </c>
      <c r="C940" t="s">
        <v>74</v>
      </c>
      <c r="D940" t="s">
        <v>74</v>
      </c>
      <c r="E940" t="s">
        <v>74</v>
      </c>
      <c r="F940" t="s">
        <v>16527</v>
      </c>
      <c r="G940" t="s">
        <v>74</v>
      </c>
      <c r="H940" t="s">
        <v>74</v>
      </c>
      <c r="I940" t="s">
        <v>16528</v>
      </c>
      <c r="J940" t="s">
        <v>567</v>
      </c>
      <c r="K940" t="s">
        <v>74</v>
      </c>
      <c r="L940" t="s">
        <v>74</v>
      </c>
      <c r="M940" t="s">
        <v>78</v>
      </c>
      <c r="N940" t="s">
        <v>79</v>
      </c>
      <c r="O940" t="s">
        <v>74</v>
      </c>
      <c r="P940" t="s">
        <v>74</v>
      </c>
      <c r="Q940" t="s">
        <v>74</v>
      </c>
      <c r="R940" t="s">
        <v>74</v>
      </c>
      <c r="S940" t="s">
        <v>74</v>
      </c>
      <c r="T940" t="s">
        <v>16529</v>
      </c>
      <c r="U940" t="s">
        <v>16530</v>
      </c>
      <c r="V940" t="s">
        <v>16531</v>
      </c>
      <c r="W940" t="s">
        <v>16532</v>
      </c>
      <c r="X940" t="s">
        <v>16533</v>
      </c>
      <c r="Y940" t="s">
        <v>16534</v>
      </c>
      <c r="Z940" t="s">
        <v>16535</v>
      </c>
      <c r="AA940" t="s">
        <v>16536</v>
      </c>
      <c r="AB940" t="s">
        <v>74</v>
      </c>
      <c r="AC940" t="s">
        <v>16537</v>
      </c>
      <c r="AD940" t="s">
        <v>16538</v>
      </c>
      <c r="AE940" t="s">
        <v>16539</v>
      </c>
      <c r="AF940" t="s">
        <v>74</v>
      </c>
      <c r="AG940">
        <v>43</v>
      </c>
      <c r="AH940">
        <v>15</v>
      </c>
      <c r="AI940">
        <v>15</v>
      </c>
      <c r="AJ940">
        <v>0</v>
      </c>
      <c r="AK940">
        <v>17</v>
      </c>
      <c r="AL940" t="s">
        <v>577</v>
      </c>
      <c r="AM940" t="s">
        <v>578</v>
      </c>
      <c r="AN940" t="s">
        <v>579</v>
      </c>
      <c r="AO940" t="s">
        <v>580</v>
      </c>
      <c r="AP940" t="s">
        <v>74</v>
      </c>
      <c r="AQ940" t="s">
        <v>74</v>
      </c>
      <c r="AR940" t="s">
        <v>582</v>
      </c>
      <c r="AS940" t="s">
        <v>583</v>
      </c>
      <c r="AT940" t="s">
        <v>74</v>
      </c>
      <c r="AU940">
        <v>2009</v>
      </c>
      <c r="AV940">
        <v>387</v>
      </c>
      <c r="AW940" t="s">
        <v>74</v>
      </c>
      <c r="AX940" t="s">
        <v>74</v>
      </c>
      <c r="AY940" t="s">
        <v>74</v>
      </c>
      <c r="AZ940" t="s">
        <v>74</v>
      </c>
      <c r="BA940" t="s">
        <v>74</v>
      </c>
      <c r="BB940">
        <v>15</v>
      </c>
      <c r="BC940">
        <v>25</v>
      </c>
      <c r="BD940" t="s">
        <v>74</v>
      </c>
      <c r="BE940" t="s">
        <v>16540</v>
      </c>
      <c r="BF940" t="str">
        <f>HYPERLINK("http://dx.doi.org/10.3354/meps08079","http://dx.doi.org/10.3354/meps08079")</f>
        <v>http://dx.doi.org/10.3354/meps08079</v>
      </c>
      <c r="BG940" t="s">
        <v>74</v>
      </c>
      <c r="BH940" t="s">
        <v>74</v>
      </c>
      <c r="BI940">
        <v>11</v>
      </c>
      <c r="BJ940" t="s">
        <v>586</v>
      </c>
      <c r="BK940" t="s">
        <v>100</v>
      </c>
      <c r="BL940" t="s">
        <v>587</v>
      </c>
      <c r="BM940" t="s">
        <v>16524</v>
      </c>
      <c r="BN940" t="s">
        <v>74</v>
      </c>
      <c r="BO940" t="s">
        <v>839</v>
      </c>
      <c r="BP940" t="s">
        <v>74</v>
      </c>
      <c r="BQ940" t="s">
        <v>74</v>
      </c>
      <c r="BR940" t="s">
        <v>103</v>
      </c>
      <c r="BS940" t="s">
        <v>16541</v>
      </c>
      <c r="BT940" t="str">
        <f>HYPERLINK("https%3A%2F%2Fwww.webofscience.com%2Fwos%2Fwoscc%2Ffull-record%2FWOS:000269405500002","View Full Record in Web of Science")</f>
        <v>View Full Record in Web of Science</v>
      </c>
    </row>
    <row r="941" spans="1:72" x14ac:dyDescent="0.15">
      <c r="A941" t="s">
        <v>72</v>
      </c>
      <c r="B941" t="s">
        <v>16542</v>
      </c>
      <c r="C941" t="s">
        <v>74</v>
      </c>
      <c r="D941" t="s">
        <v>74</v>
      </c>
      <c r="E941" t="s">
        <v>74</v>
      </c>
      <c r="F941" t="s">
        <v>16543</v>
      </c>
      <c r="G941" t="s">
        <v>74</v>
      </c>
      <c r="H941" t="s">
        <v>74</v>
      </c>
      <c r="I941" t="s">
        <v>16544</v>
      </c>
      <c r="J941" t="s">
        <v>567</v>
      </c>
      <c r="K941" t="s">
        <v>74</v>
      </c>
      <c r="L941" t="s">
        <v>74</v>
      </c>
      <c r="M941" t="s">
        <v>78</v>
      </c>
      <c r="N941" t="s">
        <v>79</v>
      </c>
      <c r="O941" t="s">
        <v>74</v>
      </c>
      <c r="P941" t="s">
        <v>74</v>
      </c>
      <c r="Q941" t="s">
        <v>74</v>
      </c>
      <c r="R941" t="s">
        <v>74</v>
      </c>
      <c r="S941" t="s">
        <v>74</v>
      </c>
      <c r="T941" t="s">
        <v>16545</v>
      </c>
      <c r="U941" t="s">
        <v>16546</v>
      </c>
      <c r="V941" t="s">
        <v>16547</v>
      </c>
      <c r="W941" t="s">
        <v>16548</v>
      </c>
      <c r="X941" t="s">
        <v>16549</v>
      </c>
      <c r="Y941" t="s">
        <v>16550</v>
      </c>
      <c r="Z941" t="s">
        <v>16551</v>
      </c>
      <c r="AA941" t="s">
        <v>16552</v>
      </c>
      <c r="AB941" t="s">
        <v>16553</v>
      </c>
      <c r="AC941" t="s">
        <v>16554</v>
      </c>
      <c r="AD941" t="s">
        <v>16555</v>
      </c>
      <c r="AE941" t="s">
        <v>16556</v>
      </c>
      <c r="AF941" t="s">
        <v>74</v>
      </c>
      <c r="AG941">
        <v>51</v>
      </c>
      <c r="AH941">
        <v>24</v>
      </c>
      <c r="AI941">
        <v>25</v>
      </c>
      <c r="AJ941">
        <v>0</v>
      </c>
      <c r="AK941">
        <v>8</v>
      </c>
      <c r="AL941" t="s">
        <v>577</v>
      </c>
      <c r="AM941" t="s">
        <v>578</v>
      </c>
      <c r="AN941" t="s">
        <v>579</v>
      </c>
      <c r="AO941" t="s">
        <v>580</v>
      </c>
      <c r="AP941" t="s">
        <v>74</v>
      </c>
      <c r="AQ941" t="s">
        <v>74</v>
      </c>
      <c r="AR941" t="s">
        <v>582</v>
      </c>
      <c r="AS941" t="s">
        <v>583</v>
      </c>
      <c r="AT941" t="s">
        <v>74</v>
      </c>
      <c r="AU941">
        <v>2009</v>
      </c>
      <c r="AV941">
        <v>386</v>
      </c>
      <c r="AW941" t="s">
        <v>74</v>
      </c>
      <c r="AX941" t="s">
        <v>74</v>
      </c>
      <c r="AY941" t="s">
        <v>74</v>
      </c>
      <c r="AZ941" t="s">
        <v>74</v>
      </c>
      <c r="BA941" t="s">
        <v>74</v>
      </c>
      <c r="BB941">
        <v>15</v>
      </c>
      <c r="BC941">
        <v>27</v>
      </c>
      <c r="BD941" t="s">
        <v>74</v>
      </c>
      <c r="BE941" t="s">
        <v>16557</v>
      </c>
      <c r="BF941" t="str">
        <f>HYPERLINK("http://dx.doi.org/10.3354/meps08049","http://dx.doi.org/10.3354/meps08049")</f>
        <v>http://dx.doi.org/10.3354/meps08049</v>
      </c>
      <c r="BG941" t="s">
        <v>74</v>
      </c>
      <c r="BH941" t="s">
        <v>74</v>
      </c>
      <c r="BI941">
        <v>13</v>
      </c>
      <c r="BJ941" t="s">
        <v>586</v>
      </c>
      <c r="BK941" t="s">
        <v>100</v>
      </c>
      <c r="BL941" t="s">
        <v>587</v>
      </c>
      <c r="BM941" t="s">
        <v>16558</v>
      </c>
      <c r="BN941" t="s">
        <v>74</v>
      </c>
      <c r="BO941" t="s">
        <v>499</v>
      </c>
      <c r="BP941" t="s">
        <v>74</v>
      </c>
      <c r="BQ941" t="s">
        <v>74</v>
      </c>
      <c r="BR941" t="s">
        <v>103</v>
      </c>
      <c r="BS941" t="s">
        <v>16559</v>
      </c>
      <c r="BT941" t="str">
        <f>HYPERLINK("https%3A%2F%2Fwww.webofscience.com%2Fwos%2Fwoscc%2Ffull-record%2FWOS:000268552500002","View Full Record in Web of Science")</f>
        <v>View Full Record in Web of Science</v>
      </c>
    </row>
    <row r="942" spans="1:72" x14ac:dyDescent="0.15">
      <c r="A942" t="s">
        <v>72</v>
      </c>
      <c r="B942" t="s">
        <v>16560</v>
      </c>
      <c r="C942" t="s">
        <v>74</v>
      </c>
      <c r="D942" t="s">
        <v>74</v>
      </c>
      <c r="E942" t="s">
        <v>74</v>
      </c>
      <c r="F942" t="s">
        <v>16561</v>
      </c>
      <c r="G942" t="s">
        <v>74</v>
      </c>
      <c r="H942" t="s">
        <v>74</v>
      </c>
      <c r="I942" t="s">
        <v>16562</v>
      </c>
      <c r="J942" t="s">
        <v>567</v>
      </c>
      <c r="K942" t="s">
        <v>74</v>
      </c>
      <c r="L942" t="s">
        <v>74</v>
      </c>
      <c r="M942" t="s">
        <v>78</v>
      </c>
      <c r="N942" t="s">
        <v>79</v>
      </c>
      <c r="O942" t="s">
        <v>74</v>
      </c>
      <c r="P942" t="s">
        <v>74</v>
      </c>
      <c r="Q942" t="s">
        <v>74</v>
      </c>
      <c r="R942" t="s">
        <v>74</v>
      </c>
      <c r="S942" t="s">
        <v>74</v>
      </c>
      <c r="T942" t="s">
        <v>16563</v>
      </c>
      <c r="U942" t="s">
        <v>16564</v>
      </c>
      <c r="V942" t="s">
        <v>16565</v>
      </c>
      <c r="W942" t="s">
        <v>16566</v>
      </c>
      <c r="X942" t="s">
        <v>3127</v>
      </c>
      <c r="Y942" t="s">
        <v>16567</v>
      </c>
      <c r="Z942" t="s">
        <v>16568</v>
      </c>
      <c r="AA942" t="s">
        <v>16569</v>
      </c>
      <c r="AB942" t="s">
        <v>16570</v>
      </c>
      <c r="AC942" t="s">
        <v>74</v>
      </c>
      <c r="AD942" t="s">
        <v>74</v>
      </c>
      <c r="AE942" t="s">
        <v>74</v>
      </c>
      <c r="AF942" t="s">
        <v>74</v>
      </c>
      <c r="AG942">
        <v>79</v>
      </c>
      <c r="AH942">
        <v>28</v>
      </c>
      <c r="AI942">
        <v>31</v>
      </c>
      <c r="AJ942">
        <v>0</v>
      </c>
      <c r="AK942">
        <v>37</v>
      </c>
      <c r="AL942" t="s">
        <v>577</v>
      </c>
      <c r="AM942" t="s">
        <v>578</v>
      </c>
      <c r="AN942" t="s">
        <v>579</v>
      </c>
      <c r="AO942" t="s">
        <v>580</v>
      </c>
      <c r="AP942" t="s">
        <v>581</v>
      </c>
      <c r="AQ942" t="s">
        <v>74</v>
      </c>
      <c r="AR942" t="s">
        <v>582</v>
      </c>
      <c r="AS942" t="s">
        <v>583</v>
      </c>
      <c r="AT942" t="s">
        <v>74</v>
      </c>
      <c r="AU942">
        <v>2009</v>
      </c>
      <c r="AV942">
        <v>386</v>
      </c>
      <c r="AW942" t="s">
        <v>74</v>
      </c>
      <c r="AX942" t="s">
        <v>74</v>
      </c>
      <c r="AY942" t="s">
        <v>74</v>
      </c>
      <c r="AZ942" t="s">
        <v>74</v>
      </c>
      <c r="BA942" t="s">
        <v>74</v>
      </c>
      <c r="BB942">
        <v>97</v>
      </c>
      <c r="BC942">
        <v>105</v>
      </c>
      <c r="BD942" t="s">
        <v>74</v>
      </c>
      <c r="BE942" t="s">
        <v>16571</v>
      </c>
      <c r="BF942" t="str">
        <f>HYPERLINK("http://dx.doi.org/10.3354/meps08074","http://dx.doi.org/10.3354/meps08074")</f>
        <v>http://dx.doi.org/10.3354/meps08074</v>
      </c>
      <c r="BG942" t="s">
        <v>74</v>
      </c>
      <c r="BH942" t="s">
        <v>74</v>
      </c>
      <c r="BI942">
        <v>9</v>
      </c>
      <c r="BJ942" t="s">
        <v>586</v>
      </c>
      <c r="BK942" t="s">
        <v>100</v>
      </c>
      <c r="BL942" t="s">
        <v>587</v>
      </c>
      <c r="BM942" t="s">
        <v>16558</v>
      </c>
      <c r="BN942" t="s">
        <v>74</v>
      </c>
      <c r="BO942" t="s">
        <v>499</v>
      </c>
      <c r="BP942" t="s">
        <v>74</v>
      </c>
      <c r="BQ942" t="s">
        <v>74</v>
      </c>
      <c r="BR942" t="s">
        <v>103</v>
      </c>
      <c r="BS942" t="s">
        <v>16572</v>
      </c>
      <c r="BT942" t="str">
        <f>HYPERLINK("https%3A%2F%2Fwww.webofscience.com%2Fwos%2Fwoscc%2Ffull-record%2FWOS:000268552500008","View Full Record in Web of Science")</f>
        <v>View Full Record in Web of Science</v>
      </c>
    </row>
    <row r="943" spans="1:72" x14ac:dyDescent="0.15">
      <c r="A943" t="s">
        <v>72</v>
      </c>
      <c r="B943" t="s">
        <v>16573</v>
      </c>
      <c r="C943" t="s">
        <v>74</v>
      </c>
      <c r="D943" t="s">
        <v>74</v>
      </c>
      <c r="E943" t="s">
        <v>74</v>
      </c>
      <c r="F943" t="s">
        <v>16574</v>
      </c>
      <c r="G943" t="s">
        <v>74</v>
      </c>
      <c r="H943" t="s">
        <v>74</v>
      </c>
      <c r="I943" t="s">
        <v>16575</v>
      </c>
      <c r="J943" t="s">
        <v>567</v>
      </c>
      <c r="K943" t="s">
        <v>74</v>
      </c>
      <c r="L943" t="s">
        <v>74</v>
      </c>
      <c r="M943" t="s">
        <v>78</v>
      </c>
      <c r="N943" t="s">
        <v>79</v>
      </c>
      <c r="O943" t="s">
        <v>74</v>
      </c>
      <c r="P943" t="s">
        <v>74</v>
      </c>
      <c r="Q943" t="s">
        <v>74</v>
      </c>
      <c r="R943" t="s">
        <v>74</v>
      </c>
      <c r="S943" t="s">
        <v>74</v>
      </c>
      <c r="T943" t="s">
        <v>16576</v>
      </c>
      <c r="U943" t="s">
        <v>16577</v>
      </c>
      <c r="V943" t="s">
        <v>16578</v>
      </c>
      <c r="W943" t="s">
        <v>16579</v>
      </c>
      <c r="X943" t="s">
        <v>824</v>
      </c>
      <c r="Y943" t="s">
        <v>16580</v>
      </c>
      <c r="Z943" t="s">
        <v>16581</v>
      </c>
      <c r="AA943" t="s">
        <v>5132</v>
      </c>
      <c r="AB943" t="s">
        <v>16582</v>
      </c>
      <c r="AC943" t="s">
        <v>5134</v>
      </c>
      <c r="AD943" t="s">
        <v>1490</v>
      </c>
      <c r="AE943" t="s">
        <v>74</v>
      </c>
      <c r="AF943" t="s">
        <v>74</v>
      </c>
      <c r="AG943">
        <v>56</v>
      </c>
      <c r="AH943">
        <v>74</v>
      </c>
      <c r="AI943">
        <v>80</v>
      </c>
      <c r="AJ943">
        <v>3</v>
      </c>
      <c r="AK943">
        <v>36</v>
      </c>
      <c r="AL943" t="s">
        <v>577</v>
      </c>
      <c r="AM943" t="s">
        <v>578</v>
      </c>
      <c r="AN943" t="s">
        <v>579</v>
      </c>
      <c r="AO943" t="s">
        <v>580</v>
      </c>
      <c r="AP943" t="s">
        <v>581</v>
      </c>
      <c r="AQ943" t="s">
        <v>74</v>
      </c>
      <c r="AR943" t="s">
        <v>582</v>
      </c>
      <c r="AS943" t="s">
        <v>583</v>
      </c>
      <c r="AT943" t="s">
        <v>74</v>
      </c>
      <c r="AU943">
        <v>2009</v>
      </c>
      <c r="AV943">
        <v>386</v>
      </c>
      <c r="AW943" t="s">
        <v>74</v>
      </c>
      <c r="AX943" t="s">
        <v>74</v>
      </c>
      <c r="AY943" t="s">
        <v>74</v>
      </c>
      <c r="AZ943" t="s">
        <v>74</v>
      </c>
      <c r="BA943" t="s">
        <v>74</v>
      </c>
      <c r="BB943">
        <v>221</v>
      </c>
      <c r="BC943">
        <v>236</v>
      </c>
      <c r="BD943" t="s">
        <v>74</v>
      </c>
      <c r="BE943" t="s">
        <v>16583</v>
      </c>
      <c r="BF943" t="str">
        <f>HYPERLINK("http://dx.doi.org/10.3354/meps08064","http://dx.doi.org/10.3354/meps08064")</f>
        <v>http://dx.doi.org/10.3354/meps08064</v>
      </c>
      <c r="BG943" t="s">
        <v>74</v>
      </c>
      <c r="BH943" t="s">
        <v>74</v>
      </c>
      <c r="BI943">
        <v>16</v>
      </c>
      <c r="BJ943" t="s">
        <v>586</v>
      </c>
      <c r="BK943" t="s">
        <v>100</v>
      </c>
      <c r="BL943" t="s">
        <v>587</v>
      </c>
      <c r="BM943" t="s">
        <v>16558</v>
      </c>
      <c r="BN943" t="s">
        <v>74</v>
      </c>
      <c r="BO943" t="s">
        <v>499</v>
      </c>
      <c r="BP943" t="s">
        <v>74</v>
      </c>
      <c r="BQ943" t="s">
        <v>74</v>
      </c>
      <c r="BR943" t="s">
        <v>103</v>
      </c>
      <c r="BS943" t="s">
        <v>16584</v>
      </c>
      <c r="BT943" t="str">
        <f>HYPERLINK("https%3A%2F%2Fwww.webofscience.com%2Fwos%2Fwoscc%2Ffull-record%2FWOS:000268552500018","View Full Record in Web of Science")</f>
        <v>View Full Record in Web of Science</v>
      </c>
    </row>
    <row r="944" spans="1:72" x14ac:dyDescent="0.15">
      <c r="A944" t="s">
        <v>72</v>
      </c>
      <c r="B944" t="s">
        <v>16585</v>
      </c>
      <c r="C944" t="s">
        <v>74</v>
      </c>
      <c r="D944" t="s">
        <v>74</v>
      </c>
      <c r="E944" t="s">
        <v>74</v>
      </c>
      <c r="F944" t="s">
        <v>16586</v>
      </c>
      <c r="G944" t="s">
        <v>74</v>
      </c>
      <c r="H944" t="s">
        <v>74</v>
      </c>
      <c r="I944" t="s">
        <v>16587</v>
      </c>
      <c r="J944" t="s">
        <v>567</v>
      </c>
      <c r="K944" t="s">
        <v>74</v>
      </c>
      <c r="L944" t="s">
        <v>74</v>
      </c>
      <c r="M944" t="s">
        <v>78</v>
      </c>
      <c r="N944" t="s">
        <v>79</v>
      </c>
      <c r="O944" t="s">
        <v>74</v>
      </c>
      <c r="P944" t="s">
        <v>74</v>
      </c>
      <c r="Q944" t="s">
        <v>74</v>
      </c>
      <c r="R944" t="s">
        <v>74</v>
      </c>
      <c r="S944" t="s">
        <v>74</v>
      </c>
      <c r="T944" t="s">
        <v>16588</v>
      </c>
      <c r="U944" t="s">
        <v>16589</v>
      </c>
      <c r="V944" t="s">
        <v>16590</v>
      </c>
      <c r="W944" t="s">
        <v>16591</v>
      </c>
      <c r="X944" t="s">
        <v>16592</v>
      </c>
      <c r="Y944" t="s">
        <v>16593</v>
      </c>
      <c r="Z944" t="s">
        <v>16594</v>
      </c>
      <c r="AA944" t="s">
        <v>9399</v>
      </c>
      <c r="AB944" t="s">
        <v>12207</v>
      </c>
      <c r="AC944" t="s">
        <v>16595</v>
      </c>
      <c r="AD944" t="s">
        <v>16596</v>
      </c>
      <c r="AE944" t="s">
        <v>16597</v>
      </c>
      <c r="AF944" t="s">
        <v>74</v>
      </c>
      <c r="AG944">
        <v>52</v>
      </c>
      <c r="AH944">
        <v>35</v>
      </c>
      <c r="AI944">
        <v>39</v>
      </c>
      <c r="AJ944">
        <v>0</v>
      </c>
      <c r="AK944">
        <v>13</v>
      </c>
      <c r="AL944" t="s">
        <v>577</v>
      </c>
      <c r="AM944" t="s">
        <v>578</v>
      </c>
      <c r="AN944" t="s">
        <v>579</v>
      </c>
      <c r="AO944" t="s">
        <v>580</v>
      </c>
      <c r="AP944" t="s">
        <v>581</v>
      </c>
      <c r="AQ944" t="s">
        <v>74</v>
      </c>
      <c r="AR944" t="s">
        <v>582</v>
      </c>
      <c r="AS944" t="s">
        <v>583</v>
      </c>
      <c r="AT944" t="s">
        <v>74</v>
      </c>
      <c r="AU944">
        <v>2009</v>
      </c>
      <c r="AV944">
        <v>385</v>
      </c>
      <c r="AW944" t="s">
        <v>74</v>
      </c>
      <c r="AX944" t="s">
        <v>74</v>
      </c>
      <c r="AY944" t="s">
        <v>74</v>
      </c>
      <c r="AZ944" t="s">
        <v>74</v>
      </c>
      <c r="BA944" t="s">
        <v>74</v>
      </c>
      <c r="BB944">
        <v>77</v>
      </c>
      <c r="BC944">
        <v>85</v>
      </c>
      <c r="BD944" t="s">
        <v>74</v>
      </c>
      <c r="BE944" t="s">
        <v>16598</v>
      </c>
      <c r="BF944" t="str">
        <f>HYPERLINK("http://dx.doi.org/10.3354/meps08026","http://dx.doi.org/10.3354/meps08026")</f>
        <v>http://dx.doi.org/10.3354/meps08026</v>
      </c>
      <c r="BG944" t="s">
        <v>74</v>
      </c>
      <c r="BH944" t="s">
        <v>74</v>
      </c>
      <c r="BI944">
        <v>9</v>
      </c>
      <c r="BJ944" t="s">
        <v>586</v>
      </c>
      <c r="BK944" t="s">
        <v>100</v>
      </c>
      <c r="BL944" t="s">
        <v>587</v>
      </c>
      <c r="BM944" t="s">
        <v>16599</v>
      </c>
      <c r="BN944" t="s">
        <v>74</v>
      </c>
      <c r="BO944" t="s">
        <v>1137</v>
      </c>
      <c r="BP944" t="s">
        <v>74</v>
      </c>
      <c r="BQ944" t="s">
        <v>74</v>
      </c>
      <c r="BR944" t="s">
        <v>103</v>
      </c>
      <c r="BS944" t="s">
        <v>16600</v>
      </c>
      <c r="BT944" t="str">
        <f>HYPERLINK("https%3A%2F%2Fwww.webofscience.com%2Fwos%2Fwoscc%2Ffull-record%2FWOS:000268078800007","View Full Record in Web of Science")</f>
        <v>View Full Record in Web of Science</v>
      </c>
    </row>
    <row r="945" spans="1:72" x14ac:dyDescent="0.15">
      <c r="A945" t="s">
        <v>72</v>
      </c>
      <c r="B945" t="s">
        <v>16601</v>
      </c>
      <c r="C945" t="s">
        <v>74</v>
      </c>
      <c r="D945" t="s">
        <v>74</v>
      </c>
      <c r="E945" t="s">
        <v>74</v>
      </c>
      <c r="F945" t="s">
        <v>16602</v>
      </c>
      <c r="G945" t="s">
        <v>74</v>
      </c>
      <c r="H945" t="s">
        <v>74</v>
      </c>
      <c r="I945" t="s">
        <v>16603</v>
      </c>
      <c r="J945" t="s">
        <v>567</v>
      </c>
      <c r="K945" t="s">
        <v>74</v>
      </c>
      <c r="L945" t="s">
        <v>74</v>
      </c>
      <c r="M945" t="s">
        <v>78</v>
      </c>
      <c r="N945" t="s">
        <v>79</v>
      </c>
      <c r="O945" t="s">
        <v>74</v>
      </c>
      <c r="P945" t="s">
        <v>74</v>
      </c>
      <c r="Q945" t="s">
        <v>74</v>
      </c>
      <c r="R945" t="s">
        <v>74</v>
      </c>
      <c r="S945" t="s">
        <v>74</v>
      </c>
      <c r="T945" t="s">
        <v>16604</v>
      </c>
      <c r="U945" t="s">
        <v>16605</v>
      </c>
      <c r="V945" t="s">
        <v>16606</v>
      </c>
      <c r="W945" t="s">
        <v>16607</v>
      </c>
      <c r="X945" t="s">
        <v>16608</v>
      </c>
      <c r="Y945" t="s">
        <v>16609</v>
      </c>
      <c r="Z945" t="s">
        <v>16610</v>
      </c>
      <c r="AA945" t="s">
        <v>16611</v>
      </c>
      <c r="AB945" t="s">
        <v>16612</v>
      </c>
      <c r="AC945" t="s">
        <v>16613</v>
      </c>
      <c r="AD945" t="s">
        <v>16614</v>
      </c>
      <c r="AE945" t="s">
        <v>16615</v>
      </c>
      <c r="AF945" t="s">
        <v>74</v>
      </c>
      <c r="AG945">
        <v>42</v>
      </c>
      <c r="AH945">
        <v>18</v>
      </c>
      <c r="AI945">
        <v>22</v>
      </c>
      <c r="AJ945">
        <v>0</v>
      </c>
      <c r="AK945">
        <v>16</v>
      </c>
      <c r="AL945" t="s">
        <v>577</v>
      </c>
      <c r="AM945" t="s">
        <v>578</v>
      </c>
      <c r="AN945" t="s">
        <v>579</v>
      </c>
      <c r="AO945" t="s">
        <v>580</v>
      </c>
      <c r="AP945" t="s">
        <v>581</v>
      </c>
      <c r="AQ945" t="s">
        <v>74</v>
      </c>
      <c r="AR945" t="s">
        <v>582</v>
      </c>
      <c r="AS945" t="s">
        <v>583</v>
      </c>
      <c r="AT945" t="s">
        <v>74</v>
      </c>
      <c r="AU945">
        <v>2009</v>
      </c>
      <c r="AV945">
        <v>385</v>
      </c>
      <c r="AW945" t="s">
        <v>74</v>
      </c>
      <c r="AX945" t="s">
        <v>74</v>
      </c>
      <c r="AY945" t="s">
        <v>74</v>
      </c>
      <c r="AZ945" t="s">
        <v>74</v>
      </c>
      <c r="BA945" t="s">
        <v>74</v>
      </c>
      <c r="BB945">
        <v>271</v>
      </c>
      <c r="BC945">
        <v>284</v>
      </c>
      <c r="BD945" t="s">
        <v>74</v>
      </c>
      <c r="BE945" t="s">
        <v>16616</v>
      </c>
      <c r="BF945" t="str">
        <f>HYPERLINK("http://dx.doi.org/10.3354/meps08025","http://dx.doi.org/10.3354/meps08025")</f>
        <v>http://dx.doi.org/10.3354/meps08025</v>
      </c>
      <c r="BG945" t="s">
        <v>74</v>
      </c>
      <c r="BH945" t="s">
        <v>74</v>
      </c>
      <c r="BI945">
        <v>14</v>
      </c>
      <c r="BJ945" t="s">
        <v>586</v>
      </c>
      <c r="BK945" t="s">
        <v>100</v>
      </c>
      <c r="BL945" t="s">
        <v>587</v>
      </c>
      <c r="BM945" t="s">
        <v>16599</v>
      </c>
      <c r="BN945" t="s">
        <v>74</v>
      </c>
      <c r="BO945" t="s">
        <v>499</v>
      </c>
      <c r="BP945" t="s">
        <v>74</v>
      </c>
      <c r="BQ945" t="s">
        <v>74</v>
      </c>
      <c r="BR945" t="s">
        <v>103</v>
      </c>
      <c r="BS945" t="s">
        <v>16617</v>
      </c>
      <c r="BT945" t="str">
        <f>HYPERLINK("https%3A%2F%2Fwww.webofscience.com%2Fwos%2Fwoscc%2Ffull-record%2FWOS:000268078800023","View Full Record in Web of Science")</f>
        <v>View Full Record in Web of Science</v>
      </c>
    </row>
    <row r="946" spans="1:72" x14ac:dyDescent="0.15">
      <c r="A946" t="s">
        <v>72</v>
      </c>
      <c r="B946" t="s">
        <v>16618</v>
      </c>
      <c r="C946" t="s">
        <v>74</v>
      </c>
      <c r="D946" t="s">
        <v>74</v>
      </c>
      <c r="E946" t="s">
        <v>74</v>
      </c>
      <c r="F946" t="s">
        <v>16619</v>
      </c>
      <c r="G946" t="s">
        <v>74</v>
      </c>
      <c r="H946" t="s">
        <v>74</v>
      </c>
      <c r="I946" t="s">
        <v>16620</v>
      </c>
      <c r="J946" t="s">
        <v>567</v>
      </c>
      <c r="K946" t="s">
        <v>74</v>
      </c>
      <c r="L946" t="s">
        <v>74</v>
      </c>
      <c r="M946" t="s">
        <v>78</v>
      </c>
      <c r="N946" t="s">
        <v>79</v>
      </c>
      <c r="O946" t="s">
        <v>74</v>
      </c>
      <c r="P946" t="s">
        <v>74</v>
      </c>
      <c r="Q946" t="s">
        <v>74</v>
      </c>
      <c r="R946" t="s">
        <v>74</v>
      </c>
      <c r="S946" t="s">
        <v>74</v>
      </c>
      <c r="T946" t="s">
        <v>16621</v>
      </c>
      <c r="U946" t="s">
        <v>16622</v>
      </c>
      <c r="V946" t="s">
        <v>16623</v>
      </c>
      <c r="W946" t="s">
        <v>16624</v>
      </c>
      <c r="X946" t="s">
        <v>16625</v>
      </c>
      <c r="Y946" t="s">
        <v>16626</v>
      </c>
      <c r="Z946" t="s">
        <v>16627</v>
      </c>
      <c r="AA946" t="s">
        <v>74</v>
      </c>
      <c r="AB946" t="s">
        <v>74</v>
      </c>
      <c r="AC946" t="s">
        <v>74</v>
      </c>
      <c r="AD946" t="s">
        <v>74</v>
      </c>
      <c r="AE946" t="s">
        <v>74</v>
      </c>
      <c r="AF946" t="s">
        <v>74</v>
      </c>
      <c r="AG946">
        <v>57</v>
      </c>
      <c r="AH946">
        <v>2</v>
      </c>
      <c r="AI946">
        <v>3</v>
      </c>
      <c r="AJ946">
        <v>0</v>
      </c>
      <c r="AK946">
        <v>7</v>
      </c>
      <c r="AL946" t="s">
        <v>577</v>
      </c>
      <c r="AM946" t="s">
        <v>578</v>
      </c>
      <c r="AN946" t="s">
        <v>579</v>
      </c>
      <c r="AO946" t="s">
        <v>580</v>
      </c>
      <c r="AP946" t="s">
        <v>74</v>
      </c>
      <c r="AQ946" t="s">
        <v>74</v>
      </c>
      <c r="AR946" t="s">
        <v>582</v>
      </c>
      <c r="AS946" t="s">
        <v>583</v>
      </c>
      <c r="AT946" t="s">
        <v>74</v>
      </c>
      <c r="AU946">
        <v>2009</v>
      </c>
      <c r="AV946">
        <v>383</v>
      </c>
      <c r="AW946" t="s">
        <v>74</v>
      </c>
      <c r="AX946" t="s">
        <v>74</v>
      </c>
      <c r="AY946" t="s">
        <v>74</v>
      </c>
      <c r="AZ946" t="s">
        <v>74</v>
      </c>
      <c r="BA946" t="s">
        <v>74</v>
      </c>
      <c r="BB946">
        <v>27</v>
      </c>
      <c r="BC946">
        <v>36</v>
      </c>
      <c r="BD946" t="s">
        <v>74</v>
      </c>
      <c r="BE946" t="s">
        <v>16628</v>
      </c>
      <c r="BF946" t="str">
        <f>HYPERLINK("http://dx.doi.org/10.3354/meps07966","http://dx.doi.org/10.3354/meps07966")</f>
        <v>http://dx.doi.org/10.3354/meps07966</v>
      </c>
      <c r="BG946" t="s">
        <v>74</v>
      </c>
      <c r="BH946" t="s">
        <v>74</v>
      </c>
      <c r="BI946">
        <v>10</v>
      </c>
      <c r="BJ946" t="s">
        <v>586</v>
      </c>
      <c r="BK946" t="s">
        <v>100</v>
      </c>
      <c r="BL946" t="s">
        <v>587</v>
      </c>
      <c r="BM946" t="s">
        <v>16629</v>
      </c>
      <c r="BN946" t="s">
        <v>74</v>
      </c>
      <c r="BO946" t="s">
        <v>499</v>
      </c>
      <c r="BP946" t="s">
        <v>74</v>
      </c>
      <c r="BQ946" t="s">
        <v>74</v>
      </c>
      <c r="BR946" t="s">
        <v>103</v>
      </c>
      <c r="BS946" t="s">
        <v>16630</v>
      </c>
      <c r="BT946" t="str">
        <f>HYPERLINK("https%3A%2F%2Fwww.webofscience.com%2Fwos%2Fwoscc%2Ffull-record%2FWOS:000266756800003","View Full Record in Web of Science")</f>
        <v>View Full Record in Web of Science</v>
      </c>
    </row>
    <row r="947" spans="1:72" x14ac:dyDescent="0.15">
      <c r="A947" t="s">
        <v>72</v>
      </c>
      <c r="B947" t="s">
        <v>16631</v>
      </c>
      <c r="C947" t="s">
        <v>74</v>
      </c>
      <c r="D947" t="s">
        <v>74</v>
      </c>
      <c r="E947" t="s">
        <v>74</v>
      </c>
      <c r="F947" t="s">
        <v>16632</v>
      </c>
      <c r="G947" t="s">
        <v>74</v>
      </c>
      <c r="H947" t="s">
        <v>74</v>
      </c>
      <c r="I947" t="s">
        <v>16633</v>
      </c>
      <c r="J947" t="s">
        <v>567</v>
      </c>
      <c r="K947" t="s">
        <v>74</v>
      </c>
      <c r="L947" t="s">
        <v>74</v>
      </c>
      <c r="M947" t="s">
        <v>78</v>
      </c>
      <c r="N947" t="s">
        <v>79</v>
      </c>
      <c r="O947" t="s">
        <v>74</v>
      </c>
      <c r="P947" t="s">
        <v>74</v>
      </c>
      <c r="Q947" t="s">
        <v>74</v>
      </c>
      <c r="R947" t="s">
        <v>74</v>
      </c>
      <c r="S947" t="s">
        <v>74</v>
      </c>
      <c r="T947" t="s">
        <v>16634</v>
      </c>
      <c r="U947" t="s">
        <v>16635</v>
      </c>
      <c r="V947" t="s">
        <v>16636</v>
      </c>
      <c r="W947" t="s">
        <v>16637</v>
      </c>
      <c r="X947" t="s">
        <v>16638</v>
      </c>
      <c r="Y947" t="s">
        <v>16639</v>
      </c>
      <c r="Z947" t="s">
        <v>16640</v>
      </c>
      <c r="AA947" t="s">
        <v>16641</v>
      </c>
      <c r="AB947" t="s">
        <v>74</v>
      </c>
      <c r="AC947" t="s">
        <v>16642</v>
      </c>
      <c r="AD947" t="s">
        <v>16642</v>
      </c>
      <c r="AE947" t="s">
        <v>16643</v>
      </c>
      <c r="AF947" t="s">
        <v>74</v>
      </c>
      <c r="AG947">
        <v>40</v>
      </c>
      <c r="AH947">
        <v>19</v>
      </c>
      <c r="AI947">
        <v>22</v>
      </c>
      <c r="AJ947">
        <v>0</v>
      </c>
      <c r="AK947">
        <v>14</v>
      </c>
      <c r="AL947" t="s">
        <v>577</v>
      </c>
      <c r="AM947" t="s">
        <v>578</v>
      </c>
      <c r="AN947" t="s">
        <v>579</v>
      </c>
      <c r="AO947" t="s">
        <v>580</v>
      </c>
      <c r="AP947" t="s">
        <v>581</v>
      </c>
      <c r="AQ947" t="s">
        <v>74</v>
      </c>
      <c r="AR947" t="s">
        <v>582</v>
      </c>
      <c r="AS947" t="s">
        <v>583</v>
      </c>
      <c r="AT947" t="s">
        <v>74</v>
      </c>
      <c r="AU947">
        <v>2009</v>
      </c>
      <c r="AV947">
        <v>381</v>
      </c>
      <c r="AW947" t="s">
        <v>74</v>
      </c>
      <c r="AX947" t="s">
        <v>74</v>
      </c>
      <c r="AY947" t="s">
        <v>74</v>
      </c>
      <c r="AZ947" t="s">
        <v>74</v>
      </c>
      <c r="BA947" t="s">
        <v>74</v>
      </c>
      <c r="BB947">
        <v>109</v>
      </c>
      <c r="BC947">
        <v>118</v>
      </c>
      <c r="BD947" t="s">
        <v>74</v>
      </c>
      <c r="BE947" t="s">
        <v>16644</v>
      </c>
      <c r="BF947" t="str">
        <f>HYPERLINK("http://dx.doi.org/10.3354/meps07959","http://dx.doi.org/10.3354/meps07959")</f>
        <v>http://dx.doi.org/10.3354/meps07959</v>
      </c>
      <c r="BG947" t="s">
        <v>74</v>
      </c>
      <c r="BH947" t="s">
        <v>74</v>
      </c>
      <c r="BI947">
        <v>10</v>
      </c>
      <c r="BJ947" t="s">
        <v>586</v>
      </c>
      <c r="BK947" t="s">
        <v>100</v>
      </c>
      <c r="BL947" t="s">
        <v>587</v>
      </c>
      <c r="BM947" t="s">
        <v>16645</v>
      </c>
      <c r="BN947" t="s">
        <v>74</v>
      </c>
      <c r="BO947" t="s">
        <v>499</v>
      </c>
      <c r="BP947" t="s">
        <v>74</v>
      </c>
      <c r="BQ947" t="s">
        <v>74</v>
      </c>
      <c r="BR947" t="s">
        <v>103</v>
      </c>
      <c r="BS947" t="s">
        <v>16646</v>
      </c>
      <c r="BT947" t="str">
        <f>HYPERLINK("https%3A%2F%2Fwww.webofscience.com%2Fwos%2Fwoscc%2Ffull-record%2FWOS:000266150000009","View Full Record in Web of Science")</f>
        <v>View Full Record in Web of Science</v>
      </c>
    </row>
    <row r="948" spans="1:72" x14ac:dyDescent="0.15">
      <c r="A948" t="s">
        <v>72</v>
      </c>
      <c r="B948" t="s">
        <v>16647</v>
      </c>
      <c r="C948" t="s">
        <v>74</v>
      </c>
      <c r="D948" t="s">
        <v>74</v>
      </c>
      <c r="E948" t="s">
        <v>74</v>
      </c>
      <c r="F948" t="s">
        <v>16648</v>
      </c>
      <c r="G948" t="s">
        <v>74</v>
      </c>
      <c r="H948" t="s">
        <v>74</v>
      </c>
      <c r="I948" t="s">
        <v>16649</v>
      </c>
      <c r="J948" t="s">
        <v>567</v>
      </c>
      <c r="K948" t="s">
        <v>74</v>
      </c>
      <c r="L948" t="s">
        <v>74</v>
      </c>
      <c r="M948" t="s">
        <v>78</v>
      </c>
      <c r="N948" t="s">
        <v>79</v>
      </c>
      <c r="O948" t="s">
        <v>74</v>
      </c>
      <c r="P948" t="s">
        <v>74</v>
      </c>
      <c r="Q948" t="s">
        <v>74</v>
      </c>
      <c r="R948" t="s">
        <v>74</v>
      </c>
      <c r="S948" t="s">
        <v>74</v>
      </c>
      <c r="T948" t="s">
        <v>16650</v>
      </c>
      <c r="U948" t="s">
        <v>16651</v>
      </c>
      <c r="V948" t="s">
        <v>16652</v>
      </c>
      <c r="W948" t="s">
        <v>16653</v>
      </c>
      <c r="X948" t="s">
        <v>16654</v>
      </c>
      <c r="Y948" t="s">
        <v>16655</v>
      </c>
      <c r="Z948" t="s">
        <v>5908</v>
      </c>
      <c r="AA948" t="s">
        <v>16656</v>
      </c>
      <c r="AB948" t="s">
        <v>16657</v>
      </c>
      <c r="AC948" t="s">
        <v>16658</v>
      </c>
      <c r="AD948" t="s">
        <v>2716</v>
      </c>
      <c r="AE948" t="s">
        <v>16659</v>
      </c>
      <c r="AF948" t="s">
        <v>74</v>
      </c>
      <c r="AG948">
        <v>46</v>
      </c>
      <c r="AH948">
        <v>3</v>
      </c>
      <c r="AI948">
        <v>4</v>
      </c>
      <c r="AJ948">
        <v>0</v>
      </c>
      <c r="AK948">
        <v>8</v>
      </c>
      <c r="AL948" t="s">
        <v>577</v>
      </c>
      <c r="AM948" t="s">
        <v>578</v>
      </c>
      <c r="AN948" t="s">
        <v>579</v>
      </c>
      <c r="AO948" t="s">
        <v>580</v>
      </c>
      <c r="AP948" t="s">
        <v>74</v>
      </c>
      <c r="AQ948" t="s">
        <v>74</v>
      </c>
      <c r="AR948" t="s">
        <v>582</v>
      </c>
      <c r="AS948" t="s">
        <v>583</v>
      </c>
      <c r="AT948" t="s">
        <v>74</v>
      </c>
      <c r="AU948">
        <v>2009</v>
      </c>
      <c r="AV948">
        <v>379</v>
      </c>
      <c r="AW948" t="s">
        <v>74</v>
      </c>
      <c r="AX948" t="s">
        <v>74</v>
      </c>
      <c r="AY948" t="s">
        <v>74</v>
      </c>
      <c r="AZ948" t="s">
        <v>74</v>
      </c>
      <c r="BA948" t="s">
        <v>74</v>
      </c>
      <c r="BB948">
        <v>13</v>
      </c>
      <c r="BC948">
        <v>22</v>
      </c>
      <c r="BD948" t="s">
        <v>74</v>
      </c>
      <c r="BE948" t="s">
        <v>16660</v>
      </c>
      <c r="BF948" t="str">
        <f>HYPERLINK("http://dx.doi.org/10.3354/meps07883","http://dx.doi.org/10.3354/meps07883")</f>
        <v>http://dx.doi.org/10.3354/meps07883</v>
      </c>
      <c r="BG948" t="s">
        <v>74</v>
      </c>
      <c r="BH948" t="s">
        <v>74</v>
      </c>
      <c r="BI948">
        <v>10</v>
      </c>
      <c r="BJ948" t="s">
        <v>586</v>
      </c>
      <c r="BK948" t="s">
        <v>100</v>
      </c>
      <c r="BL948" t="s">
        <v>587</v>
      </c>
      <c r="BM948" t="s">
        <v>16661</v>
      </c>
      <c r="BN948" t="s">
        <v>74</v>
      </c>
      <c r="BO948" t="s">
        <v>499</v>
      </c>
      <c r="BP948" t="s">
        <v>74</v>
      </c>
      <c r="BQ948" t="s">
        <v>74</v>
      </c>
      <c r="BR948" t="s">
        <v>103</v>
      </c>
      <c r="BS948" t="s">
        <v>16662</v>
      </c>
      <c r="BT948" t="str">
        <f>HYPERLINK("https%3A%2F%2Fwww.webofscience.com%2Fwos%2Fwoscc%2Ffull-record%2FWOS:000265625200002","View Full Record in Web of Science")</f>
        <v>View Full Record in Web of Science</v>
      </c>
    </row>
    <row r="949" spans="1:72" x14ac:dyDescent="0.15">
      <c r="A949" t="s">
        <v>72</v>
      </c>
      <c r="B949" t="s">
        <v>16663</v>
      </c>
      <c r="C949" t="s">
        <v>74</v>
      </c>
      <c r="D949" t="s">
        <v>74</v>
      </c>
      <c r="E949" t="s">
        <v>74</v>
      </c>
      <c r="F949" t="s">
        <v>16664</v>
      </c>
      <c r="G949" t="s">
        <v>74</v>
      </c>
      <c r="H949" t="s">
        <v>74</v>
      </c>
      <c r="I949" t="s">
        <v>16665</v>
      </c>
      <c r="J949" t="s">
        <v>567</v>
      </c>
      <c r="K949" t="s">
        <v>74</v>
      </c>
      <c r="L949" t="s">
        <v>74</v>
      </c>
      <c r="M949" t="s">
        <v>78</v>
      </c>
      <c r="N949" t="s">
        <v>79</v>
      </c>
      <c r="O949" t="s">
        <v>74</v>
      </c>
      <c r="P949" t="s">
        <v>74</v>
      </c>
      <c r="Q949" t="s">
        <v>74</v>
      </c>
      <c r="R949" t="s">
        <v>74</v>
      </c>
      <c r="S949" t="s">
        <v>74</v>
      </c>
      <c r="T949" t="s">
        <v>16666</v>
      </c>
      <c r="U949" t="s">
        <v>16667</v>
      </c>
      <c r="V949" t="s">
        <v>16668</v>
      </c>
      <c r="W949" t="s">
        <v>16669</v>
      </c>
      <c r="X949" t="s">
        <v>16670</v>
      </c>
      <c r="Y949" t="s">
        <v>16671</v>
      </c>
      <c r="Z949" t="s">
        <v>16672</v>
      </c>
      <c r="AA949" t="s">
        <v>16673</v>
      </c>
      <c r="AB949" t="s">
        <v>16674</v>
      </c>
      <c r="AC949" t="s">
        <v>16675</v>
      </c>
      <c r="AD949" t="s">
        <v>16676</v>
      </c>
      <c r="AE949" t="s">
        <v>16677</v>
      </c>
      <c r="AF949" t="s">
        <v>74</v>
      </c>
      <c r="AG949">
        <v>36</v>
      </c>
      <c r="AH949">
        <v>11</v>
      </c>
      <c r="AI949">
        <v>12</v>
      </c>
      <c r="AJ949">
        <v>0</v>
      </c>
      <c r="AK949">
        <v>11</v>
      </c>
      <c r="AL949" t="s">
        <v>577</v>
      </c>
      <c r="AM949" t="s">
        <v>578</v>
      </c>
      <c r="AN949" t="s">
        <v>579</v>
      </c>
      <c r="AO949" t="s">
        <v>580</v>
      </c>
      <c r="AP949" t="s">
        <v>581</v>
      </c>
      <c r="AQ949" t="s">
        <v>74</v>
      </c>
      <c r="AR949" t="s">
        <v>582</v>
      </c>
      <c r="AS949" t="s">
        <v>583</v>
      </c>
      <c r="AT949" t="s">
        <v>74</v>
      </c>
      <c r="AU949">
        <v>2009</v>
      </c>
      <c r="AV949">
        <v>378</v>
      </c>
      <c r="AW949" t="s">
        <v>74</v>
      </c>
      <c r="AX949" t="s">
        <v>74</v>
      </c>
      <c r="AY949" t="s">
        <v>74</v>
      </c>
      <c r="AZ949" t="s">
        <v>74</v>
      </c>
      <c r="BA949" t="s">
        <v>74</v>
      </c>
      <c r="BB949">
        <v>153</v>
      </c>
      <c r="BC949">
        <v>160</v>
      </c>
      <c r="BD949" t="s">
        <v>74</v>
      </c>
      <c r="BE949" t="s">
        <v>16678</v>
      </c>
      <c r="BF949" t="str">
        <f>HYPERLINK("http://dx.doi.org/10.3354/meps07858","http://dx.doi.org/10.3354/meps07858")</f>
        <v>http://dx.doi.org/10.3354/meps07858</v>
      </c>
      <c r="BG949" t="s">
        <v>74</v>
      </c>
      <c r="BH949" t="s">
        <v>74</v>
      </c>
      <c r="BI949">
        <v>8</v>
      </c>
      <c r="BJ949" t="s">
        <v>586</v>
      </c>
      <c r="BK949" t="s">
        <v>100</v>
      </c>
      <c r="BL949" t="s">
        <v>587</v>
      </c>
      <c r="BM949" t="s">
        <v>16679</v>
      </c>
      <c r="BN949" t="s">
        <v>74</v>
      </c>
      <c r="BO949" t="s">
        <v>839</v>
      </c>
      <c r="BP949" t="s">
        <v>74</v>
      </c>
      <c r="BQ949" t="s">
        <v>74</v>
      </c>
      <c r="BR949" t="s">
        <v>103</v>
      </c>
      <c r="BS949" t="s">
        <v>16680</v>
      </c>
      <c r="BT949" t="str">
        <f>HYPERLINK("https%3A%2F%2Fwww.webofscience.com%2Fwos%2Fwoscc%2Ffull-record%2FWOS:000264955300015","View Full Record in Web of Science")</f>
        <v>View Full Record in Web of Science</v>
      </c>
    </row>
    <row r="950" spans="1:72" x14ac:dyDescent="0.15">
      <c r="A950" t="s">
        <v>72</v>
      </c>
      <c r="B950" t="s">
        <v>16681</v>
      </c>
      <c r="C950" t="s">
        <v>74</v>
      </c>
      <c r="D950" t="s">
        <v>74</v>
      </c>
      <c r="E950" t="s">
        <v>74</v>
      </c>
      <c r="F950" t="s">
        <v>16682</v>
      </c>
      <c r="G950" t="s">
        <v>74</v>
      </c>
      <c r="H950" t="s">
        <v>74</v>
      </c>
      <c r="I950" t="s">
        <v>16683</v>
      </c>
      <c r="J950" t="s">
        <v>567</v>
      </c>
      <c r="K950" t="s">
        <v>74</v>
      </c>
      <c r="L950" t="s">
        <v>74</v>
      </c>
      <c r="M950" t="s">
        <v>78</v>
      </c>
      <c r="N950" t="s">
        <v>79</v>
      </c>
      <c r="O950" t="s">
        <v>74</v>
      </c>
      <c r="P950" t="s">
        <v>74</v>
      </c>
      <c r="Q950" t="s">
        <v>74</v>
      </c>
      <c r="R950" t="s">
        <v>74</v>
      </c>
      <c r="S950" t="s">
        <v>74</v>
      </c>
      <c r="T950" t="s">
        <v>16684</v>
      </c>
      <c r="U950" t="s">
        <v>16685</v>
      </c>
      <c r="V950" t="s">
        <v>16686</v>
      </c>
      <c r="W950" t="s">
        <v>16687</v>
      </c>
      <c r="X950" t="s">
        <v>16688</v>
      </c>
      <c r="Y950" t="s">
        <v>16689</v>
      </c>
      <c r="Z950" t="s">
        <v>16690</v>
      </c>
      <c r="AA950" t="s">
        <v>74</v>
      </c>
      <c r="AB950" t="s">
        <v>74</v>
      </c>
      <c r="AC950" t="s">
        <v>16691</v>
      </c>
      <c r="AD950" t="s">
        <v>1026</v>
      </c>
      <c r="AE950" t="s">
        <v>16692</v>
      </c>
      <c r="AF950" t="s">
        <v>74</v>
      </c>
      <c r="AG950">
        <v>58</v>
      </c>
      <c r="AH950">
        <v>9</v>
      </c>
      <c r="AI950">
        <v>14</v>
      </c>
      <c r="AJ950">
        <v>0</v>
      </c>
      <c r="AK950">
        <v>5</v>
      </c>
      <c r="AL950" t="s">
        <v>577</v>
      </c>
      <c r="AM950" t="s">
        <v>578</v>
      </c>
      <c r="AN950" t="s">
        <v>579</v>
      </c>
      <c r="AO950" t="s">
        <v>580</v>
      </c>
      <c r="AP950" t="s">
        <v>581</v>
      </c>
      <c r="AQ950" t="s">
        <v>74</v>
      </c>
      <c r="AR950" t="s">
        <v>582</v>
      </c>
      <c r="AS950" t="s">
        <v>583</v>
      </c>
      <c r="AT950" t="s">
        <v>74</v>
      </c>
      <c r="AU950">
        <v>2009</v>
      </c>
      <c r="AV950">
        <v>378</v>
      </c>
      <c r="AW950" t="s">
        <v>74</v>
      </c>
      <c r="AX950" t="s">
        <v>74</v>
      </c>
      <c r="AY950" t="s">
        <v>74</v>
      </c>
      <c r="AZ950" t="s">
        <v>74</v>
      </c>
      <c r="BA950" t="s">
        <v>74</v>
      </c>
      <c r="BB950">
        <v>187</v>
      </c>
      <c r="BC950">
        <v>197</v>
      </c>
      <c r="BD950" t="s">
        <v>74</v>
      </c>
      <c r="BE950" t="s">
        <v>16693</v>
      </c>
      <c r="BF950" t="str">
        <f>HYPERLINK("http://dx.doi.org/10.3354/meps07861","http://dx.doi.org/10.3354/meps07861")</f>
        <v>http://dx.doi.org/10.3354/meps07861</v>
      </c>
      <c r="BG950" t="s">
        <v>74</v>
      </c>
      <c r="BH950" t="s">
        <v>74</v>
      </c>
      <c r="BI950">
        <v>11</v>
      </c>
      <c r="BJ950" t="s">
        <v>586</v>
      </c>
      <c r="BK950" t="s">
        <v>100</v>
      </c>
      <c r="BL950" t="s">
        <v>587</v>
      </c>
      <c r="BM950" t="s">
        <v>16679</v>
      </c>
      <c r="BN950" t="s">
        <v>74</v>
      </c>
      <c r="BO950" t="s">
        <v>1036</v>
      </c>
      <c r="BP950" t="s">
        <v>74</v>
      </c>
      <c r="BQ950" t="s">
        <v>74</v>
      </c>
      <c r="BR950" t="s">
        <v>103</v>
      </c>
      <c r="BS950" t="s">
        <v>16694</v>
      </c>
      <c r="BT950" t="str">
        <f>HYPERLINK("https%3A%2F%2Fwww.webofscience.com%2Fwos%2Fwoscc%2Ffull-record%2FWOS:000264955300018","View Full Record in Web of Science")</f>
        <v>View Full Record in Web of Science</v>
      </c>
    </row>
    <row r="951" spans="1:72" x14ac:dyDescent="0.15">
      <c r="A951" t="s">
        <v>72</v>
      </c>
      <c r="B951" t="s">
        <v>16695</v>
      </c>
      <c r="C951" t="s">
        <v>74</v>
      </c>
      <c r="D951" t="s">
        <v>74</v>
      </c>
      <c r="E951" t="s">
        <v>74</v>
      </c>
      <c r="F951" t="s">
        <v>16696</v>
      </c>
      <c r="G951" t="s">
        <v>74</v>
      </c>
      <c r="H951" t="s">
        <v>74</v>
      </c>
      <c r="I951" t="s">
        <v>16697</v>
      </c>
      <c r="J951" t="s">
        <v>567</v>
      </c>
      <c r="K951" t="s">
        <v>74</v>
      </c>
      <c r="L951" t="s">
        <v>74</v>
      </c>
      <c r="M951" t="s">
        <v>78</v>
      </c>
      <c r="N951" t="s">
        <v>79</v>
      </c>
      <c r="O951" t="s">
        <v>74</v>
      </c>
      <c r="P951" t="s">
        <v>74</v>
      </c>
      <c r="Q951" t="s">
        <v>74</v>
      </c>
      <c r="R951" t="s">
        <v>74</v>
      </c>
      <c r="S951" t="s">
        <v>74</v>
      </c>
      <c r="T951" t="s">
        <v>16698</v>
      </c>
      <c r="U951" t="s">
        <v>16699</v>
      </c>
      <c r="V951" t="s">
        <v>16700</v>
      </c>
      <c r="W951" t="s">
        <v>16701</v>
      </c>
      <c r="X951" t="s">
        <v>16702</v>
      </c>
      <c r="Y951" t="s">
        <v>16703</v>
      </c>
      <c r="Z951" t="s">
        <v>16704</v>
      </c>
      <c r="AA951" t="s">
        <v>16705</v>
      </c>
      <c r="AB951" t="s">
        <v>16706</v>
      </c>
      <c r="AC951" t="s">
        <v>16707</v>
      </c>
      <c r="AD951" t="s">
        <v>2716</v>
      </c>
      <c r="AE951" t="s">
        <v>16708</v>
      </c>
      <c r="AF951" t="s">
        <v>74</v>
      </c>
      <c r="AG951">
        <v>43</v>
      </c>
      <c r="AH951">
        <v>32</v>
      </c>
      <c r="AI951">
        <v>36</v>
      </c>
      <c r="AJ951">
        <v>0</v>
      </c>
      <c r="AK951">
        <v>26</v>
      </c>
      <c r="AL951" t="s">
        <v>577</v>
      </c>
      <c r="AM951" t="s">
        <v>578</v>
      </c>
      <c r="AN951" t="s">
        <v>579</v>
      </c>
      <c r="AO951" t="s">
        <v>580</v>
      </c>
      <c r="AP951" t="s">
        <v>581</v>
      </c>
      <c r="AQ951" t="s">
        <v>74</v>
      </c>
      <c r="AR951" t="s">
        <v>582</v>
      </c>
      <c r="AS951" t="s">
        <v>583</v>
      </c>
      <c r="AT951" t="s">
        <v>74</v>
      </c>
      <c r="AU951">
        <v>2009</v>
      </c>
      <c r="AV951">
        <v>378</v>
      </c>
      <c r="AW951" t="s">
        <v>74</v>
      </c>
      <c r="AX951" t="s">
        <v>74</v>
      </c>
      <c r="AY951" t="s">
        <v>74</v>
      </c>
      <c r="AZ951" t="s">
        <v>74</v>
      </c>
      <c r="BA951" t="s">
        <v>74</v>
      </c>
      <c r="BB951">
        <v>199</v>
      </c>
      <c r="BC951">
        <v>209</v>
      </c>
      <c r="BD951" t="s">
        <v>74</v>
      </c>
      <c r="BE951" t="s">
        <v>16709</v>
      </c>
      <c r="BF951" t="str">
        <f>HYPERLINK("http://dx.doi.org/10.3354/meps07795","http://dx.doi.org/10.3354/meps07795")</f>
        <v>http://dx.doi.org/10.3354/meps07795</v>
      </c>
      <c r="BG951" t="s">
        <v>74</v>
      </c>
      <c r="BH951" t="s">
        <v>74</v>
      </c>
      <c r="BI951">
        <v>11</v>
      </c>
      <c r="BJ951" t="s">
        <v>586</v>
      </c>
      <c r="BK951" t="s">
        <v>100</v>
      </c>
      <c r="BL951" t="s">
        <v>587</v>
      </c>
      <c r="BM951" t="s">
        <v>16679</v>
      </c>
      <c r="BN951" t="s">
        <v>74</v>
      </c>
      <c r="BO951" t="s">
        <v>499</v>
      </c>
      <c r="BP951" t="s">
        <v>74</v>
      </c>
      <c r="BQ951" t="s">
        <v>74</v>
      </c>
      <c r="BR951" t="s">
        <v>103</v>
      </c>
      <c r="BS951" t="s">
        <v>16710</v>
      </c>
      <c r="BT951" t="str">
        <f>HYPERLINK("https%3A%2F%2Fwww.webofscience.com%2Fwos%2Fwoscc%2Ffull-record%2FWOS:000264955300019","View Full Record in Web of Science")</f>
        <v>View Full Record in Web of Science</v>
      </c>
    </row>
    <row r="952" spans="1:72" x14ac:dyDescent="0.15">
      <c r="A952" t="s">
        <v>72</v>
      </c>
      <c r="B952" t="s">
        <v>16711</v>
      </c>
      <c r="C952" t="s">
        <v>74</v>
      </c>
      <c r="D952" t="s">
        <v>74</v>
      </c>
      <c r="E952" t="s">
        <v>74</v>
      </c>
      <c r="F952" t="s">
        <v>16712</v>
      </c>
      <c r="G952" t="s">
        <v>74</v>
      </c>
      <c r="H952" t="s">
        <v>74</v>
      </c>
      <c r="I952" t="s">
        <v>16713</v>
      </c>
      <c r="J952" t="s">
        <v>567</v>
      </c>
      <c r="K952" t="s">
        <v>74</v>
      </c>
      <c r="L952" t="s">
        <v>74</v>
      </c>
      <c r="M952" t="s">
        <v>78</v>
      </c>
      <c r="N952" t="s">
        <v>79</v>
      </c>
      <c r="O952" t="s">
        <v>74</v>
      </c>
      <c r="P952" t="s">
        <v>74</v>
      </c>
      <c r="Q952" t="s">
        <v>74</v>
      </c>
      <c r="R952" t="s">
        <v>74</v>
      </c>
      <c r="S952" t="s">
        <v>74</v>
      </c>
      <c r="T952" t="s">
        <v>16714</v>
      </c>
      <c r="U952" t="s">
        <v>16715</v>
      </c>
      <c r="V952" t="s">
        <v>16716</v>
      </c>
      <c r="W952" t="s">
        <v>16717</v>
      </c>
      <c r="X952" t="s">
        <v>16718</v>
      </c>
      <c r="Y952" t="s">
        <v>16719</v>
      </c>
      <c r="Z952" t="s">
        <v>16720</v>
      </c>
      <c r="AA952" t="s">
        <v>74</v>
      </c>
      <c r="AB952" t="s">
        <v>74</v>
      </c>
      <c r="AC952" t="s">
        <v>16721</v>
      </c>
      <c r="AD952" t="s">
        <v>16722</v>
      </c>
      <c r="AE952" t="s">
        <v>16723</v>
      </c>
      <c r="AF952" t="s">
        <v>74</v>
      </c>
      <c r="AG952">
        <v>54</v>
      </c>
      <c r="AH952">
        <v>19</v>
      </c>
      <c r="AI952">
        <v>20</v>
      </c>
      <c r="AJ952">
        <v>0</v>
      </c>
      <c r="AK952">
        <v>8</v>
      </c>
      <c r="AL952" t="s">
        <v>577</v>
      </c>
      <c r="AM952" t="s">
        <v>578</v>
      </c>
      <c r="AN952" t="s">
        <v>579</v>
      </c>
      <c r="AO952" t="s">
        <v>580</v>
      </c>
      <c r="AP952" t="s">
        <v>74</v>
      </c>
      <c r="AQ952" t="s">
        <v>74</v>
      </c>
      <c r="AR952" t="s">
        <v>582</v>
      </c>
      <c r="AS952" t="s">
        <v>583</v>
      </c>
      <c r="AT952" t="s">
        <v>74</v>
      </c>
      <c r="AU952">
        <v>2009</v>
      </c>
      <c r="AV952">
        <v>377</v>
      </c>
      <c r="AW952" t="s">
        <v>74</v>
      </c>
      <c r="AX952" t="s">
        <v>74</v>
      </c>
      <c r="AY952" t="s">
        <v>74</v>
      </c>
      <c r="AZ952" t="s">
        <v>74</v>
      </c>
      <c r="BA952" t="s">
        <v>74</v>
      </c>
      <c r="BB952">
        <v>51</v>
      </c>
      <c r="BC952">
        <v>62</v>
      </c>
      <c r="BD952" t="s">
        <v>74</v>
      </c>
      <c r="BE952" t="s">
        <v>16724</v>
      </c>
      <c r="BF952" t="str">
        <f>HYPERLINK("http://dx.doi.org/10.3354/meps07840","http://dx.doi.org/10.3354/meps07840")</f>
        <v>http://dx.doi.org/10.3354/meps07840</v>
      </c>
      <c r="BG952" t="s">
        <v>74</v>
      </c>
      <c r="BH952" t="s">
        <v>74</v>
      </c>
      <c r="BI952">
        <v>12</v>
      </c>
      <c r="BJ952" t="s">
        <v>586</v>
      </c>
      <c r="BK952" t="s">
        <v>100</v>
      </c>
      <c r="BL952" t="s">
        <v>587</v>
      </c>
      <c r="BM952" t="s">
        <v>16725</v>
      </c>
      <c r="BN952" t="s">
        <v>74</v>
      </c>
      <c r="BO952" t="s">
        <v>499</v>
      </c>
      <c r="BP952" t="s">
        <v>74</v>
      </c>
      <c r="BQ952" t="s">
        <v>74</v>
      </c>
      <c r="BR952" t="s">
        <v>103</v>
      </c>
      <c r="BS952" t="s">
        <v>16726</v>
      </c>
      <c r="BT952" t="str">
        <f>HYPERLINK("https%3A%2F%2Fwww.webofscience.com%2Fwos%2Fwoscc%2Ffull-record%2FWOS:000264557300006","View Full Record in Web of Science")</f>
        <v>View Full Record in Web of Science</v>
      </c>
    </row>
    <row r="953" spans="1:72" x14ac:dyDescent="0.15">
      <c r="A953" t="s">
        <v>72</v>
      </c>
      <c r="B953" t="s">
        <v>16727</v>
      </c>
      <c r="C953" t="s">
        <v>74</v>
      </c>
      <c r="D953" t="s">
        <v>74</v>
      </c>
      <c r="E953" t="s">
        <v>74</v>
      </c>
      <c r="F953" t="s">
        <v>16728</v>
      </c>
      <c r="G953" t="s">
        <v>74</v>
      </c>
      <c r="H953" t="s">
        <v>74</v>
      </c>
      <c r="I953" t="s">
        <v>16729</v>
      </c>
      <c r="J953" t="s">
        <v>567</v>
      </c>
      <c r="K953" t="s">
        <v>74</v>
      </c>
      <c r="L953" t="s">
        <v>74</v>
      </c>
      <c r="M953" t="s">
        <v>78</v>
      </c>
      <c r="N953" t="s">
        <v>79</v>
      </c>
      <c r="O953" t="s">
        <v>74</v>
      </c>
      <c r="P953" t="s">
        <v>74</v>
      </c>
      <c r="Q953" t="s">
        <v>74</v>
      </c>
      <c r="R953" t="s">
        <v>74</v>
      </c>
      <c r="S953" t="s">
        <v>74</v>
      </c>
      <c r="T953" t="s">
        <v>16730</v>
      </c>
      <c r="U953" t="s">
        <v>16731</v>
      </c>
      <c r="V953" t="s">
        <v>16732</v>
      </c>
      <c r="W953" t="s">
        <v>16733</v>
      </c>
      <c r="X953" t="s">
        <v>16734</v>
      </c>
      <c r="Y953" t="s">
        <v>16735</v>
      </c>
      <c r="Z953" t="s">
        <v>16736</v>
      </c>
      <c r="AA953" t="s">
        <v>16737</v>
      </c>
      <c r="AB953" t="s">
        <v>16738</v>
      </c>
      <c r="AC953" t="s">
        <v>16739</v>
      </c>
      <c r="AD953" t="s">
        <v>16740</v>
      </c>
      <c r="AE953" t="s">
        <v>16741</v>
      </c>
      <c r="AF953" t="s">
        <v>74</v>
      </c>
      <c r="AG953">
        <v>99</v>
      </c>
      <c r="AH953">
        <v>23</v>
      </c>
      <c r="AI953">
        <v>25</v>
      </c>
      <c r="AJ953">
        <v>0</v>
      </c>
      <c r="AK953">
        <v>8</v>
      </c>
      <c r="AL953" t="s">
        <v>577</v>
      </c>
      <c r="AM953" t="s">
        <v>578</v>
      </c>
      <c r="AN953" t="s">
        <v>579</v>
      </c>
      <c r="AO953" t="s">
        <v>580</v>
      </c>
      <c r="AP953" t="s">
        <v>581</v>
      </c>
      <c r="AQ953" t="s">
        <v>74</v>
      </c>
      <c r="AR953" t="s">
        <v>582</v>
      </c>
      <c r="AS953" t="s">
        <v>583</v>
      </c>
      <c r="AT953" t="s">
        <v>74</v>
      </c>
      <c r="AU953">
        <v>2009</v>
      </c>
      <c r="AV953">
        <v>376</v>
      </c>
      <c r="AW953" t="s">
        <v>74</v>
      </c>
      <c r="AX953" t="s">
        <v>74</v>
      </c>
      <c r="AY953" t="s">
        <v>74</v>
      </c>
      <c r="AZ953" t="s">
        <v>74</v>
      </c>
      <c r="BA953" t="s">
        <v>74</v>
      </c>
      <c r="BB953">
        <v>269</v>
      </c>
      <c r="BC953">
        <v>281</v>
      </c>
      <c r="BD953" t="s">
        <v>74</v>
      </c>
      <c r="BE953" t="s">
        <v>16742</v>
      </c>
      <c r="BF953" t="str">
        <f>HYPERLINK("http://dx.doi.org/10.3354/meps07831","http://dx.doi.org/10.3354/meps07831")</f>
        <v>http://dx.doi.org/10.3354/meps07831</v>
      </c>
      <c r="BG953" t="s">
        <v>74</v>
      </c>
      <c r="BH953" t="s">
        <v>74</v>
      </c>
      <c r="BI953">
        <v>13</v>
      </c>
      <c r="BJ953" t="s">
        <v>586</v>
      </c>
      <c r="BK953" t="s">
        <v>100</v>
      </c>
      <c r="BL953" t="s">
        <v>587</v>
      </c>
      <c r="BM953" t="s">
        <v>16743</v>
      </c>
      <c r="BN953" t="s">
        <v>74</v>
      </c>
      <c r="BO953" t="s">
        <v>499</v>
      </c>
      <c r="BP953" t="s">
        <v>74</v>
      </c>
      <c r="BQ953" t="s">
        <v>74</v>
      </c>
      <c r="BR953" t="s">
        <v>103</v>
      </c>
      <c r="BS953" t="s">
        <v>16744</v>
      </c>
      <c r="BT953" t="str">
        <f>HYPERLINK("https%3A%2F%2Fwww.webofscience.com%2Fwos%2Fwoscc%2Ffull-record%2FWOS:000263999900022","View Full Record in Web of Science")</f>
        <v>View Full Record in Web of Science</v>
      </c>
    </row>
    <row r="954" spans="1:72" x14ac:dyDescent="0.15">
      <c r="A954" t="s">
        <v>72</v>
      </c>
      <c r="B954" t="s">
        <v>16745</v>
      </c>
      <c r="C954" t="s">
        <v>74</v>
      </c>
      <c r="D954" t="s">
        <v>74</v>
      </c>
      <c r="E954" t="s">
        <v>74</v>
      </c>
      <c r="F954" t="s">
        <v>16746</v>
      </c>
      <c r="G954" t="s">
        <v>74</v>
      </c>
      <c r="H954" t="s">
        <v>74</v>
      </c>
      <c r="I954" t="s">
        <v>16747</v>
      </c>
      <c r="J954" t="s">
        <v>567</v>
      </c>
      <c r="K954" t="s">
        <v>74</v>
      </c>
      <c r="L954" t="s">
        <v>74</v>
      </c>
      <c r="M954" t="s">
        <v>78</v>
      </c>
      <c r="N954" t="s">
        <v>79</v>
      </c>
      <c r="O954" t="s">
        <v>74</v>
      </c>
      <c r="P954" t="s">
        <v>74</v>
      </c>
      <c r="Q954" t="s">
        <v>74</v>
      </c>
      <c r="R954" t="s">
        <v>74</v>
      </c>
      <c r="S954" t="s">
        <v>74</v>
      </c>
      <c r="T954" t="s">
        <v>16748</v>
      </c>
      <c r="U954" t="s">
        <v>16749</v>
      </c>
      <c r="V954" t="s">
        <v>16750</v>
      </c>
      <c r="W954" t="s">
        <v>16751</v>
      </c>
      <c r="X954" t="s">
        <v>16752</v>
      </c>
      <c r="Y954" t="s">
        <v>16753</v>
      </c>
      <c r="Z954" t="s">
        <v>16754</v>
      </c>
      <c r="AA954" t="s">
        <v>74</v>
      </c>
      <c r="AB954" t="s">
        <v>16755</v>
      </c>
      <c r="AC954" t="s">
        <v>16756</v>
      </c>
      <c r="AD954" t="s">
        <v>16757</v>
      </c>
      <c r="AE954" t="s">
        <v>16758</v>
      </c>
      <c r="AF954" t="s">
        <v>74</v>
      </c>
      <c r="AG954">
        <v>57</v>
      </c>
      <c r="AH954">
        <v>89</v>
      </c>
      <c r="AI954">
        <v>105</v>
      </c>
      <c r="AJ954">
        <v>4</v>
      </c>
      <c r="AK954">
        <v>40</v>
      </c>
      <c r="AL954" t="s">
        <v>577</v>
      </c>
      <c r="AM954" t="s">
        <v>578</v>
      </c>
      <c r="AN954" t="s">
        <v>579</v>
      </c>
      <c r="AO954" t="s">
        <v>580</v>
      </c>
      <c r="AP954" t="s">
        <v>581</v>
      </c>
      <c r="AQ954" t="s">
        <v>74</v>
      </c>
      <c r="AR954" t="s">
        <v>582</v>
      </c>
      <c r="AS954" t="s">
        <v>583</v>
      </c>
      <c r="AT954" t="s">
        <v>74</v>
      </c>
      <c r="AU954">
        <v>2009</v>
      </c>
      <c r="AV954">
        <v>375</v>
      </c>
      <c r="AW954" t="s">
        <v>74</v>
      </c>
      <c r="AX954" t="s">
        <v>74</v>
      </c>
      <c r="AY954" t="s">
        <v>74</v>
      </c>
      <c r="AZ954" t="s">
        <v>74</v>
      </c>
      <c r="BA954" t="s">
        <v>74</v>
      </c>
      <c r="BB954">
        <v>263</v>
      </c>
      <c r="BC954">
        <v>275</v>
      </c>
      <c r="BD954" t="s">
        <v>74</v>
      </c>
      <c r="BE954" t="s">
        <v>16759</v>
      </c>
      <c r="BF954" t="str">
        <f>HYPERLINK("http://dx.doi.org/10.3354/meps07753","http://dx.doi.org/10.3354/meps07753")</f>
        <v>http://dx.doi.org/10.3354/meps07753</v>
      </c>
      <c r="BG954" t="s">
        <v>74</v>
      </c>
      <c r="BH954" t="s">
        <v>74</v>
      </c>
      <c r="BI954">
        <v>13</v>
      </c>
      <c r="BJ954" t="s">
        <v>586</v>
      </c>
      <c r="BK954" t="s">
        <v>100</v>
      </c>
      <c r="BL954" t="s">
        <v>587</v>
      </c>
      <c r="BM954" t="s">
        <v>16760</v>
      </c>
      <c r="BN954" t="s">
        <v>74</v>
      </c>
      <c r="BO954" t="s">
        <v>499</v>
      </c>
      <c r="BP954" t="s">
        <v>74</v>
      </c>
      <c r="BQ954" t="s">
        <v>74</v>
      </c>
      <c r="BR954" t="s">
        <v>103</v>
      </c>
      <c r="BS954" t="s">
        <v>16761</v>
      </c>
      <c r="BT954" t="str">
        <f>HYPERLINK("https%3A%2F%2Fwww.webofscience.com%2Fwos%2Fwoscc%2Ffull-record%2FWOS:000263609600023","View Full Record in Web of Science")</f>
        <v>View Full Record in Web of Science</v>
      </c>
    </row>
    <row r="955" spans="1:72" x14ac:dyDescent="0.15">
      <c r="A955" t="s">
        <v>72</v>
      </c>
      <c r="B955" t="s">
        <v>16762</v>
      </c>
      <c r="C955" t="s">
        <v>74</v>
      </c>
      <c r="D955" t="s">
        <v>74</v>
      </c>
      <c r="E955" t="s">
        <v>74</v>
      </c>
      <c r="F955" t="s">
        <v>16763</v>
      </c>
      <c r="G955" t="s">
        <v>74</v>
      </c>
      <c r="H955" t="s">
        <v>74</v>
      </c>
      <c r="I955" t="s">
        <v>16764</v>
      </c>
      <c r="J955" t="s">
        <v>567</v>
      </c>
      <c r="K955" t="s">
        <v>74</v>
      </c>
      <c r="L955" t="s">
        <v>74</v>
      </c>
      <c r="M955" t="s">
        <v>78</v>
      </c>
      <c r="N955" t="s">
        <v>79</v>
      </c>
      <c r="O955" t="s">
        <v>74</v>
      </c>
      <c r="P955" t="s">
        <v>74</v>
      </c>
      <c r="Q955" t="s">
        <v>74</v>
      </c>
      <c r="R955" t="s">
        <v>74</v>
      </c>
      <c r="S955" t="s">
        <v>74</v>
      </c>
      <c r="T955" t="s">
        <v>16765</v>
      </c>
      <c r="U955" t="s">
        <v>16766</v>
      </c>
      <c r="V955" t="s">
        <v>16767</v>
      </c>
      <c r="W955" t="s">
        <v>16768</v>
      </c>
      <c r="X955" t="s">
        <v>16769</v>
      </c>
      <c r="Y955" t="s">
        <v>16770</v>
      </c>
      <c r="Z955" t="s">
        <v>16771</v>
      </c>
      <c r="AA955" t="s">
        <v>16772</v>
      </c>
      <c r="AB955" t="s">
        <v>16773</v>
      </c>
      <c r="AC955" t="s">
        <v>16774</v>
      </c>
      <c r="AD955" t="s">
        <v>16775</v>
      </c>
      <c r="AE955" t="s">
        <v>16776</v>
      </c>
      <c r="AF955" t="s">
        <v>74</v>
      </c>
      <c r="AG955">
        <v>71</v>
      </c>
      <c r="AH955">
        <v>96</v>
      </c>
      <c r="AI955">
        <v>103</v>
      </c>
      <c r="AJ955">
        <v>1</v>
      </c>
      <c r="AK955">
        <v>42</v>
      </c>
      <c r="AL955" t="s">
        <v>577</v>
      </c>
      <c r="AM955" t="s">
        <v>578</v>
      </c>
      <c r="AN955" t="s">
        <v>579</v>
      </c>
      <c r="AO955" t="s">
        <v>580</v>
      </c>
      <c r="AP955" t="s">
        <v>581</v>
      </c>
      <c r="AQ955" t="s">
        <v>74</v>
      </c>
      <c r="AR955" t="s">
        <v>582</v>
      </c>
      <c r="AS955" t="s">
        <v>583</v>
      </c>
      <c r="AT955" t="s">
        <v>74</v>
      </c>
      <c r="AU955">
        <v>2009</v>
      </c>
      <c r="AV955">
        <v>375</v>
      </c>
      <c r="AW955" t="s">
        <v>74</v>
      </c>
      <c r="AX955" t="s">
        <v>74</v>
      </c>
      <c r="AY955" t="s">
        <v>74</v>
      </c>
      <c r="AZ955" t="s">
        <v>74</v>
      </c>
      <c r="BA955" t="s">
        <v>74</v>
      </c>
      <c r="BB955">
        <v>277</v>
      </c>
      <c r="BC955">
        <v>288</v>
      </c>
      <c r="BD955" t="s">
        <v>74</v>
      </c>
      <c r="BE955" t="s">
        <v>16777</v>
      </c>
      <c r="BF955" t="str">
        <f>HYPERLINK("http://dx.doi.org/10.3354/meps07784","http://dx.doi.org/10.3354/meps07784")</f>
        <v>http://dx.doi.org/10.3354/meps07784</v>
      </c>
      <c r="BG955" t="s">
        <v>74</v>
      </c>
      <c r="BH955" t="s">
        <v>74</v>
      </c>
      <c r="BI955">
        <v>12</v>
      </c>
      <c r="BJ955" t="s">
        <v>586</v>
      </c>
      <c r="BK955" t="s">
        <v>100</v>
      </c>
      <c r="BL955" t="s">
        <v>587</v>
      </c>
      <c r="BM955" t="s">
        <v>16760</v>
      </c>
      <c r="BN955" t="s">
        <v>74</v>
      </c>
      <c r="BO955" t="s">
        <v>287</v>
      </c>
      <c r="BP955" t="s">
        <v>74</v>
      </c>
      <c r="BQ955" t="s">
        <v>74</v>
      </c>
      <c r="BR955" t="s">
        <v>103</v>
      </c>
      <c r="BS955" t="s">
        <v>16778</v>
      </c>
      <c r="BT955" t="str">
        <f>HYPERLINK("https%3A%2F%2Fwww.webofscience.com%2Fwos%2Fwoscc%2Ffull-record%2FWOS:000263609600024","View Full Record in Web of Science")</f>
        <v>View Full Record in Web of Science</v>
      </c>
    </row>
    <row r="956" spans="1:72" x14ac:dyDescent="0.15">
      <c r="A956" t="s">
        <v>72</v>
      </c>
      <c r="B956" t="s">
        <v>16779</v>
      </c>
      <c r="C956" t="s">
        <v>74</v>
      </c>
      <c r="D956" t="s">
        <v>74</v>
      </c>
      <c r="E956" t="s">
        <v>74</v>
      </c>
      <c r="F956" t="s">
        <v>16780</v>
      </c>
      <c r="G956" t="s">
        <v>74</v>
      </c>
      <c r="H956" t="s">
        <v>74</v>
      </c>
      <c r="I956" t="s">
        <v>16781</v>
      </c>
      <c r="J956" t="s">
        <v>567</v>
      </c>
      <c r="K956" t="s">
        <v>74</v>
      </c>
      <c r="L956" t="s">
        <v>74</v>
      </c>
      <c r="M956" t="s">
        <v>78</v>
      </c>
      <c r="N956" t="s">
        <v>79</v>
      </c>
      <c r="O956" t="s">
        <v>74</v>
      </c>
      <c r="P956" t="s">
        <v>74</v>
      </c>
      <c r="Q956" t="s">
        <v>74</v>
      </c>
      <c r="R956" t="s">
        <v>74</v>
      </c>
      <c r="S956" t="s">
        <v>74</v>
      </c>
      <c r="T956" t="s">
        <v>16782</v>
      </c>
      <c r="U956" t="s">
        <v>16783</v>
      </c>
      <c r="V956" t="s">
        <v>16784</v>
      </c>
      <c r="W956" t="s">
        <v>16785</v>
      </c>
      <c r="X956" t="s">
        <v>1628</v>
      </c>
      <c r="Y956" t="s">
        <v>16786</v>
      </c>
      <c r="Z956" t="s">
        <v>16787</v>
      </c>
      <c r="AA956" t="s">
        <v>16788</v>
      </c>
      <c r="AB956" t="s">
        <v>16789</v>
      </c>
      <c r="AC956" t="s">
        <v>74</v>
      </c>
      <c r="AD956" t="s">
        <v>74</v>
      </c>
      <c r="AE956" t="s">
        <v>74</v>
      </c>
      <c r="AF956" t="s">
        <v>74</v>
      </c>
      <c r="AG956">
        <v>46</v>
      </c>
      <c r="AH956">
        <v>2</v>
      </c>
      <c r="AI956">
        <v>2</v>
      </c>
      <c r="AJ956">
        <v>0</v>
      </c>
      <c r="AK956">
        <v>6</v>
      </c>
      <c r="AL956" t="s">
        <v>577</v>
      </c>
      <c r="AM956" t="s">
        <v>578</v>
      </c>
      <c r="AN956" t="s">
        <v>579</v>
      </c>
      <c r="AO956" t="s">
        <v>580</v>
      </c>
      <c r="AP956" t="s">
        <v>74</v>
      </c>
      <c r="AQ956" t="s">
        <v>74</v>
      </c>
      <c r="AR956" t="s">
        <v>582</v>
      </c>
      <c r="AS956" t="s">
        <v>583</v>
      </c>
      <c r="AT956" t="s">
        <v>74</v>
      </c>
      <c r="AU956">
        <v>2009</v>
      </c>
      <c r="AV956">
        <v>374</v>
      </c>
      <c r="AW956" t="s">
        <v>74</v>
      </c>
      <c r="AX956" t="s">
        <v>74</v>
      </c>
      <c r="AY956" t="s">
        <v>74</v>
      </c>
      <c r="AZ956" t="s">
        <v>74</v>
      </c>
      <c r="BA956" t="s">
        <v>74</v>
      </c>
      <c r="BB956">
        <v>181</v>
      </c>
      <c r="BC956">
        <v>198</v>
      </c>
      <c r="BD956" t="s">
        <v>74</v>
      </c>
      <c r="BE956" t="s">
        <v>16790</v>
      </c>
      <c r="BF956" t="str">
        <f>HYPERLINK("http://dx.doi.org/10.3354/meps07761","http://dx.doi.org/10.3354/meps07761")</f>
        <v>http://dx.doi.org/10.3354/meps07761</v>
      </c>
      <c r="BG956" t="s">
        <v>74</v>
      </c>
      <c r="BH956" t="s">
        <v>74</v>
      </c>
      <c r="BI956">
        <v>18</v>
      </c>
      <c r="BJ956" t="s">
        <v>586</v>
      </c>
      <c r="BK956" t="s">
        <v>100</v>
      </c>
      <c r="BL956" t="s">
        <v>587</v>
      </c>
      <c r="BM956" t="s">
        <v>16791</v>
      </c>
      <c r="BN956" t="s">
        <v>74</v>
      </c>
      <c r="BO956" t="s">
        <v>499</v>
      </c>
      <c r="BP956" t="s">
        <v>74</v>
      </c>
      <c r="BQ956" t="s">
        <v>74</v>
      </c>
      <c r="BR956" t="s">
        <v>103</v>
      </c>
      <c r="BS956" t="s">
        <v>16792</v>
      </c>
      <c r="BT956" t="str">
        <f>HYPERLINK("https%3A%2F%2Fwww.webofscience.com%2Fwos%2Fwoscc%2Ffull-record%2FWOS:000263227300017","View Full Record in Web of Science")</f>
        <v>View Full Record in Web of Science</v>
      </c>
    </row>
    <row r="957" spans="1:72" x14ac:dyDescent="0.15">
      <c r="A957" t="s">
        <v>72</v>
      </c>
      <c r="B957" t="s">
        <v>16793</v>
      </c>
      <c r="C957" t="s">
        <v>74</v>
      </c>
      <c r="D957" t="s">
        <v>74</v>
      </c>
      <c r="E957" t="s">
        <v>74</v>
      </c>
      <c r="F957" t="s">
        <v>16794</v>
      </c>
      <c r="G957" t="s">
        <v>74</v>
      </c>
      <c r="H957" t="s">
        <v>74</v>
      </c>
      <c r="I957" t="s">
        <v>16795</v>
      </c>
      <c r="J957" t="s">
        <v>567</v>
      </c>
      <c r="K957" t="s">
        <v>74</v>
      </c>
      <c r="L957" t="s">
        <v>74</v>
      </c>
      <c r="M957" t="s">
        <v>78</v>
      </c>
      <c r="N957" t="s">
        <v>79</v>
      </c>
      <c r="O957" t="s">
        <v>74</v>
      </c>
      <c r="P957" t="s">
        <v>74</v>
      </c>
      <c r="Q957" t="s">
        <v>74</v>
      </c>
      <c r="R957" t="s">
        <v>74</v>
      </c>
      <c r="S957" t="s">
        <v>74</v>
      </c>
      <c r="T957" t="s">
        <v>16796</v>
      </c>
      <c r="U957" t="s">
        <v>16797</v>
      </c>
      <c r="V957" t="s">
        <v>16798</v>
      </c>
      <c r="W957" t="s">
        <v>16799</v>
      </c>
      <c r="X957" t="s">
        <v>16800</v>
      </c>
      <c r="Y957" t="s">
        <v>16801</v>
      </c>
      <c r="Z957" t="s">
        <v>16802</v>
      </c>
      <c r="AA957" t="s">
        <v>16803</v>
      </c>
      <c r="AB957" t="s">
        <v>16804</v>
      </c>
      <c r="AC957" t="s">
        <v>16805</v>
      </c>
      <c r="AD957" t="s">
        <v>16806</v>
      </c>
      <c r="AE957" t="s">
        <v>16807</v>
      </c>
      <c r="AF957" t="s">
        <v>74</v>
      </c>
      <c r="AG957">
        <v>67</v>
      </c>
      <c r="AH957">
        <v>68</v>
      </c>
      <c r="AI957">
        <v>73</v>
      </c>
      <c r="AJ957">
        <v>3</v>
      </c>
      <c r="AK957">
        <v>65</v>
      </c>
      <c r="AL957" t="s">
        <v>577</v>
      </c>
      <c r="AM957" t="s">
        <v>578</v>
      </c>
      <c r="AN957" t="s">
        <v>579</v>
      </c>
      <c r="AO957" t="s">
        <v>580</v>
      </c>
      <c r="AP957" t="s">
        <v>581</v>
      </c>
      <c r="AQ957" t="s">
        <v>74</v>
      </c>
      <c r="AR957" t="s">
        <v>582</v>
      </c>
      <c r="AS957" t="s">
        <v>583</v>
      </c>
      <c r="AT957" t="s">
        <v>74</v>
      </c>
      <c r="AU957">
        <v>2009</v>
      </c>
      <c r="AV957">
        <v>374</v>
      </c>
      <c r="AW957" t="s">
        <v>74</v>
      </c>
      <c r="AX957" t="s">
        <v>74</v>
      </c>
      <c r="AY957" t="s">
        <v>74</v>
      </c>
      <c r="AZ957" t="s">
        <v>74</v>
      </c>
      <c r="BA957" t="s">
        <v>74</v>
      </c>
      <c r="BB957">
        <v>243</v>
      </c>
      <c r="BC957">
        <v>257</v>
      </c>
      <c r="BD957" t="s">
        <v>74</v>
      </c>
      <c r="BE957" t="s">
        <v>16808</v>
      </c>
      <c r="BF957" t="str">
        <f>HYPERLINK("http://dx.doi.org/10.3354/meps07734","http://dx.doi.org/10.3354/meps07734")</f>
        <v>http://dx.doi.org/10.3354/meps07734</v>
      </c>
      <c r="BG957" t="s">
        <v>74</v>
      </c>
      <c r="BH957" t="s">
        <v>74</v>
      </c>
      <c r="BI957">
        <v>15</v>
      </c>
      <c r="BJ957" t="s">
        <v>586</v>
      </c>
      <c r="BK957" t="s">
        <v>100</v>
      </c>
      <c r="BL957" t="s">
        <v>587</v>
      </c>
      <c r="BM957" t="s">
        <v>16791</v>
      </c>
      <c r="BN957" t="s">
        <v>74</v>
      </c>
      <c r="BO957" t="s">
        <v>839</v>
      </c>
      <c r="BP957" t="s">
        <v>74</v>
      </c>
      <c r="BQ957" t="s">
        <v>74</v>
      </c>
      <c r="BR957" t="s">
        <v>103</v>
      </c>
      <c r="BS957" t="s">
        <v>16809</v>
      </c>
      <c r="BT957" t="str">
        <f>HYPERLINK("https%3A%2F%2Fwww.webofscience.com%2Fwos%2Fwoscc%2Ffull-record%2FWOS:000263227300021","View Full Record in Web of Science")</f>
        <v>View Full Record in Web of Science</v>
      </c>
    </row>
    <row r="958" spans="1:72" x14ac:dyDescent="0.15">
      <c r="A958" t="s">
        <v>72</v>
      </c>
      <c r="B958" t="s">
        <v>16810</v>
      </c>
      <c r="C958" t="s">
        <v>74</v>
      </c>
      <c r="D958" t="s">
        <v>74</v>
      </c>
      <c r="E958" t="s">
        <v>74</v>
      </c>
      <c r="F958" t="s">
        <v>16811</v>
      </c>
      <c r="G958" t="s">
        <v>74</v>
      </c>
      <c r="H958" t="s">
        <v>74</v>
      </c>
      <c r="I958" t="s">
        <v>16812</v>
      </c>
      <c r="J958" t="s">
        <v>567</v>
      </c>
      <c r="K958" t="s">
        <v>74</v>
      </c>
      <c r="L958" t="s">
        <v>74</v>
      </c>
      <c r="M958" t="s">
        <v>78</v>
      </c>
      <c r="N958" t="s">
        <v>79</v>
      </c>
      <c r="O958" t="s">
        <v>74</v>
      </c>
      <c r="P958" t="s">
        <v>74</v>
      </c>
      <c r="Q958" t="s">
        <v>74</v>
      </c>
      <c r="R958" t="s">
        <v>74</v>
      </c>
      <c r="S958" t="s">
        <v>74</v>
      </c>
      <c r="T958" t="s">
        <v>16813</v>
      </c>
      <c r="U958" t="s">
        <v>16814</v>
      </c>
      <c r="V958" t="s">
        <v>16815</v>
      </c>
      <c r="W958" t="s">
        <v>16816</v>
      </c>
      <c r="X958" t="s">
        <v>16817</v>
      </c>
      <c r="Y958" t="s">
        <v>16818</v>
      </c>
      <c r="Z958" t="s">
        <v>16819</v>
      </c>
      <c r="AA958" t="s">
        <v>16820</v>
      </c>
      <c r="AB958" t="s">
        <v>16821</v>
      </c>
      <c r="AC958" t="s">
        <v>16822</v>
      </c>
      <c r="AD958" t="s">
        <v>16823</v>
      </c>
      <c r="AE958" t="s">
        <v>16824</v>
      </c>
      <c r="AF958" t="s">
        <v>74</v>
      </c>
      <c r="AG958">
        <v>58</v>
      </c>
      <c r="AH958">
        <v>34</v>
      </c>
      <c r="AI958">
        <v>39</v>
      </c>
      <c r="AJ958">
        <v>0</v>
      </c>
      <c r="AK958">
        <v>19</v>
      </c>
      <c r="AL958" t="s">
        <v>577</v>
      </c>
      <c r="AM958" t="s">
        <v>578</v>
      </c>
      <c r="AN958" t="s">
        <v>579</v>
      </c>
      <c r="AO958" t="s">
        <v>580</v>
      </c>
      <c r="AP958" t="s">
        <v>74</v>
      </c>
      <c r="AQ958" t="s">
        <v>74</v>
      </c>
      <c r="AR958" t="s">
        <v>582</v>
      </c>
      <c r="AS958" t="s">
        <v>583</v>
      </c>
      <c r="AT958" t="s">
        <v>74</v>
      </c>
      <c r="AU958">
        <v>2009</v>
      </c>
      <c r="AV958">
        <v>374</v>
      </c>
      <c r="AW958" t="s">
        <v>74</v>
      </c>
      <c r="AX958" t="s">
        <v>74</v>
      </c>
      <c r="AY958" t="s">
        <v>74</v>
      </c>
      <c r="AZ958" t="s">
        <v>74</v>
      </c>
      <c r="BA958" t="s">
        <v>74</v>
      </c>
      <c r="BB958">
        <v>273</v>
      </c>
      <c r="BC958">
        <v>285</v>
      </c>
      <c r="BD958" t="s">
        <v>74</v>
      </c>
      <c r="BE958" t="s">
        <v>16825</v>
      </c>
      <c r="BF958" t="str">
        <f>HYPERLINK("http://dx.doi.org/10.3354/meps07750","http://dx.doi.org/10.3354/meps07750")</f>
        <v>http://dx.doi.org/10.3354/meps07750</v>
      </c>
      <c r="BG958" t="s">
        <v>74</v>
      </c>
      <c r="BH958" t="s">
        <v>74</v>
      </c>
      <c r="BI958">
        <v>13</v>
      </c>
      <c r="BJ958" t="s">
        <v>586</v>
      </c>
      <c r="BK958" t="s">
        <v>100</v>
      </c>
      <c r="BL958" t="s">
        <v>587</v>
      </c>
      <c r="BM958" t="s">
        <v>16791</v>
      </c>
      <c r="BN958" t="s">
        <v>74</v>
      </c>
      <c r="BO958" t="s">
        <v>499</v>
      </c>
      <c r="BP958" t="s">
        <v>74</v>
      </c>
      <c r="BQ958" t="s">
        <v>74</v>
      </c>
      <c r="BR958" t="s">
        <v>103</v>
      </c>
      <c r="BS958" t="s">
        <v>16826</v>
      </c>
      <c r="BT958" t="str">
        <f>HYPERLINK("https%3A%2F%2Fwww.webofscience.com%2Fwos%2Fwoscc%2Ffull-record%2FWOS:000263227300023","View Full Record in Web of Science")</f>
        <v>View Full Record in Web of Science</v>
      </c>
    </row>
    <row r="959" spans="1:72" x14ac:dyDescent="0.15">
      <c r="A959" t="s">
        <v>11414</v>
      </c>
      <c r="B959" t="s">
        <v>16827</v>
      </c>
      <c r="C959" t="s">
        <v>74</v>
      </c>
      <c r="D959" t="s">
        <v>16828</v>
      </c>
      <c r="E959" t="s">
        <v>74</v>
      </c>
      <c r="F959" t="s">
        <v>16829</v>
      </c>
      <c r="G959" t="s">
        <v>74</v>
      </c>
      <c r="H959" t="s">
        <v>74</v>
      </c>
      <c r="I959" t="s">
        <v>16830</v>
      </c>
      <c r="J959" t="s">
        <v>16831</v>
      </c>
      <c r="K959" t="s">
        <v>16832</v>
      </c>
      <c r="L959" t="s">
        <v>74</v>
      </c>
      <c r="M959" t="s">
        <v>78</v>
      </c>
      <c r="N959" t="s">
        <v>11976</v>
      </c>
      <c r="O959" t="s">
        <v>74</v>
      </c>
      <c r="P959" t="s">
        <v>74</v>
      </c>
      <c r="Q959" t="s">
        <v>74</v>
      </c>
      <c r="R959" t="s">
        <v>74</v>
      </c>
      <c r="S959" t="s">
        <v>74</v>
      </c>
      <c r="T959" t="s">
        <v>74</v>
      </c>
      <c r="U959" t="s">
        <v>16833</v>
      </c>
      <c r="V959" t="s">
        <v>74</v>
      </c>
      <c r="W959" t="s">
        <v>16834</v>
      </c>
      <c r="X959" t="s">
        <v>12763</v>
      </c>
      <c r="Y959" t="s">
        <v>16835</v>
      </c>
      <c r="Z959" t="s">
        <v>16836</v>
      </c>
      <c r="AA959" t="s">
        <v>74</v>
      </c>
      <c r="AB959" t="s">
        <v>74</v>
      </c>
      <c r="AC959" t="s">
        <v>74</v>
      </c>
      <c r="AD959" t="s">
        <v>74</v>
      </c>
      <c r="AE959" t="s">
        <v>74</v>
      </c>
      <c r="AF959" t="s">
        <v>74</v>
      </c>
      <c r="AG959">
        <v>62</v>
      </c>
      <c r="AH959">
        <v>1</v>
      </c>
      <c r="AI959">
        <v>1</v>
      </c>
      <c r="AJ959">
        <v>0</v>
      </c>
      <c r="AK959">
        <v>2</v>
      </c>
      <c r="AL959" t="s">
        <v>91</v>
      </c>
      <c r="AM959" t="s">
        <v>92</v>
      </c>
      <c r="AN959" t="s">
        <v>14534</v>
      </c>
      <c r="AO959" t="s">
        <v>16837</v>
      </c>
      <c r="AP959" t="s">
        <v>74</v>
      </c>
      <c r="AQ959" t="s">
        <v>16838</v>
      </c>
      <c r="AR959" t="s">
        <v>16839</v>
      </c>
      <c r="AS959" t="s">
        <v>16840</v>
      </c>
      <c r="AT959" t="s">
        <v>74</v>
      </c>
      <c r="AU959">
        <v>2009</v>
      </c>
      <c r="AV959">
        <v>206</v>
      </c>
      <c r="AW959" t="s">
        <v>74</v>
      </c>
      <c r="AX959" t="s">
        <v>74</v>
      </c>
      <c r="AY959" t="s">
        <v>74</v>
      </c>
      <c r="AZ959" t="s">
        <v>74</v>
      </c>
      <c r="BA959" t="s">
        <v>74</v>
      </c>
      <c r="BB959">
        <v>113</v>
      </c>
      <c r="BC959">
        <v>125</v>
      </c>
      <c r="BD959" t="s">
        <v>74</v>
      </c>
      <c r="BE959" t="s">
        <v>16841</v>
      </c>
      <c r="BF959" t="str">
        <f>HYPERLINK("http://dx.doi.org/10.1007/978-3-540-92704-4_8","http://dx.doi.org/10.1007/978-3-540-92704-4_8")</f>
        <v>http://dx.doi.org/10.1007/978-3-540-92704-4_8</v>
      </c>
      <c r="BG959" t="s">
        <v>16842</v>
      </c>
      <c r="BH959" t="s">
        <v>74</v>
      </c>
      <c r="BI959">
        <v>13</v>
      </c>
      <c r="BJ959" t="s">
        <v>2951</v>
      </c>
      <c r="BK959" t="s">
        <v>11989</v>
      </c>
      <c r="BL959" t="s">
        <v>2952</v>
      </c>
      <c r="BM959" t="s">
        <v>16843</v>
      </c>
      <c r="BN959" t="s">
        <v>74</v>
      </c>
      <c r="BO959" t="s">
        <v>74</v>
      </c>
      <c r="BP959" t="s">
        <v>74</v>
      </c>
      <c r="BQ959" t="s">
        <v>74</v>
      </c>
      <c r="BR959" t="s">
        <v>103</v>
      </c>
      <c r="BS959" t="s">
        <v>16844</v>
      </c>
      <c r="BT959" t="str">
        <f>HYPERLINK("https%3A%2F%2Fwww.webofscience.com%2Fwos%2Fwoscc%2Ffull-record%2FWOS:000270337900010","View Full Record in Web of Science")</f>
        <v>View Full Record in Web of Science</v>
      </c>
    </row>
    <row r="960" spans="1:72" x14ac:dyDescent="0.15">
      <c r="A960" t="s">
        <v>11414</v>
      </c>
      <c r="B960" t="s">
        <v>16845</v>
      </c>
      <c r="C960" t="s">
        <v>74</v>
      </c>
      <c r="D960" t="s">
        <v>16828</v>
      </c>
      <c r="E960" t="s">
        <v>74</v>
      </c>
      <c r="F960" t="s">
        <v>16846</v>
      </c>
      <c r="G960" t="s">
        <v>74</v>
      </c>
      <c r="H960" t="s">
        <v>74</v>
      </c>
      <c r="I960" t="s">
        <v>16847</v>
      </c>
      <c r="J960" t="s">
        <v>16831</v>
      </c>
      <c r="K960" t="s">
        <v>16832</v>
      </c>
      <c r="L960" t="s">
        <v>74</v>
      </c>
      <c r="M960" t="s">
        <v>78</v>
      </c>
      <c r="N960" t="s">
        <v>11976</v>
      </c>
      <c r="O960" t="s">
        <v>74</v>
      </c>
      <c r="P960" t="s">
        <v>74</v>
      </c>
      <c r="Q960" t="s">
        <v>74</v>
      </c>
      <c r="R960" t="s">
        <v>74</v>
      </c>
      <c r="S960" t="s">
        <v>74</v>
      </c>
      <c r="T960" t="s">
        <v>74</v>
      </c>
      <c r="U960" t="s">
        <v>16848</v>
      </c>
      <c r="V960" t="s">
        <v>74</v>
      </c>
      <c r="W960" t="s">
        <v>16849</v>
      </c>
      <c r="X960" t="s">
        <v>16850</v>
      </c>
      <c r="Y960" t="s">
        <v>16851</v>
      </c>
      <c r="Z960" t="s">
        <v>16852</v>
      </c>
      <c r="AA960" t="s">
        <v>16853</v>
      </c>
      <c r="AB960" t="s">
        <v>74</v>
      </c>
      <c r="AC960" t="s">
        <v>74</v>
      </c>
      <c r="AD960" t="s">
        <v>74</v>
      </c>
      <c r="AE960" t="s">
        <v>74</v>
      </c>
      <c r="AF960" t="s">
        <v>74</v>
      </c>
      <c r="AG960">
        <v>53</v>
      </c>
      <c r="AH960">
        <v>4</v>
      </c>
      <c r="AI960">
        <v>4</v>
      </c>
      <c r="AJ960">
        <v>0</v>
      </c>
      <c r="AK960">
        <v>2</v>
      </c>
      <c r="AL960" t="s">
        <v>91</v>
      </c>
      <c r="AM960" t="s">
        <v>92</v>
      </c>
      <c r="AN960" t="s">
        <v>14534</v>
      </c>
      <c r="AO960" t="s">
        <v>16837</v>
      </c>
      <c r="AP960" t="s">
        <v>74</v>
      </c>
      <c r="AQ960" t="s">
        <v>16838</v>
      </c>
      <c r="AR960" t="s">
        <v>16839</v>
      </c>
      <c r="AS960" t="s">
        <v>16840</v>
      </c>
      <c r="AT960" t="s">
        <v>74</v>
      </c>
      <c r="AU960">
        <v>2009</v>
      </c>
      <c r="AV960">
        <v>206</v>
      </c>
      <c r="AW960" t="s">
        <v>74</v>
      </c>
      <c r="AX960" t="s">
        <v>74</v>
      </c>
      <c r="AY960" t="s">
        <v>74</v>
      </c>
      <c r="AZ960" t="s">
        <v>74</v>
      </c>
      <c r="BA960" t="s">
        <v>74</v>
      </c>
      <c r="BB960">
        <v>191</v>
      </c>
      <c r="BC960">
        <v>200</v>
      </c>
      <c r="BD960" t="s">
        <v>74</v>
      </c>
      <c r="BE960" t="s">
        <v>16854</v>
      </c>
      <c r="BF960" t="str">
        <f>HYPERLINK("http://dx.doi.org/10.1007/978-3-540-92704-4_13","http://dx.doi.org/10.1007/978-3-540-92704-4_13")</f>
        <v>http://dx.doi.org/10.1007/978-3-540-92704-4_13</v>
      </c>
      <c r="BG960" t="s">
        <v>16842</v>
      </c>
      <c r="BH960" t="s">
        <v>74</v>
      </c>
      <c r="BI960">
        <v>10</v>
      </c>
      <c r="BJ960" t="s">
        <v>2951</v>
      </c>
      <c r="BK960" t="s">
        <v>11989</v>
      </c>
      <c r="BL960" t="s">
        <v>2952</v>
      </c>
      <c r="BM960" t="s">
        <v>16843</v>
      </c>
      <c r="BN960" t="s">
        <v>74</v>
      </c>
      <c r="BO960" t="s">
        <v>74</v>
      </c>
      <c r="BP960" t="s">
        <v>74</v>
      </c>
      <c r="BQ960" t="s">
        <v>74</v>
      </c>
      <c r="BR960" t="s">
        <v>103</v>
      </c>
      <c r="BS960" t="s">
        <v>16855</v>
      </c>
      <c r="BT960" t="str">
        <f>HYPERLINK("https%3A%2F%2Fwww.webofscience.com%2Fwos%2Fwoscc%2Ffull-record%2FWOS:000270337900016","View Full Record in Web of Science")</f>
        <v>View Full Record in Web of Science</v>
      </c>
    </row>
    <row r="961" spans="1:72" x14ac:dyDescent="0.15">
      <c r="A961" t="s">
        <v>72</v>
      </c>
      <c r="B961" t="s">
        <v>16856</v>
      </c>
      <c r="C961" t="s">
        <v>74</v>
      </c>
      <c r="D961" t="s">
        <v>74</v>
      </c>
      <c r="E961" t="s">
        <v>74</v>
      </c>
      <c r="F961" t="s">
        <v>16857</v>
      </c>
      <c r="G961" t="s">
        <v>74</v>
      </c>
      <c r="H961" t="s">
        <v>74</v>
      </c>
      <c r="I961" t="s">
        <v>16858</v>
      </c>
      <c r="J961" t="s">
        <v>4857</v>
      </c>
      <c r="K961" t="s">
        <v>74</v>
      </c>
      <c r="L961" t="s">
        <v>74</v>
      </c>
      <c r="M961" t="s">
        <v>78</v>
      </c>
      <c r="N961" t="s">
        <v>79</v>
      </c>
      <c r="O961" t="s">
        <v>74</v>
      </c>
      <c r="P961" t="s">
        <v>74</v>
      </c>
      <c r="Q961" t="s">
        <v>74</v>
      </c>
      <c r="R961" t="s">
        <v>74</v>
      </c>
      <c r="S961" t="s">
        <v>74</v>
      </c>
      <c r="T961" t="s">
        <v>16859</v>
      </c>
      <c r="U961" t="s">
        <v>16860</v>
      </c>
      <c r="V961" t="s">
        <v>16861</v>
      </c>
      <c r="W961" t="s">
        <v>16862</v>
      </c>
      <c r="X961" t="s">
        <v>16863</v>
      </c>
      <c r="Y961" t="s">
        <v>16864</v>
      </c>
      <c r="Z961" t="s">
        <v>16865</v>
      </c>
      <c r="AA961" t="s">
        <v>16866</v>
      </c>
      <c r="AB961" t="s">
        <v>16867</v>
      </c>
      <c r="AC961" t="s">
        <v>16868</v>
      </c>
      <c r="AD961" t="s">
        <v>16869</v>
      </c>
      <c r="AE961" t="s">
        <v>16870</v>
      </c>
      <c r="AF961" t="s">
        <v>74</v>
      </c>
      <c r="AG961">
        <v>35</v>
      </c>
      <c r="AH961">
        <v>111</v>
      </c>
      <c r="AI961">
        <v>126</v>
      </c>
      <c r="AJ961">
        <v>0</v>
      </c>
      <c r="AK961">
        <v>26</v>
      </c>
      <c r="AL961" t="s">
        <v>1847</v>
      </c>
      <c r="AM961" t="s">
        <v>1848</v>
      </c>
      <c r="AN961" t="s">
        <v>1849</v>
      </c>
      <c r="AO961" t="s">
        <v>4867</v>
      </c>
      <c r="AP961" t="s">
        <v>74</v>
      </c>
      <c r="AQ961" t="s">
        <v>74</v>
      </c>
      <c r="AR961" t="s">
        <v>4869</v>
      </c>
      <c r="AS961" t="s">
        <v>4870</v>
      </c>
      <c r="AT961" t="s">
        <v>11480</v>
      </c>
      <c r="AU961">
        <v>2009</v>
      </c>
      <c r="AV961">
        <v>25</v>
      </c>
      <c r="AW961">
        <v>1</v>
      </c>
      <c r="AX961" t="s">
        <v>74</v>
      </c>
      <c r="AY961" t="s">
        <v>74</v>
      </c>
      <c r="AZ961" t="s">
        <v>74</v>
      </c>
      <c r="BA961" t="s">
        <v>74</v>
      </c>
      <c r="BB961">
        <v>125</v>
      </c>
      <c r="BC961">
        <v>136</v>
      </c>
      <c r="BD961" t="s">
        <v>74</v>
      </c>
      <c r="BE961" t="s">
        <v>16871</v>
      </c>
      <c r="BF961" t="str">
        <f>HYPERLINK("http://dx.doi.org/10.1111/j.1748-7692.2008.00239.x","http://dx.doi.org/10.1111/j.1748-7692.2008.00239.x")</f>
        <v>http://dx.doi.org/10.1111/j.1748-7692.2008.00239.x</v>
      </c>
      <c r="BG961" t="s">
        <v>74</v>
      </c>
      <c r="BH961" t="s">
        <v>74</v>
      </c>
      <c r="BI961">
        <v>12</v>
      </c>
      <c r="BJ961" t="s">
        <v>2084</v>
      </c>
      <c r="BK961" t="s">
        <v>100</v>
      </c>
      <c r="BL961" t="s">
        <v>2084</v>
      </c>
      <c r="BM961" t="s">
        <v>16872</v>
      </c>
      <c r="BN961" t="s">
        <v>74</v>
      </c>
      <c r="BO961" t="s">
        <v>74</v>
      </c>
      <c r="BP961" t="s">
        <v>74</v>
      </c>
      <c r="BQ961" t="s">
        <v>74</v>
      </c>
      <c r="BR961" t="s">
        <v>103</v>
      </c>
      <c r="BS961" t="s">
        <v>16873</v>
      </c>
      <c r="BT961" t="str">
        <f>HYPERLINK("https%3A%2F%2Fwww.webofscience.com%2Fwos%2Fwoscc%2Ffull-record%2FWOS:000262479000008","View Full Record in Web of Science")</f>
        <v>View Full Record in Web of Science</v>
      </c>
    </row>
    <row r="962" spans="1:72" x14ac:dyDescent="0.15">
      <c r="A962" t="s">
        <v>72</v>
      </c>
      <c r="B962" t="s">
        <v>16874</v>
      </c>
      <c r="C962" t="s">
        <v>74</v>
      </c>
      <c r="D962" t="s">
        <v>74</v>
      </c>
      <c r="E962" t="s">
        <v>74</v>
      </c>
      <c r="F962" t="s">
        <v>16875</v>
      </c>
      <c r="G962" t="s">
        <v>74</v>
      </c>
      <c r="H962" t="s">
        <v>74</v>
      </c>
      <c r="I962" t="s">
        <v>16876</v>
      </c>
      <c r="J962" t="s">
        <v>4857</v>
      </c>
      <c r="K962" t="s">
        <v>74</v>
      </c>
      <c r="L962" t="s">
        <v>74</v>
      </c>
      <c r="M962" t="s">
        <v>78</v>
      </c>
      <c r="N962" t="s">
        <v>79</v>
      </c>
      <c r="O962" t="s">
        <v>74</v>
      </c>
      <c r="P962" t="s">
        <v>74</v>
      </c>
      <c r="Q962" t="s">
        <v>74</v>
      </c>
      <c r="R962" t="s">
        <v>74</v>
      </c>
      <c r="S962" t="s">
        <v>74</v>
      </c>
      <c r="T962" t="s">
        <v>74</v>
      </c>
      <c r="U962" t="s">
        <v>16877</v>
      </c>
      <c r="V962" t="s">
        <v>74</v>
      </c>
      <c r="W962" t="s">
        <v>16878</v>
      </c>
      <c r="X962" t="s">
        <v>16533</v>
      </c>
      <c r="Y962" t="s">
        <v>16879</v>
      </c>
      <c r="Z962" t="s">
        <v>16880</v>
      </c>
      <c r="AA962" t="s">
        <v>16881</v>
      </c>
      <c r="AB962" t="s">
        <v>16882</v>
      </c>
      <c r="AC962" t="s">
        <v>16883</v>
      </c>
      <c r="AD962" t="s">
        <v>16884</v>
      </c>
      <c r="AE962" t="s">
        <v>16885</v>
      </c>
      <c r="AF962" t="s">
        <v>74</v>
      </c>
      <c r="AG962">
        <v>31</v>
      </c>
      <c r="AH962">
        <v>6</v>
      </c>
      <c r="AI962">
        <v>8</v>
      </c>
      <c r="AJ962">
        <v>0</v>
      </c>
      <c r="AK962">
        <v>10</v>
      </c>
      <c r="AL962" t="s">
        <v>489</v>
      </c>
      <c r="AM962" t="s">
        <v>490</v>
      </c>
      <c r="AN962" t="s">
        <v>491</v>
      </c>
      <c r="AO962" t="s">
        <v>4867</v>
      </c>
      <c r="AP962" t="s">
        <v>4868</v>
      </c>
      <c r="AQ962" t="s">
        <v>74</v>
      </c>
      <c r="AR962" t="s">
        <v>4869</v>
      </c>
      <c r="AS962" t="s">
        <v>4870</v>
      </c>
      <c r="AT962" t="s">
        <v>11480</v>
      </c>
      <c r="AU962">
        <v>2009</v>
      </c>
      <c r="AV962">
        <v>25</v>
      </c>
      <c r="AW962">
        <v>1</v>
      </c>
      <c r="AX962" t="s">
        <v>74</v>
      </c>
      <c r="AY962" t="s">
        <v>74</v>
      </c>
      <c r="AZ962" t="s">
        <v>74</v>
      </c>
      <c r="BA962" t="s">
        <v>74</v>
      </c>
      <c r="BB962">
        <v>229</v>
      </c>
      <c r="BC962">
        <v>238</v>
      </c>
      <c r="BD962" t="s">
        <v>74</v>
      </c>
      <c r="BE962" t="s">
        <v>16886</v>
      </c>
      <c r="BF962" t="str">
        <f>HYPERLINK("http://dx.doi.org/10.1111/j.1748-7692.2008.00248.x","http://dx.doi.org/10.1111/j.1748-7692.2008.00248.x")</f>
        <v>http://dx.doi.org/10.1111/j.1748-7692.2008.00248.x</v>
      </c>
      <c r="BG962" t="s">
        <v>74</v>
      </c>
      <c r="BH962" t="s">
        <v>74</v>
      </c>
      <c r="BI962">
        <v>10</v>
      </c>
      <c r="BJ962" t="s">
        <v>2084</v>
      </c>
      <c r="BK962" t="s">
        <v>100</v>
      </c>
      <c r="BL962" t="s">
        <v>2084</v>
      </c>
      <c r="BM962" t="s">
        <v>16872</v>
      </c>
      <c r="BN962" t="s">
        <v>74</v>
      </c>
      <c r="BO962" t="s">
        <v>74</v>
      </c>
      <c r="BP962" t="s">
        <v>74</v>
      </c>
      <c r="BQ962" t="s">
        <v>74</v>
      </c>
      <c r="BR962" t="s">
        <v>103</v>
      </c>
      <c r="BS962" t="s">
        <v>16887</v>
      </c>
      <c r="BT962" t="str">
        <f>HYPERLINK("https%3A%2F%2Fwww.webofscience.com%2Fwos%2Fwoscc%2Ffull-record%2FWOS:000262479000017","View Full Record in Web of Science")</f>
        <v>View Full Record in Web of Science</v>
      </c>
    </row>
    <row r="963" spans="1:72" x14ac:dyDescent="0.15">
      <c r="A963" t="s">
        <v>72</v>
      </c>
      <c r="B963" t="s">
        <v>16888</v>
      </c>
      <c r="C963" t="s">
        <v>74</v>
      </c>
      <c r="D963" t="s">
        <v>74</v>
      </c>
      <c r="E963" t="s">
        <v>74</v>
      </c>
      <c r="F963" t="s">
        <v>16889</v>
      </c>
      <c r="G963" t="s">
        <v>74</v>
      </c>
      <c r="H963" t="s">
        <v>74</v>
      </c>
      <c r="I963" t="s">
        <v>16890</v>
      </c>
      <c r="J963" t="s">
        <v>16891</v>
      </c>
      <c r="K963" t="s">
        <v>74</v>
      </c>
      <c r="L963" t="s">
        <v>74</v>
      </c>
      <c r="M963" t="s">
        <v>78</v>
      </c>
      <c r="N963" t="s">
        <v>79</v>
      </c>
      <c r="O963" t="s">
        <v>74</v>
      </c>
      <c r="P963" t="s">
        <v>74</v>
      </c>
      <c r="Q963" t="s">
        <v>74</v>
      </c>
      <c r="R963" t="s">
        <v>74</v>
      </c>
      <c r="S963" t="s">
        <v>74</v>
      </c>
      <c r="T963" t="s">
        <v>16892</v>
      </c>
      <c r="U963" t="s">
        <v>16893</v>
      </c>
      <c r="V963" t="s">
        <v>16894</v>
      </c>
      <c r="W963" t="s">
        <v>16895</v>
      </c>
      <c r="X963" t="s">
        <v>16896</v>
      </c>
      <c r="Y963" t="s">
        <v>16897</v>
      </c>
      <c r="Z963" t="s">
        <v>16898</v>
      </c>
      <c r="AA963" t="s">
        <v>16899</v>
      </c>
      <c r="AB963" t="s">
        <v>74</v>
      </c>
      <c r="AC963" t="s">
        <v>16900</v>
      </c>
      <c r="AD963" t="s">
        <v>16901</v>
      </c>
      <c r="AE963" t="s">
        <v>16902</v>
      </c>
      <c r="AF963" t="s">
        <v>74</v>
      </c>
      <c r="AG963">
        <v>38</v>
      </c>
      <c r="AH963">
        <v>64</v>
      </c>
      <c r="AI963">
        <v>72</v>
      </c>
      <c r="AJ963">
        <v>6</v>
      </c>
      <c r="AK963">
        <v>90</v>
      </c>
      <c r="AL963" t="s">
        <v>303</v>
      </c>
      <c r="AM963" t="s">
        <v>304</v>
      </c>
      <c r="AN963" t="s">
        <v>305</v>
      </c>
      <c r="AO963" t="s">
        <v>16903</v>
      </c>
      <c r="AP963" t="s">
        <v>16904</v>
      </c>
      <c r="AQ963" t="s">
        <v>74</v>
      </c>
      <c r="AR963" t="s">
        <v>16905</v>
      </c>
      <c r="AS963" t="s">
        <v>16906</v>
      </c>
      <c r="AT963" t="s">
        <v>11480</v>
      </c>
      <c r="AU963">
        <v>2009</v>
      </c>
      <c r="AV963">
        <v>58</v>
      </c>
      <c r="AW963">
        <v>1</v>
      </c>
      <c r="AX963" t="s">
        <v>74</v>
      </c>
      <c r="AY963" t="s">
        <v>74</v>
      </c>
      <c r="AZ963" t="s">
        <v>74</v>
      </c>
      <c r="BA963" t="s">
        <v>74</v>
      </c>
      <c r="BB963">
        <v>93</v>
      </c>
      <c r="BC963">
        <v>96</v>
      </c>
      <c r="BD963" t="s">
        <v>74</v>
      </c>
      <c r="BE963" t="s">
        <v>16907</v>
      </c>
      <c r="BF963" t="str">
        <f>HYPERLINK("http://dx.doi.org/10.1016/j.marpolbul.2008.08.020","http://dx.doi.org/10.1016/j.marpolbul.2008.08.020")</f>
        <v>http://dx.doi.org/10.1016/j.marpolbul.2008.08.020</v>
      </c>
      <c r="BG963" t="s">
        <v>74</v>
      </c>
      <c r="BH963" t="s">
        <v>74</v>
      </c>
      <c r="BI963">
        <v>4</v>
      </c>
      <c r="BJ963" t="s">
        <v>16908</v>
      </c>
      <c r="BK963" t="s">
        <v>100</v>
      </c>
      <c r="BL963" t="s">
        <v>2952</v>
      </c>
      <c r="BM963" t="s">
        <v>16909</v>
      </c>
      <c r="BN963">
        <v>18840384</v>
      </c>
      <c r="BO963" t="s">
        <v>74</v>
      </c>
      <c r="BP963" t="s">
        <v>74</v>
      </c>
      <c r="BQ963" t="s">
        <v>74</v>
      </c>
      <c r="BR963" t="s">
        <v>103</v>
      </c>
      <c r="BS963" t="s">
        <v>16910</v>
      </c>
      <c r="BT963" t="str">
        <f>HYPERLINK("https%3A%2F%2Fwww.webofscience.com%2Fwos%2Fwoscc%2Ffull-record%2FWOS:000262963500023","View Full Record in Web of Science")</f>
        <v>View Full Record in Web of Science</v>
      </c>
    </row>
    <row r="964" spans="1:72" x14ac:dyDescent="0.15">
      <c r="A964" t="s">
        <v>72</v>
      </c>
      <c r="B964" t="s">
        <v>16911</v>
      </c>
      <c r="C964" t="s">
        <v>74</v>
      </c>
      <c r="D964" t="s">
        <v>74</v>
      </c>
      <c r="E964" t="s">
        <v>74</v>
      </c>
      <c r="F964" t="s">
        <v>16912</v>
      </c>
      <c r="G964" t="s">
        <v>74</v>
      </c>
      <c r="H964" t="s">
        <v>74</v>
      </c>
      <c r="I964" t="s">
        <v>16913</v>
      </c>
      <c r="J964" t="s">
        <v>16891</v>
      </c>
      <c r="K964" t="s">
        <v>74</v>
      </c>
      <c r="L964" t="s">
        <v>74</v>
      </c>
      <c r="M964" t="s">
        <v>78</v>
      </c>
      <c r="N964" t="s">
        <v>79</v>
      </c>
      <c r="O964" t="s">
        <v>74</v>
      </c>
      <c r="P964" t="s">
        <v>74</v>
      </c>
      <c r="Q964" t="s">
        <v>74</v>
      </c>
      <c r="R964" t="s">
        <v>74</v>
      </c>
      <c r="S964" t="s">
        <v>74</v>
      </c>
      <c r="T964" t="s">
        <v>74</v>
      </c>
      <c r="U964" t="s">
        <v>16914</v>
      </c>
      <c r="V964" t="s">
        <v>74</v>
      </c>
      <c r="W964" t="s">
        <v>16915</v>
      </c>
      <c r="X964" t="s">
        <v>16916</v>
      </c>
      <c r="Y964" t="s">
        <v>16917</v>
      </c>
      <c r="Z964" t="s">
        <v>16918</v>
      </c>
      <c r="AA964" t="s">
        <v>16919</v>
      </c>
      <c r="AB964" t="s">
        <v>16920</v>
      </c>
      <c r="AC964" t="s">
        <v>16921</v>
      </c>
      <c r="AD964" t="s">
        <v>16922</v>
      </c>
      <c r="AE964" t="s">
        <v>16923</v>
      </c>
      <c r="AF964" t="s">
        <v>74</v>
      </c>
      <c r="AG964">
        <v>34</v>
      </c>
      <c r="AH964">
        <v>52</v>
      </c>
      <c r="AI964">
        <v>57</v>
      </c>
      <c r="AJ964">
        <v>1</v>
      </c>
      <c r="AK964">
        <v>29</v>
      </c>
      <c r="AL964" t="s">
        <v>303</v>
      </c>
      <c r="AM964" t="s">
        <v>304</v>
      </c>
      <c r="AN964" t="s">
        <v>305</v>
      </c>
      <c r="AO964" t="s">
        <v>16903</v>
      </c>
      <c r="AP964" t="s">
        <v>16904</v>
      </c>
      <c r="AQ964" t="s">
        <v>74</v>
      </c>
      <c r="AR964" t="s">
        <v>16905</v>
      </c>
      <c r="AS964" t="s">
        <v>16906</v>
      </c>
      <c r="AT964" t="s">
        <v>11480</v>
      </c>
      <c r="AU964">
        <v>2009</v>
      </c>
      <c r="AV964">
        <v>58</v>
      </c>
      <c r="AW964">
        <v>1</v>
      </c>
      <c r="AX964" t="s">
        <v>74</v>
      </c>
      <c r="AY964" t="s">
        <v>74</v>
      </c>
      <c r="AZ964" t="s">
        <v>74</v>
      </c>
      <c r="BA964" t="s">
        <v>74</v>
      </c>
      <c r="BB964">
        <v>129</v>
      </c>
      <c r="BC964">
        <v>133</v>
      </c>
      <c r="BD964" t="s">
        <v>74</v>
      </c>
      <c r="BE964" t="s">
        <v>16924</v>
      </c>
      <c r="BF964" t="str">
        <f>HYPERLINK("http://dx.doi.org/10.1016/j.marpolbul.2008.09.026","http://dx.doi.org/10.1016/j.marpolbul.2008.09.026")</f>
        <v>http://dx.doi.org/10.1016/j.marpolbul.2008.09.026</v>
      </c>
      <c r="BG964" t="s">
        <v>74</v>
      </c>
      <c r="BH964" t="s">
        <v>74</v>
      </c>
      <c r="BI964">
        <v>5</v>
      </c>
      <c r="BJ964" t="s">
        <v>16908</v>
      </c>
      <c r="BK964" t="s">
        <v>100</v>
      </c>
      <c r="BL964" t="s">
        <v>2952</v>
      </c>
      <c r="BM964" t="s">
        <v>16909</v>
      </c>
      <c r="BN964">
        <v>19019395</v>
      </c>
      <c r="BO964" t="s">
        <v>74</v>
      </c>
      <c r="BP964" t="s">
        <v>74</v>
      </c>
      <c r="BQ964" t="s">
        <v>74</v>
      </c>
      <c r="BR964" t="s">
        <v>103</v>
      </c>
      <c r="BS964" t="s">
        <v>16925</v>
      </c>
      <c r="BT964" t="str">
        <f>HYPERLINK("https%3A%2F%2Fwww.webofscience.com%2Fwos%2Fwoscc%2Ffull-record%2FWOS:000262963500028","View Full Record in Web of Science")</f>
        <v>View Full Record in Web of Science</v>
      </c>
    </row>
    <row r="965" spans="1:72" x14ac:dyDescent="0.15">
      <c r="A965" t="s">
        <v>72</v>
      </c>
      <c r="B965" t="s">
        <v>16926</v>
      </c>
      <c r="C965" t="s">
        <v>74</v>
      </c>
      <c r="D965" t="s">
        <v>74</v>
      </c>
      <c r="E965" t="s">
        <v>74</v>
      </c>
      <c r="F965" t="s">
        <v>16927</v>
      </c>
      <c r="G965" t="s">
        <v>74</v>
      </c>
      <c r="H965" t="s">
        <v>74</v>
      </c>
      <c r="I965" t="s">
        <v>16928</v>
      </c>
      <c r="J965" t="s">
        <v>16929</v>
      </c>
      <c r="K965" t="s">
        <v>74</v>
      </c>
      <c r="L965" t="s">
        <v>74</v>
      </c>
      <c r="M965" t="s">
        <v>78</v>
      </c>
      <c r="N965" t="s">
        <v>79</v>
      </c>
      <c r="O965" t="s">
        <v>74</v>
      </c>
      <c r="P965" t="s">
        <v>74</v>
      </c>
      <c r="Q965" t="s">
        <v>74</v>
      </c>
      <c r="R965" t="s">
        <v>74</v>
      </c>
      <c r="S965" t="s">
        <v>74</v>
      </c>
      <c r="T965" t="s">
        <v>16930</v>
      </c>
      <c r="U965" t="s">
        <v>16931</v>
      </c>
      <c r="V965" t="s">
        <v>16932</v>
      </c>
      <c r="W965" t="s">
        <v>16933</v>
      </c>
      <c r="X965" t="s">
        <v>16934</v>
      </c>
      <c r="Y965" t="s">
        <v>16935</v>
      </c>
      <c r="Z965" t="s">
        <v>16936</v>
      </c>
      <c r="AA965" t="s">
        <v>74</v>
      </c>
      <c r="AB965" t="s">
        <v>74</v>
      </c>
      <c r="AC965" t="s">
        <v>74</v>
      </c>
      <c r="AD965" t="s">
        <v>74</v>
      </c>
      <c r="AE965" t="s">
        <v>74</v>
      </c>
      <c r="AF965" t="s">
        <v>74</v>
      </c>
      <c r="AG965">
        <v>19</v>
      </c>
      <c r="AH965">
        <v>2</v>
      </c>
      <c r="AI965">
        <v>2</v>
      </c>
      <c r="AJ965">
        <v>0</v>
      </c>
      <c r="AK965">
        <v>10</v>
      </c>
      <c r="AL965" t="s">
        <v>16937</v>
      </c>
      <c r="AM965" t="s">
        <v>4750</v>
      </c>
      <c r="AN965" t="s">
        <v>16938</v>
      </c>
      <c r="AO965" t="s">
        <v>16939</v>
      </c>
      <c r="AP965" t="s">
        <v>74</v>
      </c>
      <c r="AQ965" t="s">
        <v>74</v>
      </c>
      <c r="AR965" t="s">
        <v>16929</v>
      </c>
      <c r="AS965" t="s">
        <v>16940</v>
      </c>
      <c r="AT965" t="s">
        <v>11480</v>
      </c>
      <c r="AU965">
        <v>2009</v>
      </c>
      <c r="AV965">
        <v>60</v>
      </c>
      <c r="AW965">
        <v>1</v>
      </c>
      <c r="AX965" t="s">
        <v>74</v>
      </c>
      <c r="AY965" t="s">
        <v>74</v>
      </c>
      <c r="AZ965" t="s">
        <v>74</v>
      </c>
      <c r="BA965" t="s">
        <v>74</v>
      </c>
      <c r="BB965">
        <v>39</v>
      </c>
      <c r="BC965">
        <v>50</v>
      </c>
      <c r="BD965" t="s">
        <v>74</v>
      </c>
      <c r="BE965" t="s">
        <v>74</v>
      </c>
      <c r="BF965" t="s">
        <v>74</v>
      </c>
      <c r="BG965" t="s">
        <v>74</v>
      </c>
      <c r="BH965" t="s">
        <v>74</v>
      </c>
      <c r="BI965">
        <v>12</v>
      </c>
      <c r="BJ965" t="s">
        <v>398</v>
      </c>
      <c r="BK965" t="s">
        <v>100</v>
      </c>
      <c r="BL965" t="s">
        <v>398</v>
      </c>
      <c r="BM965" t="s">
        <v>16941</v>
      </c>
      <c r="BN965" t="s">
        <v>74</v>
      </c>
      <c r="BO965" t="s">
        <v>74</v>
      </c>
      <c r="BP965" t="s">
        <v>74</v>
      </c>
      <c r="BQ965" t="s">
        <v>74</v>
      </c>
      <c r="BR965" t="s">
        <v>103</v>
      </c>
      <c r="BS965" t="s">
        <v>16942</v>
      </c>
      <c r="BT965" t="str">
        <f>HYPERLINK("https%3A%2F%2Fwww.webofscience.com%2Fwos%2Fwoscc%2Ffull-record%2FWOS:000263780600004","View Full Record in Web of Science")</f>
        <v>View Full Record in Web of Science</v>
      </c>
    </row>
    <row r="966" spans="1:72" x14ac:dyDescent="0.15">
      <c r="A966" t="s">
        <v>5277</v>
      </c>
      <c r="B966" t="s">
        <v>16943</v>
      </c>
      <c r="C966" t="s">
        <v>74</v>
      </c>
      <c r="D966" t="s">
        <v>16944</v>
      </c>
      <c r="E966" t="s">
        <v>74</v>
      </c>
      <c r="F966" t="s">
        <v>16945</v>
      </c>
      <c r="G966" t="s">
        <v>74</v>
      </c>
      <c r="H966" t="s">
        <v>74</v>
      </c>
      <c r="I966" t="s">
        <v>16946</v>
      </c>
      <c r="J966" t="s">
        <v>16947</v>
      </c>
      <c r="K966" t="s">
        <v>74</v>
      </c>
      <c r="L966" t="s">
        <v>74</v>
      </c>
      <c r="M966" t="s">
        <v>78</v>
      </c>
      <c r="N966" t="s">
        <v>11976</v>
      </c>
      <c r="O966" t="s">
        <v>74</v>
      </c>
      <c r="P966" t="s">
        <v>74</v>
      </c>
      <c r="Q966" t="s">
        <v>74</v>
      </c>
      <c r="R966" t="s">
        <v>74</v>
      </c>
      <c r="S966" t="s">
        <v>74</v>
      </c>
      <c r="T966" t="s">
        <v>74</v>
      </c>
      <c r="U966" t="s">
        <v>16948</v>
      </c>
      <c r="V966" t="s">
        <v>16949</v>
      </c>
      <c r="W966" t="s">
        <v>16950</v>
      </c>
      <c r="X966" t="s">
        <v>16951</v>
      </c>
      <c r="Y966" t="s">
        <v>16952</v>
      </c>
      <c r="Z966" t="s">
        <v>74</v>
      </c>
      <c r="AA966" t="s">
        <v>16953</v>
      </c>
      <c r="AB966" t="s">
        <v>16954</v>
      </c>
      <c r="AC966" t="s">
        <v>74</v>
      </c>
      <c r="AD966" t="s">
        <v>74</v>
      </c>
      <c r="AE966" t="s">
        <v>74</v>
      </c>
      <c r="AF966" t="s">
        <v>74</v>
      </c>
      <c r="AG966">
        <v>98</v>
      </c>
      <c r="AH966">
        <v>7</v>
      </c>
      <c r="AI966">
        <v>8</v>
      </c>
      <c r="AJ966">
        <v>0</v>
      </c>
      <c r="AK966">
        <v>1</v>
      </c>
      <c r="AL966" t="s">
        <v>91</v>
      </c>
      <c r="AM966" t="s">
        <v>92</v>
      </c>
      <c r="AN966" t="s">
        <v>14534</v>
      </c>
      <c r="AO966" t="s">
        <v>74</v>
      </c>
      <c r="AP966" t="s">
        <v>74</v>
      </c>
      <c r="AQ966" t="s">
        <v>16955</v>
      </c>
      <c r="AR966" t="s">
        <v>74</v>
      </c>
      <c r="AS966" t="s">
        <v>74</v>
      </c>
      <c r="AT966" t="s">
        <v>74</v>
      </c>
      <c r="AU966">
        <v>2009</v>
      </c>
      <c r="AV966" t="s">
        <v>74</v>
      </c>
      <c r="AW966" t="s">
        <v>74</v>
      </c>
      <c r="AX966" t="s">
        <v>74</v>
      </c>
      <c r="AY966" t="s">
        <v>74</v>
      </c>
      <c r="AZ966" t="s">
        <v>74</v>
      </c>
      <c r="BA966" t="s">
        <v>74</v>
      </c>
      <c r="BB966">
        <v>293</v>
      </c>
      <c r="BC966">
        <v>321</v>
      </c>
      <c r="BD966" t="s">
        <v>74</v>
      </c>
      <c r="BE966" t="s">
        <v>16956</v>
      </c>
      <c r="BF966" t="str">
        <f>HYPERLINK("http://dx.doi.org/10.1007/978-0-387-93958-2_10","http://dx.doi.org/10.1007/978-0-387-93958-2_10")</f>
        <v>http://dx.doi.org/10.1007/978-0-387-93958-2_10</v>
      </c>
      <c r="BG966" t="s">
        <v>16957</v>
      </c>
      <c r="BH966" t="s">
        <v>74</v>
      </c>
      <c r="BI966">
        <v>29</v>
      </c>
      <c r="BJ966" t="s">
        <v>423</v>
      </c>
      <c r="BK966" t="s">
        <v>11989</v>
      </c>
      <c r="BL966" t="s">
        <v>424</v>
      </c>
      <c r="BM966" t="s">
        <v>16958</v>
      </c>
      <c r="BN966" t="s">
        <v>74</v>
      </c>
      <c r="BO966" t="s">
        <v>74</v>
      </c>
      <c r="BP966" t="s">
        <v>74</v>
      </c>
      <c r="BQ966" t="s">
        <v>74</v>
      </c>
      <c r="BR966" t="s">
        <v>103</v>
      </c>
      <c r="BS966" t="s">
        <v>16959</v>
      </c>
      <c r="BT966" t="str">
        <f>HYPERLINK("https%3A%2F%2Fwww.webofscience.com%2Fwos%2Fwoscc%2Ffull-record%2FWOS:000270022200010","View Full Record in Web of Science")</f>
        <v>View Full Record in Web of Science</v>
      </c>
    </row>
    <row r="967" spans="1:72" x14ac:dyDescent="0.15">
      <c r="A967" t="s">
        <v>2434</v>
      </c>
      <c r="B967" t="s">
        <v>16960</v>
      </c>
      <c r="C967" t="s">
        <v>74</v>
      </c>
      <c r="D967" t="s">
        <v>16961</v>
      </c>
      <c r="E967" t="s">
        <v>74</v>
      </c>
      <c r="F967" t="s">
        <v>16962</v>
      </c>
      <c r="G967" t="s">
        <v>74</v>
      </c>
      <c r="H967" t="s">
        <v>74</v>
      </c>
      <c r="I967" t="s">
        <v>16963</v>
      </c>
      <c r="J967" t="s">
        <v>16964</v>
      </c>
      <c r="K967" t="s">
        <v>16965</v>
      </c>
      <c r="L967" t="s">
        <v>74</v>
      </c>
      <c r="M967" t="s">
        <v>78</v>
      </c>
      <c r="N967" t="s">
        <v>2440</v>
      </c>
      <c r="O967" t="s">
        <v>16966</v>
      </c>
      <c r="P967" t="s">
        <v>16967</v>
      </c>
      <c r="Q967" t="s">
        <v>16968</v>
      </c>
      <c r="R967" t="s">
        <v>74</v>
      </c>
      <c r="S967" t="s">
        <v>74</v>
      </c>
      <c r="T967" t="s">
        <v>16969</v>
      </c>
      <c r="U967" t="s">
        <v>16970</v>
      </c>
      <c r="V967" t="s">
        <v>16971</v>
      </c>
      <c r="W967" t="s">
        <v>16972</v>
      </c>
      <c r="X967" t="s">
        <v>16973</v>
      </c>
      <c r="Y967" t="s">
        <v>16974</v>
      </c>
      <c r="Z967" t="s">
        <v>74</v>
      </c>
      <c r="AA967" t="s">
        <v>16975</v>
      </c>
      <c r="AB967" t="s">
        <v>16976</v>
      </c>
      <c r="AC967" t="s">
        <v>16977</v>
      </c>
      <c r="AD967" t="s">
        <v>16978</v>
      </c>
      <c r="AE967" t="s">
        <v>16979</v>
      </c>
      <c r="AF967" t="s">
        <v>74</v>
      </c>
      <c r="AG967">
        <v>20</v>
      </c>
      <c r="AH967">
        <v>1</v>
      </c>
      <c r="AI967">
        <v>1</v>
      </c>
      <c r="AJ967">
        <v>0</v>
      </c>
      <c r="AK967">
        <v>5</v>
      </c>
      <c r="AL967" t="s">
        <v>16980</v>
      </c>
      <c r="AM967" t="s">
        <v>16981</v>
      </c>
      <c r="AN967" t="s">
        <v>16982</v>
      </c>
      <c r="AO967" t="s">
        <v>16983</v>
      </c>
      <c r="AP967" t="s">
        <v>74</v>
      </c>
      <c r="AQ967" t="s">
        <v>16984</v>
      </c>
      <c r="AR967" t="s">
        <v>16985</v>
      </c>
      <c r="AS967" t="s">
        <v>74</v>
      </c>
      <c r="AT967" t="s">
        <v>74</v>
      </c>
      <c r="AU967">
        <v>2009</v>
      </c>
      <c r="AV967">
        <v>49</v>
      </c>
      <c r="AW967" t="s">
        <v>74</v>
      </c>
      <c r="AX967" t="s">
        <v>74</v>
      </c>
      <c r="AY967" t="s">
        <v>74</v>
      </c>
      <c r="AZ967" t="s">
        <v>74</v>
      </c>
      <c r="BA967" t="s">
        <v>74</v>
      </c>
      <c r="BB967">
        <v>257</v>
      </c>
      <c r="BC967" t="s">
        <v>10944</v>
      </c>
      <c r="BD967" t="s">
        <v>74</v>
      </c>
      <c r="BE967" t="s">
        <v>16986</v>
      </c>
      <c r="BF967" t="str">
        <f>HYPERLINK("http://dx.doi.org/10.2495/BE090231","http://dx.doi.org/10.2495/BE090231")</f>
        <v>http://dx.doi.org/10.2495/BE090231</v>
      </c>
      <c r="BG967" t="s">
        <v>74</v>
      </c>
      <c r="BH967" t="s">
        <v>74</v>
      </c>
      <c r="BI967">
        <v>4</v>
      </c>
      <c r="BJ967" t="s">
        <v>16987</v>
      </c>
      <c r="BK967" t="s">
        <v>2457</v>
      </c>
      <c r="BL967" t="s">
        <v>16988</v>
      </c>
      <c r="BM967" t="s">
        <v>16989</v>
      </c>
      <c r="BN967" t="s">
        <v>74</v>
      </c>
      <c r="BO967" t="s">
        <v>499</v>
      </c>
      <c r="BP967" t="s">
        <v>74</v>
      </c>
      <c r="BQ967" t="s">
        <v>74</v>
      </c>
      <c r="BR967" t="s">
        <v>103</v>
      </c>
      <c r="BS967" t="s">
        <v>16990</v>
      </c>
      <c r="BT967" t="str">
        <f>HYPERLINK("https%3A%2F%2Fwww.webofscience.com%2Fwos%2Fwoscc%2Ffull-record%2FWOS:000274847400023","View Full Record in Web of Science")</f>
        <v>View Full Record in Web of Science</v>
      </c>
    </row>
    <row r="968" spans="1:72" x14ac:dyDescent="0.15">
      <c r="A968" t="s">
        <v>72</v>
      </c>
      <c r="B968" t="s">
        <v>16991</v>
      </c>
      <c r="C968" t="s">
        <v>74</v>
      </c>
      <c r="D968" t="s">
        <v>74</v>
      </c>
      <c r="E968" t="s">
        <v>74</v>
      </c>
      <c r="F968" t="s">
        <v>16992</v>
      </c>
      <c r="G968" t="s">
        <v>74</v>
      </c>
      <c r="H968" t="s">
        <v>74</v>
      </c>
      <c r="I968" t="s">
        <v>16993</v>
      </c>
      <c r="J968" t="s">
        <v>2175</v>
      </c>
      <c r="K968" t="s">
        <v>74</v>
      </c>
      <c r="L968" t="s">
        <v>74</v>
      </c>
      <c r="M968" t="s">
        <v>78</v>
      </c>
      <c r="N968" t="s">
        <v>79</v>
      </c>
      <c r="O968" t="s">
        <v>74</v>
      </c>
      <c r="P968" t="s">
        <v>74</v>
      </c>
      <c r="Q968" t="s">
        <v>74</v>
      </c>
      <c r="R968" t="s">
        <v>74</v>
      </c>
      <c r="S968" t="s">
        <v>74</v>
      </c>
      <c r="T968" t="s">
        <v>74</v>
      </c>
      <c r="U968" t="s">
        <v>16994</v>
      </c>
      <c r="V968" t="s">
        <v>16995</v>
      </c>
      <c r="W968" t="s">
        <v>16996</v>
      </c>
      <c r="X968" t="s">
        <v>16997</v>
      </c>
      <c r="Y968" t="s">
        <v>16998</v>
      </c>
      <c r="Z968" t="s">
        <v>16999</v>
      </c>
      <c r="AA968" t="s">
        <v>17000</v>
      </c>
      <c r="AB968" t="s">
        <v>17001</v>
      </c>
      <c r="AC968" t="s">
        <v>17002</v>
      </c>
      <c r="AD968" t="s">
        <v>17003</v>
      </c>
      <c r="AE968" t="s">
        <v>17004</v>
      </c>
      <c r="AF968" t="s">
        <v>74</v>
      </c>
      <c r="AG968">
        <v>15</v>
      </c>
      <c r="AH968">
        <v>13</v>
      </c>
      <c r="AI968">
        <v>15</v>
      </c>
      <c r="AJ968">
        <v>0</v>
      </c>
      <c r="AK968">
        <v>13</v>
      </c>
      <c r="AL968" t="s">
        <v>2200</v>
      </c>
      <c r="AM968" t="s">
        <v>2201</v>
      </c>
      <c r="AN968" t="s">
        <v>2202</v>
      </c>
      <c r="AO968" t="s">
        <v>2182</v>
      </c>
      <c r="AP968" t="s">
        <v>74</v>
      </c>
      <c r="AQ968" t="s">
        <v>74</v>
      </c>
      <c r="AR968" t="s">
        <v>2183</v>
      </c>
      <c r="AS968" t="s">
        <v>2184</v>
      </c>
      <c r="AT968" t="s">
        <v>11480</v>
      </c>
      <c r="AU968">
        <v>2009</v>
      </c>
      <c r="AV968">
        <v>44</v>
      </c>
      <c r="AW968">
        <v>1</v>
      </c>
      <c r="AX968" t="s">
        <v>74</v>
      </c>
      <c r="AY968" t="s">
        <v>74</v>
      </c>
      <c r="AZ968" t="s">
        <v>74</v>
      </c>
      <c r="BA968" t="s">
        <v>74</v>
      </c>
      <c r="BB968">
        <v>87</v>
      </c>
      <c r="BC968">
        <v>94</v>
      </c>
      <c r="BD968" t="s">
        <v>74</v>
      </c>
      <c r="BE968" t="s">
        <v>17005</v>
      </c>
      <c r="BF968" t="str">
        <f>HYPERLINK("http://dx.doi.org/10.1111/j.1945-5100.2009.tb00719.x","http://dx.doi.org/10.1111/j.1945-5100.2009.tb00719.x")</f>
        <v>http://dx.doi.org/10.1111/j.1945-5100.2009.tb00719.x</v>
      </c>
      <c r="BG968" t="s">
        <v>74</v>
      </c>
      <c r="BH968" t="s">
        <v>74</v>
      </c>
      <c r="BI968">
        <v>8</v>
      </c>
      <c r="BJ968" t="s">
        <v>534</v>
      </c>
      <c r="BK968" t="s">
        <v>100</v>
      </c>
      <c r="BL968" t="s">
        <v>534</v>
      </c>
      <c r="BM968" t="s">
        <v>17006</v>
      </c>
      <c r="BN968" t="s">
        <v>74</v>
      </c>
      <c r="BO968" t="s">
        <v>499</v>
      </c>
      <c r="BP968" t="s">
        <v>74</v>
      </c>
      <c r="BQ968" t="s">
        <v>74</v>
      </c>
      <c r="BR968" t="s">
        <v>103</v>
      </c>
      <c r="BS968" t="s">
        <v>17007</v>
      </c>
      <c r="BT968" t="str">
        <f>HYPERLINK("https%3A%2F%2Fwww.webofscience.com%2Fwos%2Fwoscc%2Ffull-record%2FWOS:000264476300007","View Full Record in Web of Science")</f>
        <v>View Full Record in Web of Science</v>
      </c>
    </row>
    <row r="969" spans="1:72" x14ac:dyDescent="0.15">
      <c r="A969" t="s">
        <v>72</v>
      </c>
      <c r="B969" t="s">
        <v>17008</v>
      </c>
      <c r="C969" t="s">
        <v>74</v>
      </c>
      <c r="D969" t="s">
        <v>74</v>
      </c>
      <c r="E969" t="s">
        <v>74</v>
      </c>
      <c r="F969" t="s">
        <v>17009</v>
      </c>
      <c r="G969" t="s">
        <v>74</v>
      </c>
      <c r="H969" t="s">
        <v>74</v>
      </c>
      <c r="I969" t="s">
        <v>17010</v>
      </c>
      <c r="J969" t="s">
        <v>17011</v>
      </c>
      <c r="K969" t="s">
        <v>74</v>
      </c>
      <c r="L969" t="s">
        <v>74</v>
      </c>
      <c r="M969" t="s">
        <v>78</v>
      </c>
      <c r="N969" t="s">
        <v>172</v>
      </c>
      <c r="O969" t="s">
        <v>74</v>
      </c>
      <c r="P969" t="s">
        <v>74</v>
      </c>
      <c r="Q969" t="s">
        <v>74</v>
      </c>
      <c r="R969" t="s">
        <v>74</v>
      </c>
      <c r="S969" t="s">
        <v>74</v>
      </c>
      <c r="T969" t="s">
        <v>74</v>
      </c>
      <c r="U969" t="s">
        <v>17012</v>
      </c>
      <c r="V969" t="s">
        <v>17013</v>
      </c>
      <c r="W969" t="s">
        <v>17014</v>
      </c>
      <c r="X969" t="s">
        <v>17015</v>
      </c>
      <c r="Y969" t="s">
        <v>17016</v>
      </c>
      <c r="Z969" t="s">
        <v>17017</v>
      </c>
      <c r="AA969" t="s">
        <v>17018</v>
      </c>
      <c r="AB969" t="s">
        <v>17019</v>
      </c>
      <c r="AC969" t="s">
        <v>74</v>
      </c>
      <c r="AD969" t="s">
        <v>74</v>
      </c>
      <c r="AE969" t="s">
        <v>74</v>
      </c>
      <c r="AF969" t="s">
        <v>74</v>
      </c>
      <c r="AG969">
        <v>203</v>
      </c>
      <c r="AH969">
        <v>17</v>
      </c>
      <c r="AI969">
        <v>19</v>
      </c>
      <c r="AJ969">
        <v>1</v>
      </c>
      <c r="AK969">
        <v>51</v>
      </c>
      <c r="AL969" t="s">
        <v>17020</v>
      </c>
      <c r="AM969" t="s">
        <v>9904</v>
      </c>
      <c r="AN969" t="s">
        <v>17021</v>
      </c>
      <c r="AO969" t="s">
        <v>17022</v>
      </c>
      <c r="AP969" t="s">
        <v>17023</v>
      </c>
      <c r="AQ969" t="s">
        <v>74</v>
      </c>
      <c r="AR969" t="s">
        <v>17024</v>
      </c>
      <c r="AS969" t="s">
        <v>17025</v>
      </c>
      <c r="AT969" t="s">
        <v>74</v>
      </c>
      <c r="AU969">
        <v>2009</v>
      </c>
      <c r="AV969">
        <v>18</v>
      </c>
      <c r="AW969">
        <v>1</v>
      </c>
      <c r="AX969" t="s">
        <v>74</v>
      </c>
      <c r="AY969" t="s">
        <v>74</v>
      </c>
      <c r="AZ969" t="s">
        <v>74</v>
      </c>
      <c r="BA969" t="s">
        <v>74</v>
      </c>
      <c r="BB969">
        <v>3</v>
      </c>
      <c r="BC969">
        <v>24</v>
      </c>
      <c r="BD969" t="s">
        <v>74</v>
      </c>
      <c r="BE969" t="s">
        <v>17026</v>
      </c>
      <c r="BF969" t="str">
        <f>HYPERLINK("http://dx.doi.org/10.1127/0941-2948/2009/353","http://dx.doi.org/10.1127/0941-2948/2009/353")</f>
        <v>http://dx.doi.org/10.1127/0941-2948/2009/353</v>
      </c>
      <c r="BG969" t="s">
        <v>74</v>
      </c>
      <c r="BH969" t="s">
        <v>74</v>
      </c>
      <c r="BI969">
        <v>22</v>
      </c>
      <c r="BJ969" t="s">
        <v>398</v>
      </c>
      <c r="BK969" t="s">
        <v>100</v>
      </c>
      <c r="BL969" t="s">
        <v>398</v>
      </c>
      <c r="BM969" t="s">
        <v>17027</v>
      </c>
      <c r="BN969" t="s">
        <v>74</v>
      </c>
      <c r="BO969" t="s">
        <v>217</v>
      </c>
      <c r="BP969" t="s">
        <v>74</v>
      </c>
      <c r="BQ969" t="s">
        <v>74</v>
      </c>
      <c r="BR969" t="s">
        <v>103</v>
      </c>
      <c r="BS969" t="s">
        <v>17028</v>
      </c>
      <c r="BT969" t="str">
        <f>HYPERLINK("https%3A%2F%2Fwww.webofscience.com%2Fwos%2Fwoscc%2Ffull-record%2FWOS:000264421900001","View Full Record in Web of Science")</f>
        <v>View Full Record in Web of Science</v>
      </c>
    </row>
    <row r="970" spans="1:72" x14ac:dyDescent="0.15">
      <c r="A970" t="s">
        <v>72</v>
      </c>
      <c r="B970" t="s">
        <v>17029</v>
      </c>
      <c r="C970" t="s">
        <v>74</v>
      </c>
      <c r="D970" t="s">
        <v>74</v>
      </c>
      <c r="E970" t="s">
        <v>74</v>
      </c>
      <c r="F970" t="s">
        <v>17030</v>
      </c>
      <c r="G970" t="s">
        <v>74</v>
      </c>
      <c r="H970" t="s">
        <v>74</v>
      </c>
      <c r="I970" t="s">
        <v>17031</v>
      </c>
      <c r="J970" t="s">
        <v>17011</v>
      </c>
      <c r="K970" t="s">
        <v>74</v>
      </c>
      <c r="L970" t="s">
        <v>74</v>
      </c>
      <c r="M970" t="s">
        <v>78</v>
      </c>
      <c r="N970" t="s">
        <v>1437</v>
      </c>
      <c r="O970" t="s">
        <v>17032</v>
      </c>
      <c r="P970" t="s">
        <v>17033</v>
      </c>
      <c r="Q970" t="s">
        <v>17034</v>
      </c>
      <c r="R970" t="s">
        <v>74</v>
      </c>
      <c r="S970" t="s">
        <v>17035</v>
      </c>
      <c r="T970" t="s">
        <v>74</v>
      </c>
      <c r="U970" t="s">
        <v>17036</v>
      </c>
      <c r="V970" t="s">
        <v>17037</v>
      </c>
      <c r="W970" t="s">
        <v>17038</v>
      </c>
      <c r="X970" t="s">
        <v>17039</v>
      </c>
      <c r="Y970" t="s">
        <v>17040</v>
      </c>
      <c r="Z970" t="s">
        <v>17041</v>
      </c>
      <c r="AA970" t="s">
        <v>17042</v>
      </c>
      <c r="AB970" t="s">
        <v>17043</v>
      </c>
      <c r="AC970" t="s">
        <v>74</v>
      </c>
      <c r="AD970" t="s">
        <v>74</v>
      </c>
      <c r="AE970" t="s">
        <v>74</v>
      </c>
      <c r="AF970" t="s">
        <v>74</v>
      </c>
      <c r="AG970">
        <v>13</v>
      </c>
      <c r="AH970">
        <v>12</v>
      </c>
      <c r="AI970">
        <v>14</v>
      </c>
      <c r="AJ970">
        <v>0</v>
      </c>
      <c r="AK970">
        <v>4</v>
      </c>
      <c r="AL970" t="s">
        <v>17020</v>
      </c>
      <c r="AM970" t="s">
        <v>9904</v>
      </c>
      <c r="AN970" t="s">
        <v>17021</v>
      </c>
      <c r="AO970" t="s">
        <v>17022</v>
      </c>
      <c r="AP970" t="s">
        <v>17023</v>
      </c>
      <c r="AQ970" t="s">
        <v>74</v>
      </c>
      <c r="AR970" t="s">
        <v>17024</v>
      </c>
      <c r="AS970" t="s">
        <v>17025</v>
      </c>
      <c r="AT970" t="s">
        <v>74</v>
      </c>
      <c r="AU970">
        <v>2009</v>
      </c>
      <c r="AV970">
        <v>18</v>
      </c>
      <c r="AW970">
        <v>2</v>
      </c>
      <c r="AX970" t="s">
        <v>74</v>
      </c>
      <c r="AY970" t="s">
        <v>74</v>
      </c>
      <c r="AZ970" t="s">
        <v>2297</v>
      </c>
      <c r="BA970" t="s">
        <v>74</v>
      </c>
      <c r="BB970">
        <v>163</v>
      </c>
      <c r="BC970">
        <v>167</v>
      </c>
      <c r="BD970" t="s">
        <v>74</v>
      </c>
      <c r="BE970" t="s">
        <v>17044</v>
      </c>
      <c r="BF970" t="str">
        <f>HYPERLINK("http://dx.doi.org/10.1127/0941-2948/2009/0369","http://dx.doi.org/10.1127/0941-2948/2009/0369")</f>
        <v>http://dx.doi.org/10.1127/0941-2948/2009/0369</v>
      </c>
      <c r="BG970" t="s">
        <v>74</v>
      </c>
      <c r="BH970" t="s">
        <v>74</v>
      </c>
      <c r="BI970">
        <v>5</v>
      </c>
      <c r="BJ970" t="s">
        <v>398</v>
      </c>
      <c r="BK970" t="s">
        <v>1453</v>
      </c>
      <c r="BL970" t="s">
        <v>398</v>
      </c>
      <c r="BM970" t="s">
        <v>17045</v>
      </c>
      <c r="BN970" t="s">
        <v>74</v>
      </c>
      <c r="BO970" t="s">
        <v>74</v>
      </c>
      <c r="BP970" t="s">
        <v>74</v>
      </c>
      <c r="BQ970" t="s">
        <v>74</v>
      </c>
      <c r="BR970" t="s">
        <v>103</v>
      </c>
      <c r="BS970" t="s">
        <v>17046</v>
      </c>
      <c r="BT970" t="str">
        <f>HYPERLINK("https%3A%2F%2Fwww.webofscience.com%2Fwos%2Fwoscc%2Ffull-record%2FWOS:000266224600007","View Full Record in Web of Science")</f>
        <v>View Full Record in Web of Science</v>
      </c>
    </row>
    <row r="971" spans="1:72" x14ac:dyDescent="0.15">
      <c r="A971" t="s">
        <v>72</v>
      </c>
      <c r="B971" t="s">
        <v>17047</v>
      </c>
      <c r="C971" t="s">
        <v>74</v>
      </c>
      <c r="D971" t="s">
        <v>74</v>
      </c>
      <c r="E971" t="s">
        <v>74</v>
      </c>
      <c r="F971" t="s">
        <v>17048</v>
      </c>
      <c r="G971" t="s">
        <v>74</v>
      </c>
      <c r="H971" t="s">
        <v>74</v>
      </c>
      <c r="I971" t="s">
        <v>17049</v>
      </c>
      <c r="J971" t="s">
        <v>17011</v>
      </c>
      <c r="K971" t="s">
        <v>74</v>
      </c>
      <c r="L971" t="s">
        <v>74</v>
      </c>
      <c r="M971" t="s">
        <v>78</v>
      </c>
      <c r="N971" t="s">
        <v>79</v>
      </c>
      <c r="O971" t="s">
        <v>74</v>
      </c>
      <c r="P971" t="s">
        <v>74</v>
      </c>
      <c r="Q971" t="s">
        <v>74</v>
      </c>
      <c r="R971" t="s">
        <v>74</v>
      </c>
      <c r="S971" t="s">
        <v>74</v>
      </c>
      <c r="T971" t="s">
        <v>74</v>
      </c>
      <c r="U971" t="s">
        <v>17050</v>
      </c>
      <c r="V971" t="s">
        <v>17051</v>
      </c>
      <c r="W971" t="s">
        <v>17052</v>
      </c>
      <c r="X971" t="s">
        <v>17053</v>
      </c>
      <c r="Y971" t="s">
        <v>17054</v>
      </c>
      <c r="Z971" t="s">
        <v>17055</v>
      </c>
      <c r="AA971" t="s">
        <v>17056</v>
      </c>
      <c r="AB971" t="s">
        <v>17057</v>
      </c>
      <c r="AC971" t="s">
        <v>17058</v>
      </c>
      <c r="AD971" t="s">
        <v>17059</v>
      </c>
      <c r="AE971" t="s">
        <v>17060</v>
      </c>
      <c r="AF971" t="s">
        <v>74</v>
      </c>
      <c r="AG971">
        <v>50</v>
      </c>
      <c r="AH971">
        <v>29</v>
      </c>
      <c r="AI971">
        <v>29</v>
      </c>
      <c r="AJ971">
        <v>0</v>
      </c>
      <c r="AK971">
        <v>9</v>
      </c>
      <c r="AL971" t="s">
        <v>17020</v>
      </c>
      <c r="AM971" t="s">
        <v>9904</v>
      </c>
      <c r="AN971" t="s">
        <v>17021</v>
      </c>
      <c r="AO971" t="s">
        <v>17022</v>
      </c>
      <c r="AP971" t="s">
        <v>17023</v>
      </c>
      <c r="AQ971" t="s">
        <v>74</v>
      </c>
      <c r="AR971" t="s">
        <v>17024</v>
      </c>
      <c r="AS971" t="s">
        <v>17025</v>
      </c>
      <c r="AT971" t="s">
        <v>74</v>
      </c>
      <c r="AU971">
        <v>2009</v>
      </c>
      <c r="AV971">
        <v>18</v>
      </c>
      <c r="AW971">
        <v>4</v>
      </c>
      <c r="AX971" t="s">
        <v>74</v>
      </c>
      <c r="AY971" t="s">
        <v>74</v>
      </c>
      <c r="AZ971" t="s">
        <v>2297</v>
      </c>
      <c r="BA971" t="s">
        <v>74</v>
      </c>
      <c r="BB971">
        <v>425</v>
      </c>
      <c r="BC971">
        <v>432</v>
      </c>
      <c r="BD971" t="s">
        <v>74</v>
      </c>
      <c r="BE971" t="s">
        <v>17061</v>
      </c>
      <c r="BF971" t="str">
        <f>HYPERLINK("http://dx.doi.org/10.1127/0941-2948/2009/0391","http://dx.doi.org/10.1127/0941-2948/2009/0391")</f>
        <v>http://dx.doi.org/10.1127/0941-2948/2009/0391</v>
      </c>
      <c r="BG971" t="s">
        <v>74</v>
      </c>
      <c r="BH971" t="s">
        <v>74</v>
      </c>
      <c r="BI971">
        <v>8</v>
      </c>
      <c r="BJ971" t="s">
        <v>398</v>
      </c>
      <c r="BK971" t="s">
        <v>100</v>
      </c>
      <c r="BL971" t="s">
        <v>398</v>
      </c>
      <c r="BM971" t="s">
        <v>17062</v>
      </c>
      <c r="BN971" t="s">
        <v>74</v>
      </c>
      <c r="BO971" t="s">
        <v>74</v>
      </c>
      <c r="BP971" t="s">
        <v>74</v>
      </c>
      <c r="BQ971" t="s">
        <v>74</v>
      </c>
      <c r="BR971" t="s">
        <v>103</v>
      </c>
      <c r="BS971" t="s">
        <v>17063</v>
      </c>
      <c r="BT971" t="str">
        <f>HYPERLINK("https%3A%2F%2Fwww.webofscience.com%2Fwos%2Fwoscc%2Ffull-record%2FWOS:000269981500006","View Full Record in Web of Science")</f>
        <v>View Full Record in Web of Science</v>
      </c>
    </row>
    <row r="972" spans="1:72" x14ac:dyDescent="0.15">
      <c r="A972" t="s">
        <v>72</v>
      </c>
      <c r="B972" t="s">
        <v>17064</v>
      </c>
      <c r="C972" t="s">
        <v>74</v>
      </c>
      <c r="D972" t="s">
        <v>74</v>
      </c>
      <c r="E972" t="s">
        <v>74</v>
      </c>
      <c r="F972" t="s">
        <v>17065</v>
      </c>
      <c r="G972" t="s">
        <v>74</v>
      </c>
      <c r="H972" t="s">
        <v>74</v>
      </c>
      <c r="I972" t="s">
        <v>17066</v>
      </c>
      <c r="J972" t="s">
        <v>17067</v>
      </c>
      <c r="K972" t="s">
        <v>74</v>
      </c>
      <c r="L972" t="s">
        <v>74</v>
      </c>
      <c r="M972" t="s">
        <v>78</v>
      </c>
      <c r="N972" t="s">
        <v>172</v>
      </c>
      <c r="O972" t="s">
        <v>74</v>
      </c>
      <c r="P972" t="s">
        <v>74</v>
      </c>
      <c r="Q972" t="s">
        <v>74</v>
      </c>
      <c r="R972" t="s">
        <v>74</v>
      </c>
      <c r="S972" t="s">
        <v>74</v>
      </c>
      <c r="T972" t="s">
        <v>74</v>
      </c>
      <c r="U972" t="s">
        <v>17068</v>
      </c>
      <c r="V972" t="s">
        <v>17069</v>
      </c>
      <c r="W972" t="s">
        <v>17070</v>
      </c>
      <c r="X972" t="s">
        <v>17071</v>
      </c>
      <c r="Y972" t="s">
        <v>17072</v>
      </c>
      <c r="Z972" t="s">
        <v>17073</v>
      </c>
      <c r="AA972" t="s">
        <v>74</v>
      </c>
      <c r="AB972" t="s">
        <v>74</v>
      </c>
      <c r="AC972" t="s">
        <v>74</v>
      </c>
      <c r="AD972" t="s">
        <v>74</v>
      </c>
      <c r="AE972" t="s">
        <v>74</v>
      </c>
      <c r="AF972" t="s">
        <v>74</v>
      </c>
      <c r="AG972">
        <v>188</v>
      </c>
      <c r="AH972">
        <v>3</v>
      </c>
      <c r="AI972">
        <v>3</v>
      </c>
      <c r="AJ972">
        <v>0</v>
      </c>
      <c r="AK972">
        <v>2</v>
      </c>
      <c r="AL972" t="s">
        <v>17074</v>
      </c>
      <c r="AM972" t="s">
        <v>17075</v>
      </c>
      <c r="AN972" t="s">
        <v>17076</v>
      </c>
      <c r="AO972" t="s">
        <v>17077</v>
      </c>
      <c r="AP972" t="s">
        <v>17078</v>
      </c>
      <c r="AQ972" t="s">
        <v>74</v>
      </c>
      <c r="AR972" t="s">
        <v>17067</v>
      </c>
      <c r="AS972" t="s">
        <v>17079</v>
      </c>
      <c r="AT972" t="s">
        <v>74</v>
      </c>
      <c r="AU972">
        <v>2009</v>
      </c>
      <c r="AV972">
        <v>55</v>
      </c>
      <c r="AW972">
        <v>1</v>
      </c>
      <c r="AX972" t="s">
        <v>74</v>
      </c>
      <c r="AY972" t="s">
        <v>74</v>
      </c>
      <c r="AZ972" t="s">
        <v>74</v>
      </c>
      <c r="BA972" t="s">
        <v>74</v>
      </c>
      <c r="BB972">
        <v>1</v>
      </c>
      <c r="BC972">
        <v>21</v>
      </c>
      <c r="BD972" t="s">
        <v>74</v>
      </c>
      <c r="BE972" t="s">
        <v>74</v>
      </c>
      <c r="BF972" t="s">
        <v>74</v>
      </c>
      <c r="BG972" t="s">
        <v>74</v>
      </c>
      <c r="BH972" t="s">
        <v>74</v>
      </c>
      <c r="BI972">
        <v>21</v>
      </c>
      <c r="BJ972" t="s">
        <v>2523</v>
      </c>
      <c r="BK972" t="s">
        <v>100</v>
      </c>
      <c r="BL972" t="s">
        <v>2523</v>
      </c>
      <c r="BM972" t="s">
        <v>17080</v>
      </c>
      <c r="BN972" t="s">
        <v>74</v>
      </c>
      <c r="BO972" t="s">
        <v>74</v>
      </c>
      <c r="BP972" t="s">
        <v>74</v>
      </c>
      <c r="BQ972" t="s">
        <v>74</v>
      </c>
      <c r="BR972" t="s">
        <v>103</v>
      </c>
      <c r="BS972" t="s">
        <v>17081</v>
      </c>
      <c r="BT972" t="str">
        <f>HYPERLINK("https%3A%2F%2Fwww.webofscience.com%2Fwos%2Fwoscc%2Ffull-record%2FWOS:000264542200001","View Full Record in Web of Science")</f>
        <v>View Full Record in Web of Science</v>
      </c>
    </row>
    <row r="973" spans="1:72" x14ac:dyDescent="0.15">
      <c r="A973" t="s">
        <v>72</v>
      </c>
      <c r="B973" t="s">
        <v>17082</v>
      </c>
      <c r="C973" t="s">
        <v>74</v>
      </c>
      <c r="D973" t="s">
        <v>74</v>
      </c>
      <c r="E973" t="s">
        <v>74</v>
      </c>
      <c r="F973" t="s">
        <v>17083</v>
      </c>
      <c r="G973" t="s">
        <v>74</v>
      </c>
      <c r="H973" t="s">
        <v>74</v>
      </c>
      <c r="I973" t="s">
        <v>17084</v>
      </c>
      <c r="J973" t="s">
        <v>17067</v>
      </c>
      <c r="K973" t="s">
        <v>74</v>
      </c>
      <c r="L973" t="s">
        <v>74</v>
      </c>
      <c r="M973" t="s">
        <v>78</v>
      </c>
      <c r="N973" t="s">
        <v>79</v>
      </c>
      <c r="O973" t="s">
        <v>74</v>
      </c>
      <c r="P973" t="s">
        <v>74</v>
      </c>
      <c r="Q973" t="s">
        <v>74</v>
      </c>
      <c r="R973" t="s">
        <v>74</v>
      </c>
      <c r="S973" t="s">
        <v>74</v>
      </c>
      <c r="T973" t="s">
        <v>74</v>
      </c>
      <c r="U973" t="s">
        <v>17085</v>
      </c>
      <c r="V973" t="s">
        <v>17086</v>
      </c>
      <c r="W973" t="s">
        <v>17087</v>
      </c>
      <c r="X973" t="s">
        <v>17088</v>
      </c>
      <c r="Y973" t="s">
        <v>17089</v>
      </c>
      <c r="Z973" t="s">
        <v>17090</v>
      </c>
      <c r="AA973" t="s">
        <v>74</v>
      </c>
      <c r="AB973" t="s">
        <v>74</v>
      </c>
      <c r="AC973" t="s">
        <v>74</v>
      </c>
      <c r="AD973" t="s">
        <v>74</v>
      </c>
      <c r="AE973" t="s">
        <v>74</v>
      </c>
      <c r="AF973" t="s">
        <v>74</v>
      </c>
      <c r="AG973">
        <v>83</v>
      </c>
      <c r="AH973">
        <v>6</v>
      </c>
      <c r="AI973">
        <v>6</v>
      </c>
      <c r="AJ973">
        <v>0</v>
      </c>
      <c r="AK973">
        <v>7</v>
      </c>
      <c r="AL973" t="s">
        <v>17074</v>
      </c>
      <c r="AM973" t="s">
        <v>17075</v>
      </c>
      <c r="AN973" t="s">
        <v>17076</v>
      </c>
      <c r="AO973" t="s">
        <v>17077</v>
      </c>
      <c r="AP973" t="s">
        <v>17078</v>
      </c>
      <c r="AQ973" t="s">
        <v>74</v>
      </c>
      <c r="AR973" t="s">
        <v>17067</v>
      </c>
      <c r="AS973" t="s">
        <v>17079</v>
      </c>
      <c r="AT973" t="s">
        <v>74</v>
      </c>
      <c r="AU973">
        <v>2009</v>
      </c>
      <c r="AV973">
        <v>55</v>
      </c>
      <c r="AW973">
        <v>4</v>
      </c>
      <c r="AX973" t="s">
        <v>74</v>
      </c>
      <c r="AY973" t="s">
        <v>74</v>
      </c>
      <c r="AZ973" t="s">
        <v>74</v>
      </c>
      <c r="BA973" t="s">
        <v>74</v>
      </c>
      <c r="BB973">
        <v>383</v>
      </c>
      <c r="BC973">
        <v>395</v>
      </c>
      <c r="BD973" t="s">
        <v>74</v>
      </c>
      <c r="BE973" t="s">
        <v>74</v>
      </c>
      <c r="BF973" t="s">
        <v>74</v>
      </c>
      <c r="BG973" t="s">
        <v>74</v>
      </c>
      <c r="BH973" t="s">
        <v>74</v>
      </c>
      <c r="BI973">
        <v>13</v>
      </c>
      <c r="BJ973" t="s">
        <v>2523</v>
      </c>
      <c r="BK973" t="s">
        <v>100</v>
      </c>
      <c r="BL973" t="s">
        <v>2523</v>
      </c>
      <c r="BM973" t="s">
        <v>17091</v>
      </c>
      <c r="BN973" t="s">
        <v>74</v>
      </c>
      <c r="BO973" t="s">
        <v>74</v>
      </c>
      <c r="BP973" t="s">
        <v>74</v>
      </c>
      <c r="BQ973" t="s">
        <v>74</v>
      </c>
      <c r="BR973" t="s">
        <v>103</v>
      </c>
      <c r="BS973" t="s">
        <v>17092</v>
      </c>
      <c r="BT973" t="str">
        <f>HYPERLINK("https%3A%2F%2Fwww.webofscience.com%2Fwos%2Fwoscc%2Ffull-record%2FWOS:000268205400004","View Full Record in Web of Science")</f>
        <v>View Full Record in Web of Science</v>
      </c>
    </row>
    <row r="974" spans="1:72" x14ac:dyDescent="0.15">
      <c r="A974" t="s">
        <v>5277</v>
      </c>
      <c r="B974" t="s">
        <v>17093</v>
      </c>
      <c r="C974" t="s">
        <v>74</v>
      </c>
      <c r="D974" t="s">
        <v>17094</v>
      </c>
      <c r="E974" t="s">
        <v>74</v>
      </c>
      <c r="F974" t="s">
        <v>17095</v>
      </c>
      <c r="G974" t="s">
        <v>74</v>
      </c>
      <c r="H974" t="s">
        <v>74</v>
      </c>
      <c r="I974" t="s">
        <v>17096</v>
      </c>
      <c r="J974" t="s">
        <v>17097</v>
      </c>
      <c r="K974" t="s">
        <v>17098</v>
      </c>
      <c r="L974" t="s">
        <v>74</v>
      </c>
      <c r="M974" t="s">
        <v>78</v>
      </c>
      <c r="N974" t="s">
        <v>11976</v>
      </c>
      <c r="O974" t="s">
        <v>74</v>
      </c>
      <c r="P974" t="s">
        <v>74</v>
      </c>
      <c r="Q974" t="s">
        <v>74</v>
      </c>
      <c r="R974" t="s">
        <v>74</v>
      </c>
      <c r="S974" t="s">
        <v>74</v>
      </c>
      <c r="T974" t="s">
        <v>17099</v>
      </c>
      <c r="U974" t="s">
        <v>17100</v>
      </c>
      <c r="V974" t="s">
        <v>17101</v>
      </c>
      <c r="W974" t="s">
        <v>17102</v>
      </c>
      <c r="X974" t="s">
        <v>17103</v>
      </c>
      <c r="Y974" t="s">
        <v>17104</v>
      </c>
      <c r="Z974" t="s">
        <v>17105</v>
      </c>
      <c r="AA974" t="s">
        <v>17106</v>
      </c>
      <c r="AB974" t="s">
        <v>17107</v>
      </c>
      <c r="AC974" t="s">
        <v>74</v>
      </c>
      <c r="AD974" t="s">
        <v>74</v>
      </c>
      <c r="AE974" t="s">
        <v>74</v>
      </c>
      <c r="AF974" t="s">
        <v>74</v>
      </c>
      <c r="AG974">
        <v>42</v>
      </c>
      <c r="AH974">
        <v>12</v>
      </c>
      <c r="AI974">
        <v>12</v>
      </c>
      <c r="AJ974">
        <v>0</v>
      </c>
      <c r="AK974">
        <v>4</v>
      </c>
      <c r="AL974" t="s">
        <v>91</v>
      </c>
      <c r="AM974" t="s">
        <v>92</v>
      </c>
      <c r="AN974" t="s">
        <v>14534</v>
      </c>
      <c r="AO974" t="s">
        <v>74</v>
      </c>
      <c r="AP974" t="s">
        <v>74</v>
      </c>
      <c r="AQ974" t="s">
        <v>17108</v>
      </c>
      <c r="AR974" t="s">
        <v>17109</v>
      </c>
      <c r="AS974" t="s">
        <v>74</v>
      </c>
      <c r="AT974" t="s">
        <v>74</v>
      </c>
      <c r="AU974">
        <v>2009</v>
      </c>
      <c r="AV974">
        <v>3</v>
      </c>
      <c r="AW974" t="s">
        <v>74</v>
      </c>
      <c r="AX974" t="s">
        <v>74</v>
      </c>
      <c r="AY974" t="s">
        <v>74</v>
      </c>
      <c r="AZ974" t="s">
        <v>74</v>
      </c>
      <c r="BA974" t="s">
        <v>74</v>
      </c>
      <c r="BB974">
        <v>43</v>
      </c>
      <c r="BC974">
        <v>58</v>
      </c>
      <c r="BD974" t="s">
        <v>74</v>
      </c>
      <c r="BE974" t="s">
        <v>17110</v>
      </c>
      <c r="BF974" t="str">
        <f>HYPERLINK("http://dx.doi.org/10.1007/978-0-387-78151-8_3","http://dx.doi.org/10.1007/978-0-387-78151-8_3")</f>
        <v>http://dx.doi.org/10.1007/978-0-387-78151-8_3</v>
      </c>
      <c r="BG974" t="s">
        <v>17111</v>
      </c>
      <c r="BH974" t="s">
        <v>74</v>
      </c>
      <c r="BI974">
        <v>16</v>
      </c>
      <c r="BJ974" t="s">
        <v>17112</v>
      </c>
      <c r="BK974" t="s">
        <v>11989</v>
      </c>
      <c r="BL974" t="s">
        <v>9142</v>
      </c>
      <c r="BM974" t="s">
        <v>17113</v>
      </c>
      <c r="BN974" t="s">
        <v>74</v>
      </c>
      <c r="BO974" t="s">
        <v>74</v>
      </c>
      <c r="BP974" t="s">
        <v>74</v>
      </c>
      <c r="BQ974" t="s">
        <v>74</v>
      </c>
      <c r="BR974" t="s">
        <v>103</v>
      </c>
      <c r="BS974" t="s">
        <v>17114</v>
      </c>
      <c r="BT974" t="str">
        <f>HYPERLINK("https%3A%2F%2Fwww.webofscience.com%2Fwos%2Fwoscc%2Ffull-record%2FWOS:000268029000054","View Full Record in Web of Science")</f>
        <v>View Full Record in Web of Science</v>
      </c>
    </row>
    <row r="975" spans="1:72" x14ac:dyDescent="0.15">
      <c r="A975" t="s">
        <v>5277</v>
      </c>
      <c r="B975" t="s">
        <v>17115</v>
      </c>
      <c r="C975" t="s">
        <v>74</v>
      </c>
      <c r="D975" t="s">
        <v>17116</v>
      </c>
      <c r="E975" t="s">
        <v>74</v>
      </c>
      <c r="F975" t="s">
        <v>17117</v>
      </c>
      <c r="G975" t="s">
        <v>74</v>
      </c>
      <c r="H975" t="s">
        <v>74</v>
      </c>
      <c r="I975" t="s">
        <v>17118</v>
      </c>
      <c r="J975" t="s">
        <v>17119</v>
      </c>
      <c r="K975" t="s">
        <v>74</v>
      </c>
      <c r="L975" t="s">
        <v>74</v>
      </c>
      <c r="M975" t="s">
        <v>78</v>
      </c>
      <c r="N975" t="s">
        <v>11976</v>
      </c>
      <c r="O975" t="s">
        <v>74</v>
      </c>
      <c r="P975" t="s">
        <v>74</v>
      </c>
      <c r="Q975" t="s">
        <v>74</v>
      </c>
      <c r="R975" t="s">
        <v>74</v>
      </c>
      <c r="S975" t="s">
        <v>74</v>
      </c>
      <c r="T975" t="s">
        <v>74</v>
      </c>
      <c r="U975" t="s">
        <v>17120</v>
      </c>
      <c r="V975" t="s">
        <v>74</v>
      </c>
      <c r="W975" t="s">
        <v>17121</v>
      </c>
      <c r="X975" t="s">
        <v>17122</v>
      </c>
      <c r="Y975" t="s">
        <v>74</v>
      </c>
      <c r="Z975" t="s">
        <v>74</v>
      </c>
      <c r="AA975" t="s">
        <v>74</v>
      </c>
      <c r="AB975" t="s">
        <v>74</v>
      </c>
      <c r="AC975" t="s">
        <v>74</v>
      </c>
      <c r="AD975" t="s">
        <v>74</v>
      </c>
      <c r="AE975" t="s">
        <v>74</v>
      </c>
      <c r="AF975" t="s">
        <v>74</v>
      </c>
      <c r="AG975">
        <v>113</v>
      </c>
      <c r="AH975">
        <v>6</v>
      </c>
      <c r="AI975">
        <v>8</v>
      </c>
      <c r="AJ975">
        <v>0</v>
      </c>
      <c r="AK975">
        <v>4</v>
      </c>
      <c r="AL975" t="s">
        <v>11430</v>
      </c>
      <c r="AM975" t="s">
        <v>1802</v>
      </c>
      <c r="AN975" t="s">
        <v>11431</v>
      </c>
      <c r="AO975" t="s">
        <v>74</v>
      </c>
      <c r="AP975" t="s">
        <v>74</v>
      </c>
      <c r="AQ975" t="s">
        <v>17123</v>
      </c>
      <c r="AR975" t="s">
        <v>74</v>
      </c>
      <c r="AS975" t="s">
        <v>74</v>
      </c>
      <c r="AT975" t="s">
        <v>74</v>
      </c>
      <c r="AU975">
        <v>2009</v>
      </c>
      <c r="AV975" t="s">
        <v>74</v>
      </c>
      <c r="AW975" t="s">
        <v>74</v>
      </c>
      <c r="AX975" t="s">
        <v>74</v>
      </c>
      <c r="AY975" t="s">
        <v>74</v>
      </c>
      <c r="AZ975" t="s">
        <v>74</v>
      </c>
      <c r="BA975" t="s">
        <v>74</v>
      </c>
      <c r="BB975">
        <v>93</v>
      </c>
      <c r="BC975">
        <v>128</v>
      </c>
      <c r="BD975" t="s">
        <v>74</v>
      </c>
      <c r="BE975" t="s">
        <v>17124</v>
      </c>
      <c r="BF975" t="str">
        <f>HYPERLINK("http://dx.doi.org/10.1016/B978-0-12-374195-0.00003-3","http://dx.doi.org/10.1016/B978-0-12-374195-0.00003-3")</f>
        <v>http://dx.doi.org/10.1016/B978-0-12-374195-0.00003-3</v>
      </c>
      <c r="BG975" t="s">
        <v>74</v>
      </c>
      <c r="BH975" t="s">
        <v>74</v>
      </c>
      <c r="BI975">
        <v>36</v>
      </c>
      <c r="BJ975" t="s">
        <v>17125</v>
      </c>
      <c r="BK975" t="s">
        <v>11989</v>
      </c>
      <c r="BL975" t="s">
        <v>17126</v>
      </c>
      <c r="BM975" t="s">
        <v>17127</v>
      </c>
      <c r="BN975" t="s">
        <v>74</v>
      </c>
      <c r="BO975" t="s">
        <v>74</v>
      </c>
      <c r="BP975" t="s">
        <v>74</v>
      </c>
      <c r="BQ975" t="s">
        <v>74</v>
      </c>
      <c r="BR975" t="s">
        <v>103</v>
      </c>
      <c r="BS975" t="s">
        <v>17128</v>
      </c>
      <c r="BT975" t="str">
        <f>HYPERLINK("https%3A%2F%2Fwww.webofscience.com%2Fwos%2Fwoscc%2Ffull-record%2FWOS:000311357800004","View Full Record in Web of Science")</f>
        <v>View Full Record in Web of Science</v>
      </c>
    </row>
    <row r="976" spans="1:72" x14ac:dyDescent="0.15">
      <c r="A976" t="s">
        <v>72</v>
      </c>
      <c r="B976" t="s">
        <v>17129</v>
      </c>
      <c r="C976" t="s">
        <v>74</v>
      </c>
      <c r="D976" t="s">
        <v>74</v>
      </c>
      <c r="E976" t="s">
        <v>74</v>
      </c>
      <c r="F976" t="s">
        <v>17130</v>
      </c>
      <c r="G976" t="s">
        <v>74</v>
      </c>
      <c r="H976" t="s">
        <v>74</v>
      </c>
      <c r="I976" t="s">
        <v>17131</v>
      </c>
      <c r="J976" t="s">
        <v>2352</v>
      </c>
      <c r="K976" t="s">
        <v>74</v>
      </c>
      <c r="L976" t="s">
        <v>74</v>
      </c>
      <c r="M976" t="s">
        <v>78</v>
      </c>
      <c r="N976" t="s">
        <v>79</v>
      </c>
      <c r="O976" t="s">
        <v>74</v>
      </c>
      <c r="P976" t="s">
        <v>74</v>
      </c>
      <c r="Q976" t="s">
        <v>74</v>
      </c>
      <c r="R976" t="s">
        <v>74</v>
      </c>
      <c r="S976" t="s">
        <v>74</v>
      </c>
      <c r="T976" t="s">
        <v>17132</v>
      </c>
      <c r="U976" t="s">
        <v>17133</v>
      </c>
      <c r="V976" t="s">
        <v>17134</v>
      </c>
      <c r="W976" t="s">
        <v>17135</v>
      </c>
      <c r="X976" t="s">
        <v>16069</v>
      </c>
      <c r="Y976" t="s">
        <v>17136</v>
      </c>
      <c r="Z976" t="s">
        <v>16089</v>
      </c>
      <c r="AA976" t="s">
        <v>17137</v>
      </c>
      <c r="AB976" t="s">
        <v>17138</v>
      </c>
      <c r="AC976" t="s">
        <v>17139</v>
      </c>
      <c r="AD976" t="s">
        <v>17140</v>
      </c>
      <c r="AE976" t="s">
        <v>17141</v>
      </c>
      <c r="AF976" t="s">
        <v>74</v>
      </c>
      <c r="AG976">
        <v>49</v>
      </c>
      <c r="AH976">
        <v>37</v>
      </c>
      <c r="AI976">
        <v>45</v>
      </c>
      <c r="AJ976">
        <v>0</v>
      </c>
      <c r="AK976">
        <v>24</v>
      </c>
      <c r="AL976" t="s">
        <v>489</v>
      </c>
      <c r="AM976" t="s">
        <v>490</v>
      </c>
      <c r="AN976" t="s">
        <v>491</v>
      </c>
      <c r="AO976" t="s">
        <v>2362</v>
      </c>
      <c r="AP976" t="s">
        <v>2363</v>
      </c>
      <c r="AQ976" t="s">
        <v>74</v>
      </c>
      <c r="AR976" t="s">
        <v>2364</v>
      </c>
      <c r="AS976" t="s">
        <v>2365</v>
      </c>
      <c r="AT976" t="s">
        <v>11480</v>
      </c>
      <c r="AU976">
        <v>2009</v>
      </c>
      <c r="AV976">
        <v>18</v>
      </c>
      <c r="AW976">
        <v>2</v>
      </c>
      <c r="AX976" t="s">
        <v>74</v>
      </c>
      <c r="AY976" t="s">
        <v>74</v>
      </c>
      <c r="AZ976" t="s">
        <v>74</v>
      </c>
      <c r="BA976" t="s">
        <v>74</v>
      </c>
      <c r="BB976">
        <v>200</v>
      </c>
      <c r="BC976">
        <v>211</v>
      </c>
      <c r="BD976" t="s">
        <v>74</v>
      </c>
      <c r="BE976" t="s">
        <v>17142</v>
      </c>
      <c r="BF976" t="str">
        <f>HYPERLINK("http://dx.doi.org/10.1111/j.1365-294X.2008.04019.x","http://dx.doi.org/10.1111/j.1365-294X.2008.04019.x")</f>
        <v>http://dx.doi.org/10.1111/j.1365-294X.2008.04019.x</v>
      </c>
      <c r="BG976" t="s">
        <v>74</v>
      </c>
      <c r="BH976" t="s">
        <v>74</v>
      </c>
      <c r="BI976">
        <v>12</v>
      </c>
      <c r="BJ976" t="s">
        <v>2367</v>
      </c>
      <c r="BK976" t="s">
        <v>100</v>
      </c>
      <c r="BL976" t="s">
        <v>2368</v>
      </c>
      <c r="BM976" t="s">
        <v>17143</v>
      </c>
      <c r="BN976">
        <v>19076275</v>
      </c>
      <c r="BO976" t="s">
        <v>74</v>
      </c>
      <c r="BP976" t="s">
        <v>74</v>
      </c>
      <c r="BQ976" t="s">
        <v>74</v>
      </c>
      <c r="BR976" t="s">
        <v>103</v>
      </c>
      <c r="BS976" t="s">
        <v>17144</v>
      </c>
      <c r="BT976" t="str">
        <f>HYPERLINK("https%3A%2F%2Fwww.webofscience.com%2Fwos%2Fwoscc%2Ffull-record%2FWOS:000262478700003","View Full Record in Web of Science")</f>
        <v>View Full Record in Web of Science</v>
      </c>
    </row>
    <row r="977" spans="1:72" x14ac:dyDescent="0.15">
      <c r="A977" t="s">
        <v>72</v>
      </c>
      <c r="B977" t="s">
        <v>17145</v>
      </c>
      <c r="C977" t="s">
        <v>74</v>
      </c>
      <c r="D977" t="s">
        <v>74</v>
      </c>
      <c r="E977" t="s">
        <v>74</v>
      </c>
      <c r="F977" t="s">
        <v>17146</v>
      </c>
      <c r="G977" t="s">
        <v>74</v>
      </c>
      <c r="H977" t="s">
        <v>74</v>
      </c>
      <c r="I977" t="s">
        <v>17147</v>
      </c>
      <c r="J977" t="s">
        <v>17148</v>
      </c>
      <c r="K977" t="s">
        <v>74</v>
      </c>
      <c r="L977" t="s">
        <v>74</v>
      </c>
      <c r="M977" t="s">
        <v>78</v>
      </c>
      <c r="N977" t="s">
        <v>79</v>
      </c>
      <c r="O977" t="s">
        <v>74</v>
      </c>
      <c r="P977" t="s">
        <v>74</v>
      </c>
      <c r="Q977" t="s">
        <v>74</v>
      </c>
      <c r="R977" t="s">
        <v>74</v>
      </c>
      <c r="S977" t="s">
        <v>74</v>
      </c>
      <c r="T977" t="s">
        <v>17149</v>
      </c>
      <c r="U977" t="s">
        <v>74</v>
      </c>
      <c r="V977" t="s">
        <v>17150</v>
      </c>
      <c r="W977" t="s">
        <v>17151</v>
      </c>
      <c r="X977" t="s">
        <v>17152</v>
      </c>
      <c r="Y977" t="s">
        <v>17153</v>
      </c>
      <c r="Z977" t="s">
        <v>17154</v>
      </c>
      <c r="AA977" t="s">
        <v>74</v>
      </c>
      <c r="AB977" t="s">
        <v>74</v>
      </c>
      <c r="AC977" t="s">
        <v>74</v>
      </c>
      <c r="AD977" t="s">
        <v>74</v>
      </c>
      <c r="AE977" t="s">
        <v>74</v>
      </c>
      <c r="AF977" t="s">
        <v>74</v>
      </c>
      <c r="AG977">
        <v>29</v>
      </c>
      <c r="AH977">
        <v>2</v>
      </c>
      <c r="AI977">
        <v>2</v>
      </c>
      <c r="AJ977">
        <v>0</v>
      </c>
      <c r="AK977">
        <v>2</v>
      </c>
      <c r="AL977" t="s">
        <v>1167</v>
      </c>
      <c r="AM977" t="s">
        <v>1168</v>
      </c>
      <c r="AN977" t="s">
        <v>1169</v>
      </c>
      <c r="AO977" t="s">
        <v>17155</v>
      </c>
      <c r="AP977" t="s">
        <v>17156</v>
      </c>
      <c r="AQ977" t="s">
        <v>74</v>
      </c>
      <c r="AR977" t="s">
        <v>17157</v>
      </c>
      <c r="AS977" t="s">
        <v>17158</v>
      </c>
      <c r="AT977" t="s">
        <v>74</v>
      </c>
      <c r="AU977">
        <v>2009</v>
      </c>
      <c r="AV977">
        <v>29</v>
      </c>
      <c r="AW977">
        <v>3</v>
      </c>
      <c r="AX977" t="s">
        <v>74</v>
      </c>
      <c r="AY977" t="s">
        <v>74</v>
      </c>
      <c r="AZ977" t="s">
        <v>74</v>
      </c>
      <c r="BA977" t="s">
        <v>74</v>
      </c>
      <c r="BB977">
        <v>147</v>
      </c>
      <c r="BC977">
        <v>154</v>
      </c>
      <c r="BD977" t="s">
        <v>74</v>
      </c>
      <c r="BE977" t="s">
        <v>74</v>
      </c>
      <c r="BF977" t="s">
        <v>74</v>
      </c>
      <c r="BG977" t="s">
        <v>74</v>
      </c>
      <c r="BH977" t="s">
        <v>74</v>
      </c>
      <c r="BI977">
        <v>8</v>
      </c>
      <c r="BJ977" t="s">
        <v>2084</v>
      </c>
      <c r="BK977" t="s">
        <v>100</v>
      </c>
      <c r="BL977" t="s">
        <v>2084</v>
      </c>
      <c r="BM977" t="s">
        <v>17159</v>
      </c>
      <c r="BN977" t="s">
        <v>74</v>
      </c>
      <c r="BO977" t="s">
        <v>74</v>
      </c>
      <c r="BP977" t="s">
        <v>74</v>
      </c>
      <c r="BQ977" t="s">
        <v>74</v>
      </c>
      <c r="BR977" t="s">
        <v>103</v>
      </c>
      <c r="BS977" t="s">
        <v>17160</v>
      </c>
      <c r="BT977" t="str">
        <f>HYPERLINK("https%3A%2F%2Fwww.webofscience.com%2Fwos%2Fwoscc%2Ffull-record%2FWOS:000270727500002","View Full Record in Web of Science")</f>
        <v>View Full Record in Web of Science</v>
      </c>
    </row>
    <row r="978" spans="1:72" x14ac:dyDescent="0.15">
      <c r="A978" t="s">
        <v>72</v>
      </c>
      <c r="B978" t="s">
        <v>17161</v>
      </c>
      <c r="C978" t="s">
        <v>74</v>
      </c>
      <c r="D978" t="s">
        <v>74</v>
      </c>
      <c r="E978" t="s">
        <v>74</v>
      </c>
      <c r="F978" t="s">
        <v>17162</v>
      </c>
      <c r="G978" t="s">
        <v>74</v>
      </c>
      <c r="H978" t="s">
        <v>74</v>
      </c>
      <c r="I978" t="s">
        <v>17163</v>
      </c>
      <c r="J978" t="s">
        <v>17164</v>
      </c>
      <c r="K978" t="s">
        <v>74</v>
      </c>
      <c r="L978" t="s">
        <v>74</v>
      </c>
      <c r="M978" t="s">
        <v>78</v>
      </c>
      <c r="N978" t="s">
        <v>79</v>
      </c>
      <c r="O978" t="s">
        <v>74</v>
      </c>
      <c r="P978" t="s">
        <v>74</v>
      </c>
      <c r="Q978" t="s">
        <v>74</v>
      </c>
      <c r="R978" t="s">
        <v>74</v>
      </c>
      <c r="S978" t="s">
        <v>74</v>
      </c>
      <c r="T978" t="s">
        <v>17165</v>
      </c>
      <c r="U978" t="s">
        <v>17166</v>
      </c>
      <c r="V978" t="s">
        <v>17167</v>
      </c>
      <c r="W978" t="s">
        <v>17168</v>
      </c>
      <c r="X978" t="s">
        <v>17169</v>
      </c>
      <c r="Y978" t="s">
        <v>17170</v>
      </c>
      <c r="Z978" t="s">
        <v>17171</v>
      </c>
      <c r="AA978" t="s">
        <v>74</v>
      </c>
      <c r="AB978" t="s">
        <v>74</v>
      </c>
      <c r="AC978" t="s">
        <v>17172</v>
      </c>
      <c r="AD978" t="s">
        <v>17173</v>
      </c>
      <c r="AE978" t="s">
        <v>17174</v>
      </c>
      <c r="AF978" t="s">
        <v>74</v>
      </c>
      <c r="AG978">
        <v>81</v>
      </c>
      <c r="AH978">
        <v>8</v>
      </c>
      <c r="AI978">
        <v>11</v>
      </c>
      <c r="AJ978">
        <v>0</v>
      </c>
      <c r="AK978">
        <v>5</v>
      </c>
      <c r="AL978" t="s">
        <v>17020</v>
      </c>
      <c r="AM978" t="s">
        <v>9904</v>
      </c>
      <c r="AN978" t="s">
        <v>17021</v>
      </c>
      <c r="AO978" t="s">
        <v>17175</v>
      </c>
      <c r="AP978" t="s">
        <v>74</v>
      </c>
      <c r="AQ978" t="s">
        <v>74</v>
      </c>
      <c r="AR978" t="s">
        <v>17176</v>
      </c>
      <c r="AS978" t="s">
        <v>17177</v>
      </c>
      <c r="AT978" t="s">
        <v>74</v>
      </c>
      <c r="AU978">
        <v>2009</v>
      </c>
      <c r="AV978">
        <v>251</v>
      </c>
      <c r="AW978">
        <v>3</v>
      </c>
      <c r="AX978" t="s">
        <v>74</v>
      </c>
      <c r="AY978" t="s">
        <v>74</v>
      </c>
      <c r="AZ978" t="s">
        <v>74</v>
      </c>
      <c r="BA978" t="s">
        <v>74</v>
      </c>
      <c r="BB978">
        <v>257</v>
      </c>
      <c r="BC978">
        <v>284</v>
      </c>
      <c r="BD978" t="s">
        <v>74</v>
      </c>
      <c r="BE978" t="s">
        <v>17178</v>
      </c>
      <c r="BF978" t="str">
        <f>HYPERLINK("http://dx.doi.org/10.1127/0077-7749/2009/0251-0257","http://dx.doi.org/10.1127/0077-7749/2009/0251-0257")</f>
        <v>http://dx.doi.org/10.1127/0077-7749/2009/0251-0257</v>
      </c>
      <c r="BG978" t="s">
        <v>74</v>
      </c>
      <c r="BH978" t="s">
        <v>74</v>
      </c>
      <c r="BI978">
        <v>28</v>
      </c>
      <c r="BJ978" t="s">
        <v>2523</v>
      </c>
      <c r="BK978" t="s">
        <v>100</v>
      </c>
      <c r="BL978" t="s">
        <v>2523</v>
      </c>
      <c r="BM978" t="s">
        <v>17179</v>
      </c>
      <c r="BN978" t="s">
        <v>74</v>
      </c>
      <c r="BO978" t="s">
        <v>74</v>
      </c>
      <c r="BP978" t="s">
        <v>74</v>
      </c>
      <c r="BQ978" t="s">
        <v>74</v>
      </c>
      <c r="BR978" t="s">
        <v>103</v>
      </c>
      <c r="BS978" t="s">
        <v>17180</v>
      </c>
      <c r="BT978" t="str">
        <f>HYPERLINK("https%3A%2F%2Fwww.webofscience.com%2Fwos%2Fwoscc%2Ffull-record%2FWOS:000264816100001","View Full Record in Web of Science")</f>
        <v>View Full Record in Web of Science</v>
      </c>
    </row>
    <row r="979" spans="1:72" x14ac:dyDescent="0.15">
      <c r="A979" t="s">
        <v>72</v>
      </c>
      <c r="B979" t="s">
        <v>17181</v>
      </c>
      <c r="C979" t="s">
        <v>74</v>
      </c>
      <c r="D979" t="s">
        <v>74</v>
      </c>
      <c r="E979" t="s">
        <v>74</v>
      </c>
      <c r="F979" t="s">
        <v>17182</v>
      </c>
      <c r="G979" t="s">
        <v>74</v>
      </c>
      <c r="H979" t="s">
        <v>74</v>
      </c>
      <c r="I979" t="s">
        <v>17183</v>
      </c>
      <c r="J979" t="s">
        <v>17184</v>
      </c>
      <c r="K979" t="s">
        <v>74</v>
      </c>
      <c r="L979" t="s">
        <v>74</v>
      </c>
      <c r="M979" t="s">
        <v>17185</v>
      </c>
      <c r="N979" t="s">
        <v>79</v>
      </c>
      <c r="O979" t="s">
        <v>74</v>
      </c>
      <c r="P979" t="s">
        <v>74</v>
      </c>
      <c r="Q979" t="s">
        <v>74</v>
      </c>
      <c r="R979" t="s">
        <v>74</v>
      </c>
      <c r="S979" t="s">
        <v>74</v>
      </c>
      <c r="T979" t="s">
        <v>74</v>
      </c>
      <c r="U979" t="s">
        <v>17186</v>
      </c>
      <c r="V979" t="s">
        <v>17187</v>
      </c>
      <c r="W979" t="s">
        <v>17188</v>
      </c>
      <c r="X979" t="s">
        <v>6944</v>
      </c>
      <c r="Y979" t="s">
        <v>17189</v>
      </c>
      <c r="Z979" t="s">
        <v>17190</v>
      </c>
      <c r="AA979" t="s">
        <v>17191</v>
      </c>
      <c r="AB979" t="s">
        <v>74</v>
      </c>
      <c r="AC979" t="s">
        <v>74</v>
      </c>
      <c r="AD979" t="s">
        <v>74</v>
      </c>
      <c r="AE979" t="s">
        <v>74</v>
      </c>
      <c r="AF979" t="s">
        <v>74</v>
      </c>
      <c r="AG979">
        <v>22</v>
      </c>
      <c r="AH979">
        <v>5</v>
      </c>
      <c r="AI979">
        <v>6</v>
      </c>
      <c r="AJ979">
        <v>0</v>
      </c>
      <c r="AK979">
        <v>2</v>
      </c>
      <c r="AL979" t="s">
        <v>17192</v>
      </c>
      <c r="AM979" t="s">
        <v>1975</v>
      </c>
      <c r="AN979" t="s">
        <v>17193</v>
      </c>
      <c r="AO979" t="s">
        <v>17194</v>
      </c>
      <c r="AP979" t="s">
        <v>17195</v>
      </c>
      <c r="AQ979" t="s">
        <v>74</v>
      </c>
      <c r="AR979" t="s">
        <v>17196</v>
      </c>
      <c r="AS979" t="s">
        <v>17197</v>
      </c>
      <c r="AT979" t="s">
        <v>11480</v>
      </c>
      <c r="AU979">
        <v>2009</v>
      </c>
      <c r="AV979">
        <v>75</v>
      </c>
      <c r="AW979">
        <v>1</v>
      </c>
      <c r="AX979" t="s">
        <v>74</v>
      </c>
      <c r="AY979" t="s">
        <v>74</v>
      </c>
      <c r="AZ979" t="s">
        <v>74</v>
      </c>
      <c r="BA979" t="s">
        <v>74</v>
      </c>
      <c r="BB979">
        <v>38</v>
      </c>
      <c r="BC979">
        <v>44</v>
      </c>
      <c r="BD979" t="s">
        <v>74</v>
      </c>
      <c r="BE979" t="s">
        <v>17198</v>
      </c>
      <c r="BF979" t="str">
        <f>HYPERLINK("http://dx.doi.org/10.2331/suisan.75.38","http://dx.doi.org/10.2331/suisan.75.38")</f>
        <v>http://dx.doi.org/10.2331/suisan.75.38</v>
      </c>
      <c r="BG979" t="s">
        <v>74</v>
      </c>
      <c r="BH979" t="s">
        <v>74</v>
      </c>
      <c r="BI979">
        <v>7</v>
      </c>
      <c r="BJ979" t="s">
        <v>6525</v>
      </c>
      <c r="BK979" t="s">
        <v>100</v>
      </c>
      <c r="BL979" t="s">
        <v>6525</v>
      </c>
      <c r="BM979" t="s">
        <v>17199</v>
      </c>
      <c r="BN979" t="s">
        <v>74</v>
      </c>
      <c r="BO979" t="s">
        <v>499</v>
      </c>
      <c r="BP979" t="s">
        <v>74</v>
      </c>
      <c r="BQ979" t="s">
        <v>74</v>
      </c>
      <c r="BR979" t="s">
        <v>103</v>
      </c>
      <c r="BS979" t="s">
        <v>17200</v>
      </c>
      <c r="BT979" t="str">
        <f>HYPERLINK("https%3A%2F%2Fwww.webofscience.com%2Fwos%2Fwoscc%2Ffull-record%2FWOS:000264034600005","View Full Record in Web of Science")</f>
        <v>View Full Record in Web of Science</v>
      </c>
    </row>
    <row r="980" spans="1:72" x14ac:dyDescent="0.15">
      <c r="A980" t="s">
        <v>72</v>
      </c>
      <c r="B980" t="s">
        <v>17201</v>
      </c>
      <c r="C980" t="s">
        <v>74</v>
      </c>
      <c r="D980" t="s">
        <v>74</v>
      </c>
      <c r="E980" t="s">
        <v>74</v>
      </c>
      <c r="F980" t="s">
        <v>17202</v>
      </c>
      <c r="G980" t="s">
        <v>74</v>
      </c>
      <c r="H980" t="s">
        <v>74</v>
      </c>
      <c r="I980" t="s">
        <v>17203</v>
      </c>
      <c r="J980" t="s">
        <v>17204</v>
      </c>
      <c r="K980" t="s">
        <v>74</v>
      </c>
      <c r="L980" t="s">
        <v>74</v>
      </c>
      <c r="M980" t="s">
        <v>78</v>
      </c>
      <c r="N980" t="s">
        <v>79</v>
      </c>
      <c r="O980" t="s">
        <v>74</v>
      </c>
      <c r="P980" t="s">
        <v>74</v>
      </c>
      <c r="Q980" t="s">
        <v>74</v>
      </c>
      <c r="R980" t="s">
        <v>74</v>
      </c>
      <c r="S980" t="s">
        <v>74</v>
      </c>
      <c r="T980" t="s">
        <v>74</v>
      </c>
      <c r="U980" t="s">
        <v>17205</v>
      </c>
      <c r="V980" t="s">
        <v>17206</v>
      </c>
      <c r="W980" t="s">
        <v>17207</v>
      </c>
      <c r="X980" t="s">
        <v>17208</v>
      </c>
      <c r="Y980" t="s">
        <v>17209</v>
      </c>
      <c r="Z980" t="s">
        <v>17210</v>
      </c>
      <c r="AA980" t="s">
        <v>17211</v>
      </c>
      <c r="AB980" t="s">
        <v>17212</v>
      </c>
      <c r="AC980" t="s">
        <v>17213</v>
      </c>
      <c r="AD980" t="s">
        <v>17214</v>
      </c>
      <c r="AE980" t="s">
        <v>17215</v>
      </c>
      <c r="AF980" t="s">
        <v>74</v>
      </c>
      <c r="AG980">
        <v>46</v>
      </c>
      <c r="AH980">
        <v>34</v>
      </c>
      <c r="AI980">
        <v>36</v>
      </c>
      <c r="AJ980">
        <v>0</v>
      </c>
      <c r="AK980">
        <v>5</v>
      </c>
      <c r="AL980" t="s">
        <v>7730</v>
      </c>
      <c r="AM980" t="s">
        <v>7731</v>
      </c>
      <c r="AN980" t="s">
        <v>7732</v>
      </c>
      <c r="AO980" t="s">
        <v>17216</v>
      </c>
      <c r="AP980" t="s">
        <v>74</v>
      </c>
      <c r="AQ980" t="s">
        <v>74</v>
      </c>
      <c r="AR980" t="s">
        <v>17217</v>
      </c>
      <c r="AS980" t="s">
        <v>17218</v>
      </c>
      <c r="AT980" t="s">
        <v>74</v>
      </c>
      <c r="AU980">
        <v>2009</v>
      </c>
      <c r="AV980">
        <v>16</v>
      </c>
      <c r="AW980">
        <v>1</v>
      </c>
      <c r="AX980" t="s">
        <v>74</v>
      </c>
      <c r="AY980" t="s">
        <v>74</v>
      </c>
      <c r="AZ980" t="s">
        <v>74</v>
      </c>
      <c r="BA980" t="s">
        <v>74</v>
      </c>
      <c r="BB980">
        <v>43</v>
      </c>
      <c r="BC980">
        <v>56</v>
      </c>
      <c r="BD980" t="s">
        <v>74</v>
      </c>
      <c r="BE980" t="s">
        <v>17219</v>
      </c>
      <c r="BF980" t="str">
        <f>HYPERLINK("http://dx.doi.org/10.5194/npg-16-43-2009","http://dx.doi.org/10.5194/npg-16-43-2009")</f>
        <v>http://dx.doi.org/10.5194/npg-16-43-2009</v>
      </c>
      <c r="BG980" t="s">
        <v>74</v>
      </c>
      <c r="BH980" t="s">
        <v>74</v>
      </c>
      <c r="BI980">
        <v>14</v>
      </c>
      <c r="BJ980" t="s">
        <v>17220</v>
      </c>
      <c r="BK980" t="s">
        <v>100</v>
      </c>
      <c r="BL980" t="s">
        <v>17221</v>
      </c>
      <c r="BM980" t="s">
        <v>17222</v>
      </c>
      <c r="BN980" t="s">
        <v>74</v>
      </c>
      <c r="BO980" t="s">
        <v>3117</v>
      </c>
      <c r="BP980" t="s">
        <v>74</v>
      </c>
      <c r="BQ980" t="s">
        <v>74</v>
      </c>
      <c r="BR980" t="s">
        <v>103</v>
      </c>
      <c r="BS980" t="s">
        <v>17223</v>
      </c>
      <c r="BT980" t="str">
        <f>HYPERLINK("https%3A%2F%2Fwww.webofscience.com%2Fwos%2Fwoscc%2Ffull-record%2FWOS:000263838000005","View Full Record in Web of Science")</f>
        <v>View Full Record in Web of Science</v>
      </c>
    </row>
    <row r="981" spans="1:72" x14ac:dyDescent="0.15">
      <c r="A981" t="s">
        <v>72</v>
      </c>
      <c r="B981" t="s">
        <v>17224</v>
      </c>
      <c r="C981" t="s">
        <v>74</v>
      </c>
      <c r="D981" t="s">
        <v>74</v>
      </c>
      <c r="E981" t="s">
        <v>74</v>
      </c>
      <c r="F981" t="s">
        <v>17225</v>
      </c>
      <c r="G981" t="s">
        <v>74</v>
      </c>
      <c r="H981" t="s">
        <v>74</v>
      </c>
      <c r="I981" t="s">
        <v>17226</v>
      </c>
      <c r="J981" t="s">
        <v>17204</v>
      </c>
      <c r="K981" t="s">
        <v>74</v>
      </c>
      <c r="L981" t="s">
        <v>74</v>
      </c>
      <c r="M981" t="s">
        <v>78</v>
      </c>
      <c r="N981" t="s">
        <v>79</v>
      </c>
      <c r="O981" t="s">
        <v>74</v>
      </c>
      <c r="P981" t="s">
        <v>74</v>
      </c>
      <c r="Q981" t="s">
        <v>74</v>
      </c>
      <c r="R981" t="s">
        <v>74</v>
      </c>
      <c r="S981" t="s">
        <v>74</v>
      </c>
      <c r="T981" t="s">
        <v>74</v>
      </c>
      <c r="U981" t="s">
        <v>17227</v>
      </c>
      <c r="V981" t="s">
        <v>17228</v>
      </c>
      <c r="W981" t="s">
        <v>17229</v>
      </c>
      <c r="X981" t="s">
        <v>824</v>
      </c>
      <c r="Y981" t="s">
        <v>17230</v>
      </c>
      <c r="Z981" t="s">
        <v>17231</v>
      </c>
      <c r="AA981" t="s">
        <v>17232</v>
      </c>
      <c r="AB981" t="s">
        <v>17233</v>
      </c>
      <c r="AC981" t="s">
        <v>74</v>
      </c>
      <c r="AD981" t="s">
        <v>74</v>
      </c>
      <c r="AE981" t="s">
        <v>74</v>
      </c>
      <c r="AF981" t="s">
        <v>74</v>
      </c>
      <c r="AG981">
        <v>36</v>
      </c>
      <c r="AH981">
        <v>65</v>
      </c>
      <c r="AI981">
        <v>67</v>
      </c>
      <c r="AJ981">
        <v>1</v>
      </c>
      <c r="AK981">
        <v>29</v>
      </c>
      <c r="AL981" t="s">
        <v>7730</v>
      </c>
      <c r="AM981" t="s">
        <v>7731</v>
      </c>
      <c r="AN981" t="s">
        <v>7732</v>
      </c>
      <c r="AO981" t="s">
        <v>17216</v>
      </c>
      <c r="AP981" t="s">
        <v>17234</v>
      </c>
      <c r="AQ981" t="s">
        <v>74</v>
      </c>
      <c r="AR981" t="s">
        <v>17217</v>
      </c>
      <c r="AS981" t="s">
        <v>17218</v>
      </c>
      <c r="AT981" t="s">
        <v>74</v>
      </c>
      <c r="AU981">
        <v>2009</v>
      </c>
      <c r="AV981">
        <v>16</v>
      </c>
      <c r="AW981">
        <v>1</v>
      </c>
      <c r="AX981" t="s">
        <v>74</v>
      </c>
      <c r="AY981" t="s">
        <v>74</v>
      </c>
      <c r="AZ981" t="s">
        <v>74</v>
      </c>
      <c r="BA981" t="s">
        <v>74</v>
      </c>
      <c r="BB981">
        <v>65</v>
      </c>
      <c r="BC981">
        <v>76</v>
      </c>
      <c r="BD981" t="s">
        <v>74</v>
      </c>
      <c r="BE981" t="s">
        <v>17235</v>
      </c>
      <c r="BF981" t="str">
        <f>HYPERLINK("http://dx.doi.org/10.5194/npg-16-65-2009","http://dx.doi.org/10.5194/npg-16-65-2009")</f>
        <v>http://dx.doi.org/10.5194/npg-16-65-2009</v>
      </c>
      <c r="BG981" t="s">
        <v>74</v>
      </c>
      <c r="BH981" t="s">
        <v>74</v>
      </c>
      <c r="BI981">
        <v>12</v>
      </c>
      <c r="BJ981" t="s">
        <v>17220</v>
      </c>
      <c r="BK981" t="s">
        <v>100</v>
      </c>
      <c r="BL981" t="s">
        <v>17221</v>
      </c>
      <c r="BM981" t="s">
        <v>17222</v>
      </c>
      <c r="BN981" t="s">
        <v>74</v>
      </c>
      <c r="BO981" t="s">
        <v>450</v>
      </c>
      <c r="BP981" t="s">
        <v>74</v>
      </c>
      <c r="BQ981" t="s">
        <v>74</v>
      </c>
      <c r="BR981" t="s">
        <v>103</v>
      </c>
      <c r="BS981" t="s">
        <v>17236</v>
      </c>
      <c r="BT981" t="str">
        <f>HYPERLINK("https%3A%2F%2Fwww.webofscience.com%2Fwos%2Fwoscc%2Ffull-record%2FWOS:000263838000007","View Full Record in Web of Science")</f>
        <v>View Full Record in Web of Science</v>
      </c>
    </row>
    <row r="982" spans="1:72" x14ac:dyDescent="0.15">
      <c r="A982" t="s">
        <v>72</v>
      </c>
      <c r="B982" t="s">
        <v>17237</v>
      </c>
      <c r="C982" t="s">
        <v>74</v>
      </c>
      <c r="D982" t="s">
        <v>74</v>
      </c>
      <c r="E982" t="s">
        <v>74</v>
      </c>
      <c r="F982" t="s">
        <v>17238</v>
      </c>
      <c r="G982" t="s">
        <v>74</v>
      </c>
      <c r="H982" t="s">
        <v>74</v>
      </c>
      <c r="I982" t="s">
        <v>17239</v>
      </c>
      <c r="J982" t="s">
        <v>17240</v>
      </c>
      <c r="K982" t="s">
        <v>74</v>
      </c>
      <c r="L982" t="s">
        <v>74</v>
      </c>
      <c r="M982" t="s">
        <v>78</v>
      </c>
      <c r="N982" t="s">
        <v>1437</v>
      </c>
      <c r="O982" t="s">
        <v>17241</v>
      </c>
      <c r="P982" t="s">
        <v>17242</v>
      </c>
      <c r="Q982" t="s">
        <v>17243</v>
      </c>
      <c r="R982" t="s">
        <v>74</v>
      </c>
      <c r="S982" t="s">
        <v>74</v>
      </c>
      <c r="T982" t="s">
        <v>17244</v>
      </c>
      <c r="U982" t="s">
        <v>17245</v>
      </c>
      <c r="V982" t="s">
        <v>17246</v>
      </c>
      <c r="W982" t="s">
        <v>17247</v>
      </c>
      <c r="X982" t="s">
        <v>17248</v>
      </c>
      <c r="Y982" t="s">
        <v>17249</v>
      </c>
      <c r="Z982" t="s">
        <v>17250</v>
      </c>
      <c r="AA982" t="s">
        <v>74</v>
      </c>
      <c r="AB982" t="s">
        <v>74</v>
      </c>
      <c r="AC982" t="s">
        <v>74</v>
      </c>
      <c r="AD982" t="s">
        <v>74</v>
      </c>
      <c r="AE982" t="s">
        <v>74</v>
      </c>
      <c r="AF982" t="s">
        <v>74</v>
      </c>
      <c r="AG982">
        <v>33</v>
      </c>
      <c r="AH982">
        <v>0</v>
      </c>
      <c r="AI982">
        <v>0</v>
      </c>
      <c r="AJ982">
        <v>0</v>
      </c>
      <c r="AK982">
        <v>8</v>
      </c>
      <c r="AL982" t="s">
        <v>12889</v>
      </c>
      <c r="AM982" t="s">
        <v>1168</v>
      </c>
      <c r="AN982" t="s">
        <v>15748</v>
      </c>
      <c r="AO982" t="s">
        <v>17251</v>
      </c>
      <c r="AP982" t="s">
        <v>17252</v>
      </c>
      <c r="AQ982" t="s">
        <v>74</v>
      </c>
      <c r="AR982" t="s">
        <v>17253</v>
      </c>
      <c r="AS982" t="s">
        <v>17254</v>
      </c>
      <c r="AT982" t="s">
        <v>74</v>
      </c>
      <c r="AU982">
        <v>2009</v>
      </c>
      <c r="AV982">
        <v>63</v>
      </c>
      <c r="AW982">
        <v>2</v>
      </c>
      <c r="AX982" t="s">
        <v>74</v>
      </c>
      <c r="AY982" t="s">
        <v>74</v>
      </c>
      <c r="AZ982" t="s">
        <v>74</v>
      </c>
      <c r="BA982" t="s">
        <v>74</v>
      </c>
      <c r="BB982">
        <v>135</v>
      </c>
      <c r="BC982">
        <v>144</v>
      </c>
      <c r="BD982" t="s">
        <v>17255</v>
      </c>
      <c r="BE982" t="s">
        <v>17256</v>
      </c>
      <c r="BF982" t="str">
        <f>HYPERLINK("http://dx.doi.org/10.1080/00291950902907801","http://dx.doi.org/10.1080/00291950902907801")</f>
        <v>http://dx.doi.org/10.1080/00291950902907801</v>
      </c>
      <c r="BG982" t="s">
        <v>74</v>
      </c>
      <c r="BH982" t="s">
        <v>74</v>
      </c>
      <c r="BI982">
        <v>10</v>
      </c>
      <c r="BJ982" t="s">
        <v>17257</v>
      </c>
      <c r="BK982" t="s">
        <v>17258</v>
      </c>
      <c r="BL982" t="s">
        <v>17257</v>
      </c>
      <c r="BM982" t="s">
        <v>17259</v>
      </c>
      <c r="BN982" t="s">
        <v>74</v>
      </c>
      <c r="BO982" t="s">
        <v>74</v>
      </c>
      <c r="BP982" t="s">
        <v>74</v>
      </c>
      <c r="BQ982" t="s">
        <v>74</v>
      </c>
      <c r="BR982" t="s">
        <v>103</v>
      </c>
      <c r="BS982" t="s">
        <v>17260</v>
      </c>
      <c r="BT982" t="str">
        <f>HYPERLINK("https%3A%2F%2Fwww.webofscience.com%2Fwos%2Fwoscc%2Ffull-record%2FWOS:000267098100007","View Full Record in Web of Science")</f>
        <v>View Full Record in Web of Science</v>
      </c>
    </row>
    <row r="983" spans="1:72" x14ac:dyDescent="0.15">
      <c r="A983" t="s">
        <v>2434</v>
      </c>
      <c r="B983" t="s">
        <v>17261</v>
      </c>
      <c r="C983" t="s">
        <v>74</v>
      </c>
      <c r="D983" t="s">
        <v>17262</v>
      </c>
      <c r="E983" t="s">
        <v>74</v>
      </c>
      <c r="F983" t="s">
        <v>17263</v>
      </c>
      <c r="G983" t="s">
        <v>74</v>
      </c>
      <c r="H983" t="s">
        <v>74</v>
      </c>
      <c r="I983" t="s">
        <v>17264</v>
      </c>
      <c r="J983" t="s">
        <v>17265</v>
      </c>
      <c r="K983" t="s">
        <v>17266</v>
      </c>
      <c r="L983" t="s">
        <v>74</v>
      </c>
      <c r="M983" t="s">
        <v>78</v>
      </c>
      <c r="N983" t="s">
        <v>2440</v>
      </c>
      <c r="O983" t="s">
        <v>17267</v>
      </c>
      <c r="P983" t="s">
        <v>17268</v>
      </c>
      <c r="Q983" t="s">
        <v>8549</v>
      </c>
      <c r="R983" t="s">
        <v>74</v>
      </c>
      <c r="S983" t="s">
        <v>74</v>
      </c>
      <c r="T983" t="s">
        <v>17269</v>
      </c>
      <c r="U983" t="s">
        <v>17270</v>
      </c>
      <c r="V983" t="s">
        <v>17271</v>
      </c>
      <c r="W983" t="s">
        <v>17272</v>
      </c>
      <c r="X983" t="s">
        <v>17273</v>
      </c>
      <c r="Y983" t="s">
        <v>17274</v>
      </c>
      <c r="Z983" t="s">
        <v>17275</v>
      </c>
      <c r="AA983" t="s">
        <v>17276</v>
      </c>
      <c r="AB983" t="s">
        <v>17277</v>
      </c>
      <c r="AC983" t="s">
        <v>74</v>
      </c>
      <c r="AD983" t="s">
        <v>74</v>
      </c>
      <c r="AE983" t="s">
        <v>74</v>
      </c>
      <c r="AF983" t="s">
        <v>74</v>
      </c>
      <c r="AG983">
        <v>9</v>
      </c>
      <c r="AH983">
        <v>10</v>
      </c>
      <c r="AI983">
        <v>10</v>
      </c>
      <c r="AJ983">
        <v>0</v>
      </c>
      <c r="AK983">
        <v>2</v>
      </c>
      <c r="AL983" t="s">
        <v>13220</v>
      </c>
      <c r="AM983" t="s">
        <v>7815</v>
      </c>
      <c r="AN983" t="s">
        <v>13221</v>
      </c>
      <c r="AO983" t="s">
        <v>17278</v>
      </c>
      <c r="AP983" t="s">
        <v>74</v>
      </c>
      <c r="AQ983" t="s">
        <v>17279</v>
      </c>
      <c r="AR983" t="s">
        <v>17280</v>
      </c>
      <c r="AS983" t="s">
        <v>74</v>
      </c>
      <c r="AT983" t="s">
        <v>74</v>
      </c>
      <c r="AU983">
        <v>2009</v>
      </c>
      <c r="AV983">
        <v>133</v>
      </c>
      <c r="AW983" t="s">
        <v>74</v>
      </c>
      <c r="AX983" t="s">
        <v>74</v>
      </c>
      <c r="AY983" t="s">
        <v>74</v>
      </c>
      <c r="AZ983" t="s">
        <v>74</v>
      </c>
      <c r="BA983" t="s">
        <v>74</v>
      </c>
      <c r="BB983">
        <v>569</v>
      </c>
      <c r="BC983" t="s">
        <v>10944</v>
      </c>
      <c r="BD983" t="s">
        <v>74</v>
      </c>
      <c r="BE983" t="s">
        <v>74</v>
      </c>
      <c r="BF983" t="s">
        <v>74</v>
      </c>
      <c r="BG983" t="s">
        <v>74</v>
      </c>
      <c r="BH983" t="s">
        <v>74</v>
      </c>
      <c r="BI983">
        <v>2</v>
      </c>
      <c r="BJ983" t="s">
        <v>17281</v>
      </c>
      <c r="BK983" t="s">
        <v>2457</v>
      </c>
      <c r="BL983" t="s">
        <v>12919</v>
      </c>
      <c r="BM983" t="s">
        <v>17282</v>
      </c>
      <c r="BN983" t="s">
        <v>74</v>
      </c>
      <c r="BO983" t="s">
        <v>74</v>
      </c>
      <c r="BP983" t="s">
        <v>74</v>
      </c>
      <c r="BQ983" t="s">
        <v>74</v>
      </c>
      <c r="BR983" t="s">
        <v>103</v>
      </c>
      <c r="BS983" t="s">
        <v>17283</v>
      </c>
      <c r="BT983" t="str">
        <f>HYPERLINK("https%3A%2F%2Fwww.webofscience.com%2Fwos%2Fwoscc%2Ffull-record%2FWOS:000262710400067","View Full Record in Web of Science")</f>
        <v>View Full Record in Web of Science</v>
      </c>
    </row>
    <row r="984" spans="1:72" x14ac:dyDescent="0.15">
      <c r="A984" t="s">
        <v>5277</v>
      </c>
      <c r="B984" t="s">
        <v>17284</v>
      </c>
      <c r="C984" t="s">
        <v>74</v>
      </c>
      <c r="D984" t="s">
        <v>17285</v>
      </c>
      <c r="E984" t="s">
        <v>74</v>
      </c>
      <c r="F984" t="s">
        <v>17286</v>
      </c>
      <c r="G984" t="s">
        <v>74</v>
      </c>
      <c r="H984" t="s">
        <v>74</v>
      </c>
      <c r="I984" t="s">
        <v>17287</v>
      </c>
      <c r="J984" t="s">
        <v>17288</v>
      </c>
      <c r="K984" t="s">
        <v>74</v>
      </c>
      <c r="L984" t="s">
        <v>74</v>
      </c>
      <c r="M984" t="s">
        <v>78</v>
      </c>
      <c r="N984" t="s">
        <v>11976</v>
      </c>
      <c r="O984" t="s">
        <v>74</v>
      </c>
      <c r="P984" t="s">
        <v>74</v>
      </c>
      <c r="Q984" t="s">
        <v>74</v>
      </c>
      <c r="R984" t="s">
        <v>74</v>
      </c>
      <c r="S984" t="s">
        <v>74</v>
      </c>
      <c r="T984" t="s">
        <v>74</v>
      </c>
      <c r="U984" t="s">
        <v>17289</v>
      </c>
      <c r="V984" t="s">
        <v>17290</v>
      </c>
      <c r="W984" t="s">
        <v>17291</v>
      </c>
      <c r="X984" t="s">
        <v>17292</v>
      </c>
      <c r="Y984" t="s">
        <v>17293</v>
      </c>
      <c r="Z984" t="s">
        <v>74</v>
      </c>
      <c r="AA984" t="s">
        <v>74</v>
      </c>
      <c r="AB984" t="s">
        <v>74</v>
      </c>
      <c r="AC984" t="s">
        <v>74</v>
      </c>
      <c r="AD984" t="s">
        <v>74</v>
      </c>
      <c r="AE984" t="s">
        <v>74</v>
      </c>
      <c r="AF984" t="s">
        <v>74</v>
      </c>
      <c r="AG984">
        <v>71</v>
      </c>
      <c r="AH984">
        <v>0</v>
      </c>
      <c r="AI984">
        <v>0</v>
      </c>
      <c r="AJ984">
        <v>0</v>
      </c>
      <c r="AK984">
        <v>10</v>
      </c>
      <c r="AL984" t="s">
        <v>14575</v>
      </c>
      <c r="AM984" t="s">
        <v>14576</v>
      </c>
      <c r="AN984" t="s">
        <v>14577</v>
      </c>
      <c r="AO984" t="s">
        <v>74</v>
      </c>
      <c r="AP984" t="s">
        <v>74</v>
      </c>
      <c r="AQ984" t="s">
        <v>17294</v>
      </c>
      <c r="AR984" t="s">
        <v>74</v>
      </c>
      <c r="AS984" t="s">
        <v>74</v>
      </c>
      <c r="AT984" t="s">
        <v>74</v>
      </c>
      <c r="AU984">
        <v>2009</v>
      </c>
      <c r="AV984" t="s">
        <v>74</v>
      </c>
      <c r="AW984" t="s">
        <v>74</v>
      </c>
      <c r="AX984" t="s">
        <v>74</v>
      </c>
      <c r="AY984" t="s">
        <v>74</v>
      </c>
      <c r="AZ984" t="s">
        <v>74</v>
      </c>
      <c r="BA984" t="s">
        <v>74</v>
      </c>
      <c r="BB984">
        <v>99</v>
      </c>
      <c r="BC984">
        <v>118</v>
      </c>
      <c r="BD984" t="s">
        <v>74</v>
      </c>
      <c r="BE984" t="s">
        <v>74</v>
      </c>
      <c r="BF984" t="s">
        <v>74</v>
      </c>
      <c r="BG984" t="s">
        <v>74</v>
      </c>
      <c r="BH984" t="s">
        <v>74</v>
      </c>
      <c r="BI984">
        <v>20</v>
      </c>
      <c r="BJ984" t="s">
        <v>2824</v>
      </c>
      <c r="BK984" t="s">
        <v>11989</v>
      </c>
      <c r="BL984" t="s">
        <v>2824</v>
      </c>
      <c r="BM984" t="s">
        <v>17295</v>
      </c>
      <c r="BN984" t="s">
        <v>74</v>
      </c>
      <c r="BO984" t="s">
        <v>74</v>
      </c>
      <c r="BP984" t="s">
        <v>74</v>
      </c>
      <c r="BQ984" t="s">
        <v>74</v>
      </c>
      <c r="BR984" t="s">
        <v>103</v>
      </c>
      <c r="BS984" t="s">
        <v>17296</v>
      </c>
      <c r="BT984" t="str">
        <f>HYPERLINK("https%3A%2F%2Fwww.webofscience.com%2Fwos%2Fwoscc%2Ffull-record%2FWOS:000269226600004","View Full Record in Web of Science")</f>
        <v>View Full Record in Web of Science</v>
      </c>
    </row>
    <row r="985" spans="1:72" x14ac:dyDescent="0.15">
      <c r="A985" t="s">
        <v>72</v>
      </c>
      <c r="B985" t="s">
        <v>17297</v>
      </c>
      <c r="C985" t="s">
        <v>74</v>
      </c>
      <c r="D985" t="s">
        <v>74</v>
      </c>
      <c r="E985" t="s">
        <v>74</v>
      </c>
      <c r="F985" t="s">
        <v>17298</v>
      </c>
      <c r="G985" t="s">
        <v>74</v>
      </c>
      <c r="H985" t="s">
        <v>74</v>
      </c>
      <c r="I985" t="s">
        <v>17299</v>
      </c>
      <c r="J985" t="s">
        <v>17300</v>
      </c>
      <c r="K985" t="s">
        <v>74</v>
      </c>
      <c r="L985" t="s">
        <v>74</v>
      </c>
      <c r="M985" t="s">
        <v>78</v>
      </c>
      <c r="N985" t="s">
        <v>79</v>
      </c>
      <c r="O985" t="s">
        <v>74</v>
      </c>
      <c r="P985" t="s">
        <v>74</v>
      </c>
      <c r="Q985" t="s">
        <v>74</v>
      </c>
      <c r="R985" t="s">
        <v>74</v>
      </c>
      <c r="S985" t="s">
        <v>74</v>
      </c>
      <c r="T985" t="s">
        <v>17301</v>
      </c>
      <c r="U985" t="s">
        <v>17302</v>
      </c>
      <c r="V985" t="s">
        <v>17303</v>
      </c>
      <c r="W985" t="s">
        <v>17304</v>
      </c>
      <c r="X985" t="s">
        <v>17305</v>
      </c>
      <c r="Y985" t="s">
        <v>17306</v>
      </c>
      <c r="Z985" t="s">
        <v>17307</v>
      </c>
      <c r="AA985" t="s">
        <v>15699</v>
      </c>
      <c r="AB985" t="s">
        <v>15700</v>
      </c>
      <c r="AC985" t="s">
        <v>17308</v>
      </c>
      <c r="AD985" t="s">
        <v>17309</v>
      </c>
      <c r="AE985" t="s">
        <v>17310</v>
      </c>
      <c r="AF985" t="s">
        <v>74</v>
      </c>
      <c r="AG985">
        <v>82</v>
      </c>
      <c r="AH985">
        <v>26</v>
      </c>
      <c r="AI985">
        <v>30</v>
      </c>
      <c r="AJ985">
        <v>1</v>
      </c>
      <c r="AK985">
        <v>7</v>
      </c>
      <c r="AL985" t="s">
        <v>1671</v>
      </c>
      <c r="AM985" t="s">
        <v>304</v>
      </c>
      <c r="AN985" t="s">
        <v>1672</v>
      </c>
      <c r="AO985" t="s">
        <v>17311</v>
      </c>
      <c r="AP985" t="s">
        <v>17312</v>
      </c>
      <c r="AQ985" t="s">
        <v>74</v>
      </c>
      <c r="AR985" t="s">
        <v>17313</v>
      </c>
      <c r="AS985" t="s">
        <v>17314</v>
      </c>
      <c r="AT985" t="s">
        <v>74</v>
      </c>
      <c r="AU985">
        <v>2009</v>
      </c>
      <c r="AV985">
        <v>30</v>
      </c>
      <c r="AW985">
        <v>1</v>
      </c>
      <c r="AX985" t="s">
        <v>74</v>
      </c>
      <c r="AY985" t="s">
        <v>74</v>
      </c>
      <c r="AZ985" t="s">
        <v>74</v>
      </c>
      <c r="BA985" t="s">
        <v>74</v>
      </c>
      <c r="BB985">
        <v>1</v>
      </c>
      <c r="BC985">
        <v>15</v>
      </c>
      <c r="BD985" t="s">
        <v>74</v>
      </c>
      <c r="BE985" t="s">
        <v>17315</v>
      </c>
      <c r="BF985" t="str">
        <f>HYPERLINK("http://dx.doi.org/10.1016/j.ocemod.2009.05.007","http://dx.doi.org/10.1016/j.ocemod.2009.05.007")</f>
        <v>http://dx.doi.org/10.1016/j.ocemod.2009.05.007</v>
      </c>
      <c r="BG985" t="s">
        <v>74</v>
      </c>
      <c r="BH985" t="s">
        <v>74</v>
      </c>
      <c r="BI985">
        <v>15</v>
      </c>
      <c r="BJ985" t="s">
        <v>2824</v>
      </c>
      <c r="BK985" t="s">
        <v>100</v>
      </c>
      <c r="BL985" t="s">
        <v>2824</v>
      </c>
      <c r="BM985" t="s">
        <v>17316</v>
      </c>
      <c r="BN985" t="s">
        <v>74</v>
      </c>
      <c r="BO985" t="s">
        <v>74</v>
      </c>
      <c r="BP985" t="s">
        <v>74</v>
      </c>
      <c r="BQ985" t="s">
        <v>74</v>
      </c>
      <c r="BR985" t="s">
        <v>103</v>
      </c>
      <c r="BS985" t="s">
        <v>17317</v>
      </c>
      <c r="BT985" t="str">
        <f>HYPERLINK("https%3A%2F%2Fwww.webofscience.com%2Fwos%2Fwoscc%2Ffull-record%2FWOS:000269313600001","View Full Record in Web of Science")</f>
        <v>View Full Record in Web of Science</v>
      </c>
    </row>
    <row r="986" spans="1:72" x14ac:dyDescent="0.15">
      <c r="A986" t="s">
        <v>72</v>
      </c>
      <c r="B986" t="s">
        <v>17318</v>
      </c>
      <c r="C986" t="s">
        <v>74</v>
      </c>
      <c r="D986" t="s">
        <v>74</v>
      </c>
      <c r="E986" t="s">
        <v>74</v>
      </c>
      <c r="F986" t="s">
        <v>17319</v>
      </c>
      <c r="G986" t="s">
        <v>74</v>
      </c>
      <c r="H986" t="s">
        <v>74</v>
      </c>
      <c r="I986" t="s">
        <v>17320</v>
      </c>
      <c r="J986" t="s">
        <v>17300</v>
      </c>
      <c r="K986" t="s">
        <v>74</v>
      </c>
      <c r="L986" t="s">
        <v>74</v>
      </c>
      <c r="M986" t="s">
        <v>78</v>
      </c>
      <c r="N986" t="s">
        <v>172</v>
      </c>
      <c r="O986" t="s">
        <v>74</v>
      </c>
      <c r="P986" t="s">
        <v>74</v>
      </c>
      <c r="Q986" t="s">
        <v>74</v>
      </c>
      <c r="R986" t="s">
        <v>74</v>
      </c>
      <c r="S986" t="s">
        <v>74</v>
      </c>
      <c r="T986" t="s">
        <v>17321</v>
      </c>
      <c r="U986" t="s">
        <v>17322</v>
      </c>
      <c r="V986" t="s">
        <v>17323</v>
      </c>
      <c r="W986" t="s">
        <v>17324</v>
      </c>
      <c r="X986" t="s">
        <v>17325</v>
      </c>
      <c r="Y986" t="s">
        <v>17326</v>
      </c>
      <c r="Z986" t="s">
        <v>17327</v>
      </c>
      <c r="AA986" t="s">
        <v>17328</v>
      </c>
      <c r="AB986" t="s">
        <v>17329</v>
      </c>
      <c r="AC986" t="s">
        <v>17330</v>
      </c>
      <c r="AD986" t="s">
        <v>17331</v>
      </c>
      <c r="AE986" t="s">
        <v>17332</v>
      </c>
      <c r="AF986" t="s">
        <v>74</v>
      </c>
      <c r="AG986">
        <v>125</v>
      </c>
      <c r="AH986">
        <v>230</v>
      </c>
      <c r="AI986">
        <v>239</v>
      </c>
      <c r="AJ986">
        <v>3</v>
      </c>
      <c r="AK986">
        <v>44</v>
      </c>
      <c r="AL986" t="s">
        <v>1671</v>
      </c>
      <c r="AM986" t="s">
        <v>304</v>
      </c>
      <c r="AN986" t="s">
        <v>1672</v>
      </c>
      <c r="AO986" t="s">
        <v>17311</v>
      </c>
      <c r="AP986" t="s">
        <v>17312</v>
      </c>
      <c r="AQ986" t="s">
        <v>74</v>
      </c>
      <c r="AR986" t="s">
        <v>17313</v>
      </c>
      <c r="AS986" t="s">
        <v>17314</v>
      </c>
      <c r="AT986" t="s">
        <v>74</v>
      </c>
      <c r="AU986">
        <v>2009</v>
      </c>
      <c r="AV986">
        <v>27</v>
      </c>
      <c r="AW986" t="s">
        <v>972</v>
      </c>
      <c r="AX986" t="s">
        <v>74</v>
      </c>
      <c r="AY986" t="s">
        <v>74</v>
      </c>
      <c r="AZ986" t="s">
        <v>74</v>
      </c>
      <c r="BA986" t="s">
        <v>74</v>
      </c>
      <c r="BB986">
        <v>33</v>
      </c>
      <c r="BC986">
        <v>53</v>
      </c>
      <c r="BD986" t="s">
        <v>74</v>
      </c>
      <c r="BE986" t="s">
        <v>17333</v>
      </c>
      <c r="BF986" t="str">
        <f>HYPERLINK("http://dx.doi.org/10.1016/j.ocemod.2008.10.005","http://dx.doi.org/10.1016/j.ocemod.2008.10.005")</f>
        <v>http://dx.doi.org/10.1016/j.ocemod.2008.10.005</v>
      </c>
      <c r="BG986" t="s">
        <v>74</v>
      </c>
      <c r="BH986" t="s">
        <v>74</v>
      </c>
      <c r="BI986">
        <v>21</v>
      </c>
      <c r="BJ986" t="s">
        <v>2824</v>
      </c>
      <c r="BK986" t="s">
        <v>100</v>
      </c>
      <c r="BL986" t="s">
        <v>2824</v>
      </c>
      <c r="BM986" t="s">
        <v>17334</v>
      </c>
      <c r="BN986" t="s">
        <v>74</v>
      </c>
      <c r="BO986" t="s">
        <v>74</v>
      </c>
      <c r="BP986" t="s">
        <v>74</v>
      </c>
      <c r="BQ986" t="s">
        <v>74</v>
      </c>
      <c r="BR986" t="s">
        <v>103</v>
      </c>
      <c r="BS986" t="s">
        <v>17335</v>
      </c>
      <c r="BT986" t="str">
        <f>HYPERLINK("https%3A%2F%2Fwww.webofscience.com%2Fwos%2Fwoscc%2Ffull-record%2FWOS:000264238400003","View Full Record in Web of Science")</f>
        <v>View Full Record in Web of Science</v>
      </c>
    </row>
    <row r="987" spans="1:72" x14ac:dyDescent="0.15">
      <c r="A987" t="s">
        <v>72</v>
      </c>
      <c r="B987" t="s">
        <v>17336</v>
      </c>
      <c r="C987" t="s">
        <v>74</v>
      </c>
      <c r="D987" t="s">
        <v>74</v>
      </c>
      <c r="E987" t="s">
        <v>74</v>
      </c>
      <c r="F987" t="s">
        <v>17337</v>
      </c>
      <c r="G987" t="s">
        <v>74</v>
      </c>
      <c r="H987" t="s">
        <v>74</v>
      </c>
      <c r="I987" t="s">
        <v>17338</v>
      </c>
      <c r="J987" t="s">
        <v>17300</v>
      </c>
      <c r="K987" t="s">
        <v>74</v>
      </c>
      <c r="L987" t="s">
        <v>74</v>
      </c>
      <c r="M987" t="s">
        <v>78</v>
      </c>
      <c r="N987" t="s">
        <v>79</v>
      </c>
      <c r="O987" t="s">
        <v>74</v>
      </c>
      <c r="P987" t="s">
        <v>74</v>
      </c>
      <c r="Q987" t="s">
        <v>74</v>
      </c>
      <c r="R987" t="s">
        <v>74</v>
      </c>
      <c r="S987" t="s">
        <v>74</v>
      </c>
      <c r="T987" t="s">
        <v>17321</v>
      </c>
      <c r="U987" t="s">
        <v>17339</v>
      </c>
      <c r="V987" t="s">
        <v>17340</v>
      </c>
      <c r="W987" t="s">
        <v>17341</v>
      </c>
      <c r="X987" t="s">
        <v>17342</v>
      </c>
      <c r="Y987" t="s">
        <v>17343</v>
      </c>
      <c r="Z987" t="s">
        <v>17327</v>
      </c>
      <c r="AA987" t="s">
        <v>17344</v>
      </c>
      <c r="AB987" t="s">
        <v>17345</v>
      </c>
      <c r="AC987" t="s">
        <v>17346</v>
      </c>
      <c r="AD987" t="s">
        <v>17347</v>
      </c>
      <c r="AE987" t="s">
        <v>17348</v>
      </c>
      <c r="AF987" t="s">
        <v>74</v>
      </c>
      <c r="AG987">
        <v>76</v>
      </c>
      <c r="AH987">
        <v>54</v>
      </c>
      <c r="AI987">
        <v>54</v>
      </c>
      <c r="AJ987">
        <v>3</v>
      </c>
      <c r="AK987">
        <v>43</v>
      </c>
      <c r="AL987" t="s">
        <v>1671</v>
      </c>
      <c r="AM987" t="s">
        <v>304</v>
      </c>
      <c r="AN987" t="s">
        <v>1672</v>
      </c>
      <c r="AO987" t="s">
        <v>17311</v>
      </c>
      <c r="AP987" t="s">
        <v>17312</v>
      </c>
      <c r="AQ987" t="s">
        <v>74</v>
      </c>
      <c r="AR987" t="s">
        <v>17313</v>
      </c>
      <c r="AS987" t="s">
        <v>17314</v>
      </c>
      <c r="AT987" t="s">
        <v>74</v>
      </c>
      <c r="AU987">
        <v>2009</v>
      </c>
      <c r="AV987">
        <v>27</v>
      </c>
      <c r="AW987" t="s">
        <v>972</v>
      </c>
      <c r="AX987" t="s">
        <v>74</v>
      </c>
      <c r="AY987" t="s">
        <v>74</v>
      </c>
      <c r="AZ987" t="s">
        <v>74</v>
      </c>
      <c r="BA987" t="s">
        <v>74</v>
      </c>
      <c r="BB987">
        <v>54</v>
      </c>
      <c r="BC987">
        <v>69</v>
      </c>
      <c r="BD987" t="s">
        <v>74</v>
      </c>
      <c r="BE987" t="s">
        <v>17349</v>
      </c>
      <c r="BF987" t="str">
        <f>HYPERLINK("http://dx.doi.org/10.1016/j.ocemod.2008.11.003","http://dx.doi.org/10.1016/j.ocemod.2008.11.003")</f>
        <v>http://dx.doi.org/10.1016/j.ocemod.2008.11.003</v>
      </c>
      <c r="BG987" t="s">
        <v>74</v>
      </c>
      <c r="BH987" t="s">
        <v>74</v>
      </c>
      <c r="BI987">
        <v>16</v>
      </c>
      <c r="BJ987" t="s">
        <v>2824</v>
      </c>
      <c r="BK987" t="s">
        <v>100</v>
      </c>
      <c r="BL987" t="s">
        <v>2824</v>
      </c>
      <c r="BM987" t="s">
        <v>17334</v>
      </c>
      <c r="BN987" t="s">
        <v>74</v>
      </c>
      <c r="BO987" t="s">
        <v>74</v>
      </c>
      <c r="BP987" t="s">
        <v>74</v>
      </c>
      <c r="BQ987" t="s">
        <v>74</v>
      </c>
      <c r="BR987" t="s">
        <v>103</v>
      </c>
      <c r="BS987" t="s">
        <v>17350</v>
      </c>
      <c r="BT987" t="str">
        <f>HYPERLINK("https%3A%2F%2Fwww.webofscience.com%2Fwos%2Fwoscc%2Ffull-record%2FWOS:000264238400004","View Full Record in Web of Science")</f>
        <v>View Full Record in Web of Science</v>
      </c>
    </row>
    <row r="988" spans="1:72" x14ac:dyDescent="0.15">
      <c r="A988" t="s">
        <v>72</v>
      </c>
      <c r="B988" t="s">
        <v>17351</v>
      </c>
      <c r="C988" t="s">
        <v>74</v>
      </c>
      <c r="D988" t="s">
        <v>74</v>
      </c>
      <c r="E988" t="s">
        <v>74</v>
      </c>
      <c r="F988" t="s">
        <v>17352</v>
      </c>
      <c r="G988" t="s">
        <v>74</v>
      </c>
      <c r="H988" t="s">
        <v>74</v>
      </c>
      <c r="I988" t="s">
        <v>17353</v>
      </c>
      <c r="J988" t="s">
        <v>17300</v>
      </c>
      <c r="K988" t="s">
        <v>74</v>
      </c>
      <c r="L988" t="s">
        <v>74</v>
      </c>
      <c r="M988" t="s">
        <v>78</v>
      </c>
      <c r="N988" t="s">
        <v>79</v>
      </c>
      <c r="O988" t="s">
        <v>74</v>
      </c>
      <c r="P988" t="s">
        <v>74</v>
      </c>
      <c r="Q988" t="s">
        <v>74</v>
      </c>
      <c r="R988" t="s">
        <v>74</v>
      </c>
      <c r="S988" t="s">
        <v>74</v>
      </c>
      <c r="T988" t="s">
        <v>74</v>
      </c>
      <c r="U988" t="s">
        <v>17354</v>
      </c>
      <c r="V988" t="s">
        <v>17355</v>
      </c>
      <c r="W988" t="s">
        <v>17356</v>
      </c>
      <c r="X988" t="s">
        <v>1628</v>
      </c>
      <c r="Y988" t="s">
        <v>17357</v>
      </c>
      <c r="Z988" t="s">
        <v>17358</v>
      </c>
      <c r="AA988" t="s">
        <v>17359</v>
      </c>
      <c r="AB988" t="s">
        <v>17360</v>
      </c>
      <c r="AC988" t="s">
        <v>74</v>
      </c>
      <c r="AD988" t="s">
        <v>74</v>
      </c>
      <c r="AE988" t="s">
        <v>74</v>
      </c>
      <c r="AF988" t="s">
        <v>74</v>
      </c>
      <c r="AG988">
        <v>84</v>
      </c>
      <c r="AH988">
        <v>118</v>
      </c>
      <c r="AI988">
        <v>123</v>
      </c>
      <c r="AJ988">
        <v>2</v>
      </c>
      <c r="AK988">
        <v>28</v>
      </c>
      <c r="AL988" t="s">
        <v>1671</v>
      </c>
      <c r="AM988" t="s">
        <v>304</v>
      </c>
      <c r="AN988" t="s">
        <v>1672</v>
      </c>
      <c r="AO988" t="s">
        <v>17311</v>
      </c>
      <c r="AP988" t="s">
        <v>17312</v>
      </c>
      <c r="AQ988" t="s">
        <v>74</v>
      </c>
      <c r="AR988" t="s">
        <v>17313</v>
      </c>
      <c r="AS988" t="s">
        <v>17314</v>
      </c>
      <c r="AT988" t="s">
        <v>74</v>
      </c>
      <c r="AU988">
        <v>2009</v>
      </c>
      <c r="AV988">
        <v>27</v>
      </c>
      <c r="AW988" t="s">
        <v>3346</v>
      </c>
      <c r="AX988" t="s">
        <v>74</v>
      </c>
      <c r="AY988" t="s">
        <v>74</v>
      </c>
      <c r="AZ988" t="s">
        <v>74</v>
      </c>
      <c r="BA988" t="s">
        <v>74</v>
      </c>
      <c r="BB988">
        <v>114</v>
      </c>
      <c r="BC988">
        <v>129</v>
      </c>
      <c r="BD988" t="s">
        <v>74</v>
      </c>
      <c r="BE988" t="s">
        <v>17361</v>
      </c>
      <c r="BF988" t="str">
        <f>HYPERLINK("http://dx.doi.org/10.1016/j.ocemod.2008.10.009","http://dx.doi.org/10.1016/j.ocemod.2008.10.009")</f>
        <v>http://dx.doi.org/10.1016/j.ocemod.2008.10.009</v>
      </c>
      <c r="BG988" t="s">
        <v>74</v>
      </c>
      <c r="BH988" t="s">
        <v>74</v>
      </c>
      <c r="BI988">
        <v>16</v>
      </c>
      <c r="BJ988" t="s">
        <v>2824</v>
      </c>
      <c r="BK988" t="s">
        <v>100</v>
      </c>
      <c r="BL988" t="s">
        <v>2824</v>
      </c>
      <c r="BM988" t="s">
        <v>17362</v>
      </c>
      <c r="BN988" t="s">
        <v>74</v>
      </c>
      <c r="BO988" t="s">
        <v>74</v>
      </c>
      <c r="BP988" t="s">
        <v>74</v>
      </c>
      <c r="BQ988" t="s">
        <v>74</v>
      </c>
      <c r="BR988" t="s">
        <v>103</v>
      </c>
      <c r="BS988" t="s">
        <v>17363</v>
      </c>
      <c r="BT988" t="str">
        <f>HYPERLINK("https%3A%2F%2Fwww.webofscience.com%2Fwos%2Fwoscc%2Ffull-record%2FWOS:000264976300001","View Full Record in Web of Science")</f>
        <v>View Full Record in Web of Science</v>
      </c>
    </row>
    <row r="989" spans="1:72" x14ac:dyDescent="0.15">
      <c r="A989" t="s">
        <v>72</v>
      </c>
      <c r="B989" t="s">
        <v>17364</v>
      </c>
      <c r="C989" t="s">
        <v>74</v>
      </c>
      <c r="D989" t="s">
        <v>74</v>
      </c>
      <c r="E989" t="s">
        <v>74</v>
      </c>
      <c r="F989" t="s">
        <v>17365</v>
      </c>
      <c r="G989" t="s">
        <v>74</v>
      </c>
      <c r="H989" t="s">
        <v>74</v>
      </c>
      <c r="I989" t="s">
        <v>17366</v>
      </c>
      <c r="J989" t="s">
        <v>17300</v>
      </c>
      <c r="K989" t="s">
        <v>74</v>
      </c>
      <c r="L989" t="s">
        <v>74</v>
      </c>
      <c r="M989" t="s">
        <v>78</v>
      </c>
      <c r="N989" t="s">
        <v>172</v>
      </c>
      <c r="O989" t="s">
        <v>74</v>
      </c>
      <c r="P989" t="s">
        <v>74</v>
      </c>
      <c r="Q989" t="s">
        <v>74</v>
      </c>
      <c r="R989" t="s">
        <v>74</v>
      </c>
      <c r="S989" t="s">
        <v>74</v>
      </c>
      <c r="T989" t="s">
        <v>17367</v>
      </c>
      <c r="U989" t="s">
        <v>17368</v>
      </c>
      <c r="V989" t="s">
        <v>17369</v>
      </c>
      <c r="W989" t="s">
        <v>17370</v>
      </c>
      <c r="X989" t="s">
        <v>17371</v>
      </c>
      <c r="Y989" t="s">
        <v>17372</v>
      </c>
      <c r="Z989" t="s">
        <v>17373</v>
      </c>
      <c r="AA989" t="s">
        <v>17374</v>
      </c>
      <c r="AB989" t="s">
        <v>17375</v>
      </c>
      <c r="AC989" t="s">
        <v>17376</v>
      </c>
      <c r="AD989" t="s">
        <v>1593</v>
      </c>
      <c r="AE989" t="s">
        <v>74</v>
      </c>
      <c r="AF989" t="s">
        <v>74</v>
      </c>
      <c r="AG989">
        <v>148</v>
      </c>
      <c r="AH989">
        <v>534</v>
      </c>
      <c r="AI989">
        <v>575</v>
      </c>
      <c r="AJ989">
        <v>3</v>
      </c>
      <c r="AK989">
        <v>81</v>
      </c>
      <c r="AL989" t="s">
        <v>1671</v>
      </c>
      <c r="AM989" t="s">
        <v>304</v>
      </c>
      <c r="AN989" t="s">
        <v>1672</v>
      </c>
      <c r="AO989" t="s">
        <v>17311</v>
      </c>
      <c r="AP989" t="s">
        <v>17312</v>
      </c>
      <c r="AQ989" t="s">
        <v>74</v>
      </c>
      <c r="AR989" t="s">
        <v>17313</v>
      </c>
      <c r="AS989" t="s">
        <v>17314</v>
      </c>
      <c r="AT989" t="s">
        <v>74</v>
      </c>
      <c r="AU989">
        <v>2009</v>
      </c>
      <c r="AV989">
        <v>26</v>
      </c>
      <c r="AW989" t="s">
        <v>972</v>
      </c>
      <c r="AX989" t="s">
        <v>74</v>
      </c>
      <c r="AY989" t="s">
        <v>74</v>
      </c>
      <c r="AZ989" t="s">
        <v>74</v>
      </c>
      <c r="BA989" t="s">
        <v>74</v>
      </c>
      <c r="BB989">
        <v>1</v>
      </c>
      <c r="BC989">
        <v>46</v>
      </c>
      <c r="BD989" t="s">
        <v>74</v>
      </c>
      <c r="BE989" t="s">
        <v>17377</v>
      </c>
      <c r="BF989" t="str">
        <f>HYPERLINK("http://dx.doi.org/10.1016/j.ocemod.2008.08.007","http://dx.doi.org/10.1016/j.ocemod.2008.08.007")</f>
        <v>http://dx.doi.org/10.1016/j.ocemod.2008.08.007</v>
      </c>
      <c r="BG989" t="s">
        <v>74</v>
      </c>
      <c r="BH989" t="s">
        <v>74</v>
      </c>
      <c r="BI989">
        <v>46</v>
      </c>
      <c r="BJ989" t="s">
        <v>2824</v>
      </c>
      <c r="BK989" t="s">
        <v>100</v>
      </c>
      <c r="BL989" t="s">
        <v>2824</v>
      </c>
      <c r="BM989" t="s">
        <v>17378</v>
      </c>
      <c r="BN989" t="s">
        <v>74</v>
      </c>
      <c r="BO989" t="s">
        <v>74</v>
      </c>
      <c r="BP989" t="s">
        <v>74</v>
      </c>
      <c r="BQ989" t="s">
        <v>74</v>
      </c>
      <c r="BR989" t="s">
        <v>103</v>
      </c>
      <c r="BS989" t="s">
        <v>17379</v>
      </c>
      <c r="BT989" t="str">
        <f>HYPERLINK("https%3A%2F%2Fwww.webofscience.com%2Fwos%2Fwoscc%2Ffull-record%2FWOS:000262421500001","View Full Record in Web of Science")</f>
        <v>View Full Record in Web of Science</v>
      </c>
    </row>
    <row r="990" spans="1:72" x14ac:dyDescent="0.15">
      <c r="A990" t="s">
        <v>72</v>
      </c>
      <c r="B990" t="s">
        <v>17380</v>
      </c>
      <c r="C990" t="s">
        <v>74</v>
      </c>
      <c r="D990" t="s">
        <v>74</v>
      </c>
      <c r="E990" t="s">
        <v>74</v>
      </c>
      <c r="F990" t="s">
        <v>17381</v>
      </c>
      <c r="G990" t="s">
        <v>74</v>
      </c>
      <c r="H990" t="s">
        <v>74</v>
      </c>
      <c r="I990" t="s">
        <v>17382</v>
      </c>
      <c r="J990" t="s">
        <v>17300</v>
      </c>
      <c r="K990" t="s">
        <v>74</v>
      </c>
      <c r="L990" t="s">
        <v>74</v>
      </c>
      <c r="M990" t="s">
        <v>78</v>
      </c>
      <c r="N990" t="s">
        <v>79</v>
      </c>
      <c r="O990" t="s">
        <v>74</v>
      </c>
      <c r="P990" t="s">
        <v>74</v>
      </c>
      <c r="Q990" t="s">
        <v>74</v>
      </c>
      <c r="R990" t="s">
        <v>74</v>
      </c>
      <c r="S990" t="s">
        <v>74</v>
      </c>
      <c r="T990" t="s">
        <v>17383</v>
      </c>
      <c r="U990" t="s">
        <v>17384</v>
      </c>
      <c r="V990" t="s">
        <v>17385</v>
      </c>
      <c r="W990" t="s">
        <v>17386</v>
      </c>
      <c r="X990" t="s">
        <v>17387</v>
      </c>
      <c r="Y990" t="s">
        <v>17388</v>
      </c>
      <c r="Z990" t="s">
        <v>17389</v>
      </c>
      <c r="AA990" t="s">
        <v>17390</v>
      </c>
      <c r="AB990" t="s">
        <v>17391</v>
      </c>
      <c r="AC990" t="s">
        <v>17392</v>
      </c>
      <c r="AD990" t="s">
        <v>17393</v>
      </c>
      <c r="AE990" t="s">
        <v>17394</v>
      </c>
      <c r="AF990" t="s">
        <v>74</v>
      </c>
      <c r="AG990">
        <v>67</v>
      </c>
      <c r="AH990">
        <v>39</v>
      </c>
      <c r="AI990">
        <v>40</v>
      </c>
      <c r="AJ990">
        <v>0</v>
      </c>
      <c r="AK990">
        <v>6</v>
      </c>
      <c r="AL990" t="s">
        <v>1671</v>
      </c>
      <c r="AM990" t="s">
        <v>304</v>
      </c>
      <c r="AN990" t="s">
        <v>1672</v>
      </c>
      <c r="AO990" t="s">
        <v>17311</v>
      </c>
      <c r="AP990" t="s">
        <v>17312</v>
      </c>
      <c r="AQ990" t="s">
        <v>74</v>
      </c>
      <c r="AR990" t="s">
        <v>17313</v>
      </c>
      <c r="AS990" t="s">
        <v>17314</v>
      </c>
      <c r="AT990" t="s">
        <v>74</v>
      </c>
      <c r="AU990">
        <v>2009</v>
      </c>
      <c r="AV990">
        <v>26</v>
      </c>
      <c r="AW990" t="s">
        <v>972</v>
      </c>
      <c r="AX990" t="s">
        <v>74</v>
      </c>
      <c r="AY990" t="s">
        <v>74</v>
      </c>
      <c r="AZ990" t="s">
        <v>74</v>
      </c>
      <c r="BA990" t="s">
        <v>74</v>
      </c>
      <c r="BB990">
        <v>47</v>
      </c>
      <c r="BC990">
        <v>59</v>
      </c>
      <c r="BD990" t="s">
        <v>74</v>
      </c>
      <c r="BE990" t="s">
        <v>17395</v>
      </c>
      <c r="BF990" t="str">
        <f>HYPERLINK("http://dx.doi.org/10.1016/j.ocemod.2008.08.004","http://dx.doi.org/10.1016/j.ocemod.2008.08.004")</f>
        <v>http://dx.doi.org/10.1016/j.ocemod.2008.08.004</v>
      </c>
      <c r="BG990" t="s">
        <v>74</v>
      </c>
      <c r="BH990" t="s">
        <v>74</v>
      </c>
      <c r="BI990">
        <v>13</v>
      </c>
      <c r="BJ990" t="s">
        <v>2824</v>
      </c>
      <c r="BK990" t="s">
        <v>100</v>
      </c>
      <c r="BL990" t="s">
        <v>2824</v>
      </c>
      <c r="BM990" t="s">
        <v>17378</v>
      </c>
      <c r="BN990" t="s">
        <v>74</v>
      </c>
      <c r="BO990" t="s">
        <v>74</v>
      </c>
      <c r="BP990" t="s">
        <v>74</v>
      </c>
      <c r="BQ990" t="s">
        <v>74</v>
      </c>
      <c r="BR990" t="s">
        <v>103</v>
      </c>
      <c r="BS990" t="s">
        <v>17396</v>
      </c>
      <c r="BT990" t="str">
        <f>HYPERLINK("https%3A%2F%2Fwww.webofscience.com%2Fwos%2Fwoscc%2Ffull-record%2FWOS:000262421500002","View Full Record in Web of Science")</f>
        <v>View Full Record in Web of Science</v>
      </c>
    </row>
    <row r="991" spans="1:72" x14ac:dyDescent="0.15">
      <c r="A991" t="s">
        <v>72</v>
      </c>
      <c r="B991" t="s">
        <v>17397</v>
      </c>
      <c r="C991" t="s">
        <v>74</v>
      </c>
      <c r="D991" t="s">
        <v>74</v>
      </c>
      <c r="E991" t="s">
        <v>74</v>
      </c>
      <c r="F991" t="s">
        <v>17398</v>
      </c>
      <c r="G991" t="s">
        <v>74</v>
      </c>
      <c r="H991" t="s">
        <v>74</v>
      </c>
      <c r="I991" t="s">
        <v>17399</v>
      </c>
      <c r="J991" t="s">
        <v>17300</v>
      </c>
      <c r="K991" t="s">
        <v>74</v>
      </c>
      <c r="L991" t="s">
        <v>74</v>
      </c>
      <c r="M991" t="s">
        <v>78</v>
      </c>
      <c r="N991" t="s">
        <v>79</v>
      </c>
      <c r="O991" t="s">
        <v>74</v>
      </c>
      <c r="P991" t="s">
        <v>74</v>
      </c>
      <c r="Q991" t="s">
        <v>74</v>
      </c>
      <c r="R991" t="s">
        <v>74</v>
      </c>
      <c r="S991" t="s">
        <v>74</v>
      </c>
      <c r="T991" t="s">
        <v>17400</v>
      </c>
      <c r="U991" t="s">
        <v>17401</v>
      </c>
      <c r="V991" t="s">
        <v>17402</v>
      </c>
      <c r="W991" t="s">
        <v>17403</v>
      </c>
      <c r="X991" t="s">
        <v>17404</v>
      </c>
      <c r="Y991" t="s">
        <v>17405</v>
      </c>
      <c r="Z991" t="s">
        <v>17406</v>
      </c>
      <c r="AA991" t="s">
        <v>17407</v>
      </c>
      <c r="AB991" t="s">
        <v>74</v>
      </c>
      <c r="AC991" t="s">
        <v>17408</v>
      </c>
      <c r="AD991" t="s">
        <v>17409</v>
      </c>
      <c r="AE991" t="s">
        <v>17410</v>
      </c>
      <c r="AF991" t="s">
        <v>74</v>
      </c>
      <c r="AG991">
        <v>44</v>
      </c>
      <c r="AH991">
        <v>58</v>
      </c>
      <c r="AI991">
        <v>63</v>
      </c>
      <c r="AJ991">
        <v>0</v>
      </c>
      <c r="AK991">
        <v>8</v>
      </c>
      <c r="AL991" t="s">
        <v>1671</v>
      </c>
      <c r="AM991" t="s">
        <v>304</v>
      </c>
      <c r="AN991" t="s">
        <v>1672</v>
      </c>
      <c r="AO991" t="s">
        <v>17311</v>
      </c>
      <c r="AP991" t="s">
        <v>74</v>
      </c>
      <c r="AQ991" t="s">
        <v>74</v>
      </c>
      <c r="AR991" t="s">
        <v>17313</v>
      </c>
      <c r="AS991" t="s">
        <v>17314</v>
      </c>
      <c r="AT991" t="s">
        <v>74</v>
      </c>
      <c r="AU991">
        <v>2009</v>
      </c>
      <c r="AV991">
        <v>26</v>
      </c>
      <c r="AW991" t="s">
        <v>972</v>
      </c>
      <c r="AX991" t="s">
        <v>74</v>
      </c>
      <c r="AY991" t="s">
        <v>74</v>
      </c>
      <c r="AZ991" t="s">
        <v>74</v>
      </c>
      <c r="BA991" t="s">
        <v>74</v>
      </c>
      <c r="BB991">
        <v>104</v>
      </c>
      <c r="BC991">
        <v>113</v>
      </c>
      <c r="BD991" t="s">
        <v>74</v>
      </c>
      <c r="BE991" t="s">
        <v>17411</v>
      </c>
      <c r="BF991" t="str">
        <f>HYPERLINK("http://dx.doi.org/10.1016/j.ocemod.2008.09.007","http://dx.doi.org/10.1016/j.ocemod.2008.09.007")</f>
        <v>http://dx.doi.org/10.1016/j.ocemod.2008.09.007</v>
      </c>
      <c r="BG991" t="s">
        <v>74</v>
      </c>
      <c r="BH991" t="s">
        <v>74</v>
      </c>
      <c r="BI991">
        <v>10</v>
      </c>
      <c r="BJ991" t="s">
        <v>2824</v>
      </c>
      <c r="BK991" t="s">
        <v>100</v>
      </c>
      <c r="BL991" t="s">
        <v>2824</v>
      </c>
      <c r="BM991" t="s">
        <v>17378</v>
      </c>
      <c r="BN991" t="s">
        <v>74</v>
      </c>
      <c r="BO991" t="s">
        <v>74</v>
      </c>
      <c r="BP991" t="s">
        <v>74</v>
      </c>
      <c r="BQ991" t="s">
        <v>74</v>
      </c>
      <c r="BR991" t="s">
        <v>103</v>
      </c>
      <c r="BS991" t="s">
        <v>17412</v>
      </c>
      <c r="BT991" t="str">
        <f>HYPERLINK("https%3A%2F%2Fwww.webofscience.com%2Fwos%2Fwoscc%2Ffull-record%2FWOS:000262421500006","View Full Record in Web of Science")</f>
        <v>View Full Record in Web of Science</v>
      </c>
    </row>
    <row r="992" spans="1:72" x14ac:dyDescent="0.15">
      <c r="A992" t="s">
        <v>72</v>
      </c>
      <c r="B992" t="s">
        <v>17413</v>
      </c>
      <c r="C992" t="s">
        <v>74</v>
      </c>
      <c r="D992" t="s">
        <v>74</v>
      </c>
      <c r="E992" t="s">
        <v>74</v>
      </c>
      <c r="F992" t="s">
        <v>17414</v>
      </c>
      <c r="G992" t="s">
        <v>74</v>
      </c>
      <c r="H992" t="s">
        <v>74</v>
      </c>
      <c r="I992" t="s">
        <v>17415</v>
      </c>
      <c r="J992" t="s">
        <v>17416</v>
      </c>
      <c r="K992" t="s">
        <v>74</v>
      </c>
      <c r="L992" t="s">
        <v>74</v>
      </c>
      <c r="M992" t="s">
        <v>78</v>
      </c>
      <c r="N992" t="s">
        <v>79</v>
      </c>
      <c r="O992" t="s">
        <v>74</v>
      </c>
      <c r="P992" t="s">
        <v>74</v>
      </c>
      <c r="Q992" t="s">
        <v>74</v>
      </c>
      <c r="R992" t="s">
        <v>74</v>
      </c>
      <c r="S992" t="s">
        <v>74</v>
      </c>
      <c r="T992" t="s">
        <v>74</v>
      </c>
      <c r="U992" t="s">
        <v>17417</v>
      </c>
      <c r="V992" t="s">
        <v>17418</v>
      </c>
      <c r="W992" t="s">
        <v>17419</v>
      </c>
      <c r="X992" t="s">
        <v>17420</v>
      </c>
      <c r="Y992" t="s">
        <v>17421</v>
      </c>
      <c r="Z992" t="s">
        <v>17422</v>
      </c>
      <c r="AA992" t="s">
        <v>17423</v>
      </c>
      <c r="AB992" t="s">
        <v>17424</v>
      </c>
      <c r="AC992" t="s">
        <v>17425</v>
      </c>
      <c r="AD992" t="s">
        <v>17426</v>
      </c>
      <c r="AE992" t="s">
        <v>17427</v>
      </c>
      <c r="AF992" t="s">
        <v>74</v>
      </c>
      <c r="AG992">
        <v>19</v>
      </c>
      <c r="AH992">
        <v>22</v>
      </c>
      <c r="AI992">
        <v>22</v>
      </c>
      <c r="AJ992">
        <v>0</v>
      </c>
      <c r="AK992">
        <v>4</v>
      </c>
      <c r="AL992" t="s">
        <v>7730</v>
      </c>
      <c r="AM992" t="s">
        <v>7731</v>
      </c>
      <c r="AN992" t="s">
        <v>7732</v>
      </c>
      <c r="AO992" t="s">
        <v>17428</v>
      </c>
      <c r="AP992" t="s">
        <v>74</v>
      </c>
      <c r="AQ992" t="s">
        <v>74</v>
      </c>
      <c r="AR992" t="s">
        <v>17429</v>
      </c>
      <c r="AS992" t="s">
        <v>17430</v>
      </c>
      <c r="AT992" t="s">
        <v>74</v>
      </c>
      <c r="AU992">
        <v>2009</v>
      </c>
      <c r="AV992">
        <v>5</v>
      </c>
      <c r="AW992">
        <v>2</v>
      </c>
      <c r="AX992" t="s">
        <v>74</v>
      </c>
      <c r="AY992" t="s">
        <v>74</v>
      </c>
      <c r="AZ992" t="s">
        <v>74</v>
      </c>
      <c r="BA992" t="s">
        <v>74</v>
      </c>
      <c r="BB992">
        <v>155</v>
      </c>
      <c r="BC992">
        <v>172</v>
      </c>
      <c r="BD992" t="s">
        <v>74</v>
      </c>
      <c r="BE992" t="s">
        <v>17431</v>
      </c>
      <c r="BF992" t="str">
        <f>HYPERLINK("http://dx.doi.org/10.5194/os-5-155-2009","http://dx.doi.org/10.5194/os-5-155-2009")</f>
        <v>http://dx.doi.org/10.5194/os-5-155-2009</v>
      </c>
      <c r="BG992" t="s">
        <v>74</v>
      </c>
      <c r="BH992" t="s">
        <v>74</v>
      </c>
      <c r="BI992">
        <v>18</v>
      </c>
      <c r="BJ992" t="s">
        <v>2824</v>
      </c>
      <c r="BK992" t="s">
        <v>100</v>
      </c>
      <c r="BL992" t="s">
        <v>2824</v>
      </c>
      <c r="BM992" t="s">
        <v>17432</v>
      </c>
      <c r="BN992" t="s">
        <v>74</v>
      </c>
      <c r="BO992" t="s">
        <v>5881</v>
      </c>
      <c r="BP992" t="s">
        <v>74</v>
      </c>
      <c r="BQ992" t="s">
        <v>74</v>
      </c>
      <c r="BR992" t="s">
        <v>103</v>
      </c>
      <c r="BS992" t="s">
        <v>17433</v>
      </c>
      <c r="BT992" t="str">
        <f>HYPERLINK("https%3A%2F%2Fwww.webofscience.com%2Fwos%2Fwoscc%2Ffull-record%2FWOS:000207938200005","View Full Record in Web of Science")</f>
        <v>View Full Record in Web of Science</v>
      </c>
    </row>
    <row r="993" spans="1:72" x14ac:dyDescent="0.15">
      <c r="A993" t="s">
        <v>72</v>
      </c>
      <c r="B993" t="s">
        <v>17434</v>
      </c>
      <c r="C993" t="s">
        <v>74</v>
      </c>
      <c r="D993" t="s">
        <v>74</v>
      </c>
      <c r="E993" t="s">
        <v>74</v>
      </c>
      <c r="F993" t="s">
        <v>17435</v>
      </c>
      <c r="G993" t="s">
        <v>74</v>
      </c>
      <c r="H993" t="s">
        <v>74</v>
      </c>
      <c r="I993" t="s">
        <v>17436</v>
      </c>
      <c r="J993" t="s">
        <v>17416</v>
      </c>
      <c r="K993" t="s">
        <v>74</v>
      </c>
      <c r="L993" t="s">
        <v>74</v>
      </c>
      <c r="M993" t="s">
        <v>78</v>
      </c>
      <c r="N993" t="s">
        <v>79</v>
      </c>
      <c r="O993" t="s">
        <v>74</v>
      </c>
      <c r="P993" t="s">
        <v>74</v>
      </c>
      <c r="Q993" t="s">
        <v>74</v>
      </c>
      <c r="R993" t="s">
        <v>74</v>
      </c>
      <c r="S993" t="s">
        <v>74</v>
      </c>
      <c r="T993" t="s">
        <v>74</v>
      </c>
      <c r="U993" t="s">
        <v>17437</v>
      </c>
      <c r="V993" t="s">
        <v>17438</v>
      </c>
      <c r="W993" t="s">
        <v>17439</v>
      </c>
      <c r="X993" t="s">
        <v>17440</v>
      </c>
      <c r="Y993" t="s">
        <v>17441</v>
      </c>
      <c r="Z993" t="s">
        <v>17442</v>
      </c>
      <c r="AA993" t="s">
        <v>17443</v>
      </c>
      <c r="AB993" t="s">
        <v>17444</v>
      </c>
      <c r="AC993" t="s">
        <v>17445</v>
      </c>
      <c r="AD993" t="s">
        <v>17446</v>
      </c>
      <c r="AE993" t="s">
        <v>17447</v>
      </c>
      <c r="AF993" t="s">
        <v>74</v>
      </c>
      <c r="AG993">
        <v>50</v>
      </c>
      <c r="AH993">
        <v>23</v>
      </c>
      <c r="AI993">
        <v>24</v>
      </c>
      <c r="AJ993">
        <v>0</v>
      </c>
      <c r="AK993">
        <v>14</v>
      </c>
      <c r="AL993" t="s">
        <v>7730</v>
      </c>
      <c r="AM993" t="s">
        <v>7731</v>
      </c>
      <c r="AN993" t="s">
        <v>7732</v>
      </c>
      <c r="AO993" t="s">
        <v>17428</v>
      </c>
      <c r="AP993" t="s">
        <v>74</v>
      </c>
      <c r="AQ993" t="s">
        <v>74</v>
      </c>
      <c r="AR993" t="s">
        <v>17429</v>
      </c>
      <c r="AS993" t="s">
        <v>17430</v>
      </c>
      <c r="AT993" t="s">
        <v>74</v>
      </c>
      <c r="AU993">
        <v>2009</v>
      </c>
      <c r="AV993">
        <v>5</v>
      </c>
      <c r="AW993">
        <v>4</v>
      </c>
      <c r="AX993" t="s">
        <v>74</v>
      </c>
      <c r="AY993" t="s">
        <v>74</v>
      </c>
      <c r="AZ993" t="s">
        <v>74</v>
      </c>
      <c r="BA993" t="s">
        <v>74</v>
      </c>
      <c r="BB993">
        <v>435</v>
      </c>
      <c r="BC993">
        <v>445</v>
      </c>
      <c r="BD993" t="s">
        <v>74</v>
      </c>
      <c r="BE993" t="s">
        <v>17448</v>
      </c>
      <c r="BF993" t="str">
        <f>HYPERLINK("http://dx.doi.org/10.5194/os-5-435-2009","http://dx.doi.org/10.5194/os-5-435-2009")</f>
        <v>http://dx.doi.org/10.5194/os-5-435-2009</v>
      </c>
      <c r="BG993" t="s">
        <v>74</v>
      </c>
      <c r="BH993" t="s">
        <v>74</v>
      </c>
      <c r="BI993">
        <v>11</v>
      </c>
      <c r="BJ993" t="s">
        <v>2824</v>
      </c>
      <c r="BK993" t="s">
        <v>100</v>
      </c>
      <c r="BL993" t="s">
        <v>2824</v>
      </c>
      <c r="BM993" t="s">
        <v>17449</v>
      </c>
      <c r="BN993" t="s">
        <v>74</v>
      </c>
      <c r="BO993" t="s">
        <v>450</v>
      </c>
      <c r="BP993" t="s">
        <v>74</v>
      </c>
      <c r="BQ993" t="s">
        <v>74</v>
      </c>
      <c r="BR993" t="s">
        <v>103</v>
      </c>
      <c r="BS993" t="s">
        <v>17450</v>
      </c>
      <c r="BT993" t="str">
        <f>HYPERLINK("https%3A%2F%2Fwww.webofscience.com%2Fwos%2Fwoscc%2Ffull-record%2FWOS:000273059600004","View Full Record in Web of Science")</f>
        <v>View Full Record in Web of Science</v>
      </c>
    </row>
    <row r="994" spans="1:72" x14ac:dyDescent="0.15">
      <c r="A994" t="s">
        <v>72</v>
      </c>
      <c r="B994" t="s">
        <v>17451</v>
      </c>
      <c r="C994" t="s">
        <v>74</v>
      </c>
      <c r="D994" t="s">
        <v>74</v>
      </c>
      <c r="E994" t="s">
        <v>74</v>
      </c>
      <c r="F994" t="s">
        <v>17452</v>
      </c>
      <c r="G994" t="s">
        <v>74</v>
      </c>
      <c r="H994" t="s">
        <v>74</v>
      </c>
      <c r="I994" t="s">
        <v>17453</v>
      </c>
      <c r="J994" t="s">
        <v>17416</v>
      </c>
      <c r="K994" t="s">
        <v>74</v>
      </c>
      <c r="L994" t="s">
        <v>74</v>
      </c>
      <c r="M994" t="s">
        <v>78</v>
      </c>
      <c r="N994" t="s">
        <v>79</v>
      </c>
      <c r="O994" t="s">
        <v>74</v>
      </c>
      <c r="P994" t="s">
        <v>74</v>
      </c>
      <c r="Q994" t="s">
        <v>74</v>
      </c>
      <c r="R994" t="s">
        <v>74</v>
      </c>
      <c r="S994" t="s">
        <v>74</v>
      </c>
      <c r="T994" t="s">
        <v>74</v>
      </c>
      <c r="U994" t="s">
        <v>17454</v>
      </c>
      <c r="V994" t="s">
        <v>17455</v>
      </c>
      <c r="W994" t="s">
        <v>17456</v>
      </c>
      <c r="X994" t="s">
        <v>17457</v>
      </c>
      <c r="Y994" t="s">
        <v>17458</v>
      </c>
      <c r="Z994" t="s">
        <v>17459</v>
      </c>
      <c r="AA994" t="s">
        <v>17460</v>
      </c>
      <c r="AB994" t="s">
        <v>17461</v>
      </c>
      <c r="AC994" t="s">
        <v>17462</v>
      </c>
      <c r="AD994" t="s">
        <v>17463</v>
      </c>
      <c r="AE994" t="s">
        <v>17464</v>
      </c>
      <c r="AF994" t="s">
        <v>74</v>
      </c>
      <c r="AG994">
        <v>46</v>
      </c>
      <c r="AH994">
        <v>127</v>
      </c>
      <c r="AI994">
        <v>145</v>
      </c>
      <c r="AJ994">
        <v>4</v>
      </c>
      <c r="AK994">
        <v>40</v>
      </c>
      <c r="AL994" t="s">
        <v>7730</v>
      </c>
      <c r="AM994" t="s">
        <v>7731</v>
      </c>
      <c r="AN994" t="s">
        <v>7732</v>
      </c>
      <c r="AO994" t="s">
        <v>17428</v>
      </c>
      <c r="AP994" t="s">
        <v>74</v>
      </c>
      <c r="AQ994" t="s">
        <v>74</v>
      </c>
      <c r="AR994" t="s">
        <v>17429</v>
      </c>
      <c r="AS994" t="s">
        <v>17430</v>
      </c>
      <c r="AT994" t="s">
        <v>74</v>
      </c>
      <c r="AU994">
        <v>2009</v>
      </c>
      <c r="AV994">
        <v>5</v>
      </c>
      <c r="AW994">
        <v>4</v>
      </c>
      <c r="AX994" t="s">
        <v>74</v>
      </c>
      <c r="AY994" t="s">
        <v>74</v>
      </c>
      <c r="AZ994" t="s">
        <v>74</v>
      </c>
      <c r="BA994" t="s">
        <v>74</v>
      </c>
      <c r="BB994">
        <v>685</v>
      </c>
      <c r="BC994">
        <v>695</v>
      </c>
      <c r="BD994" t="s">
        <v>74</v>
      </c>
      <c r="BE994" t="s">
        <v>17465</v>
      </c>
      <c r="BF994" t="str">
        <f>HYPERLINK("http://dx.doi.org/10.5194/os-5-685-2009","http://dx.doi.org/10.5194/os-5-685-2009")</f>
        <v>http://dx.doi.org/10.5194/os-5-685-2009</v>
      </c>
      <c r="BG994" t="s">
        <v>74</v>
      </c>
      <c r="BH994" t="s">
        <v>74</v>
      </c>
      <c r="BI994">
        <v>11</v>
      </c>
      <c r="BJ994" t="s">
        <v>2824</v>
      </c>
      <c r="BK994" t="s">
        <v>100</v>
      </c>
      <c r="BL994" t="s">
        <v>2824</v>
      </c>
      <c r="BM994" t="s">
        <v>17449</v>
      </c>
      <c r="BN994" t="s">
        <v>74</v>
      </c>
      <c r="BO994" t="s">
        <v>17466</v>
      </c>
      <c r="BP994" t="s">
        <v>74</v>
      </c>
      <c r="BQ994" t="s">
        <v>74</v>
      </c>
      <c r="BR994" t="s">
        <v>103</v>
      </c>
      <c r="BS994" t="s">
        <v>17467</v>
      </c>
      <c r="BT994" t="str">
        <f>HYPERLINK("https%3A%2F%2Fwww.webofscience.com%2Fwos%2Fwoscc%2Ffull-record%2FWOS:000273059600022","View Full Record in Web of Science")</f>
        <v>View Full Record in Web of Science</v>
      </c>
    </row>
    <row r="995" spans="1:72" x14ac:dyDescent="0.15">
      <c r="A995" t="s">
        <v>72</v>
      </c>
      <c r="B995" t="s">
        <v>17468</v>
      </c>
      <c r="C995" t="s">
        <v>74</v>
      </c>
      <c r="D995" t="s">
        <v>74</v>
      </c>
      <c r="E995" t="s">
        <v>74</v>
      </c>
      <c r="F995" t="s">
        <v>17469</v>
      </c>
      <c r="G995" t="s">
        <v>74</v>
      </c>
      <c r="H995" t="s">
        <v>74</v>
      </c>
      <c r="I995" t="s">
        <v>17470</v>
      </c>
      <c r="J995" t="s">
        <v>17471</v>
      </c>
      <c r="K995" t="s">
        <v>74</v>
      </c>
      <c r="L995" t="s">
        <v>74</v>
      </c>
      <c r="M995" t="s">
        <v>78</v>
      </c>
      <c r="N995" t="s">
        <v>79</v>
      </c>
      <c r="O995" t="s">
        <v>74</v>
      </c>
      <c r="P995" t="s">
        <v>74</v>
      </c>
      <c r="Q995" t="s">
        <v>74</v>
      </c>
      <c r="R995" t="s">
        <v>74</v>
      </c>
      <c r="S995" t="s">
        <v>74</v>
      </c>
      <c r="T995" t="s">
        <v>74</v>
      </c>
      <c r="U995" t="s">
        <v>74</v>
      </c>
      <c r="V995" t="s">
        <v>74</v>
      </c>
      <c r="W995" t="s">
        <v>17472</v>
      </c>
      <c r="X995" t="s">
        <v>74</v>
      </c>
      <c r="Y995" t="s">
        <v>17473</v>
      </c>
      <c r="Z995" t="s">
        <v>74</v>
      </c>
      <c r="AA995" t="s">
        <v>74</v>
      </c>
      <c r="AB995" t="s">
        <v>74</v>
      </c>
      <c r="AC995" t="s">
        <v>17474</v>
      </c>
      <c r="AD995" t="s">
        <v>17474</v>
      </c>
      <c r="AE995" t="s">
        <v>17475</v>
      </c>
      <c r="AF995" t="s">
        <v>74</v>
      </c>
      <c r="AG995">
        <v>20</v>
      </c>
      <c r="AH995">
        <v>1</v>
      </c>
      <c r="AI995">
        <v>1</v>
      </c>
      <c r="AJ995">
        <v>0</v>
      </c>
      <c r="AK995">
        <v>2</v>
      </c>
      <c r="AL995" t="s">
        <v>17476</v>
      </c>
      <c r="AM995" t="s">
        <v>17477</v>
      </c>
      <c r="AN995" t="s">
        <v>17478</v>
      </c>
      <c r="AO995" t="s">
        <v>17479</v>
      </c>
      <c r="AP995" t="s">
        <v>17480</v>
      </c>
      <c r="AQ995" t="s">
        <v>74</v>
      </c>
      <c r="AR995" t="s">
        <v>17481</v>
      </c>
      <c r="AS995" t="s">
        <v>17482</v>
      </c>
      <c r="AT995" t="s">
        <v>74</v>
      </c>
      <c r="AU995">
        <v>2009</v>
      </c>
      <c r="AV995">
        <v>23</v>
      </c>
      <c r="AW995">
        <v>1</v>
      </c>
      <c r="AX995" t="s">
        <v>74</v>
      </c>
      <c r="AY995" t="s">
        <v>74</v>
      </c>
      <c r="AZ995" t="s">
        <v>74</v>
      </c>
      <c r="BA995" t="s">
        <v>74</v>
      </c>
      <c r="BB995">
        <v>279</v>
      </c>
      <c r="BC995">
        <v>307</v>
      </c>
      <c r="BD995" t="s">
        <v>74</v>
      </c>
      <c r="BE995" t="s">
        <v>17483</v>
      </c>
      <c r="BF995" t="str">
        <f>HYPERLINK("http://dx.doi.org/10.1163/22116001-90000197","http://dx.doi.org/10.1163/22116001-90000197")</f>
        <v>http://dx.doi.org/10.1163/22116001-90000197</v>
      </c>
      <c r="BG995" t="s">
        <v>74</v>
      </c>
      <c r="BH995" t="s">
        <v>74</v>
      </c>
      <c r="BI995">
        <v>29</v>
      </c>
      <c r="BJ995" t="s">
        <v>17484</v>
      </c>
      <c r="BK995" t="s">
        <v>2781</v>
      </c>
      <c r="BL995" t="s">
        <v>424</v>
      </c>
      <c r="BM995" t="s">
        <v>17485</v>
      </c>
      <c r="BN995" t="s">
        <v>74</v>
      </c>
      <c r="BO995" t="s">
        <v>74</v>
      </c>
      <c r="BP995" t="s">
        <v>74</v>
      </c>
      <c r="BQ995" t="s">
        <v>74</v>
      </c>
      <c r="BR995" t="s">
        <v>103</v>
      </c>
      <c r="BS995" t="s">
        <v>17486</v>
      </c>
      <c r="BT995" t="str">
        <f>HYPERLINK("https%3A%2F%2Fwww.webofscience.com%2Fwos%2Fwoscc%2Ffull-record%2FWOS:000213801300011","View Full Record in Web of Science")</f>
        <v>View Full Record in Web of Science</v>
      </c>
    </row>
    <row r="996" spans="1:72" x14ac:dyDescent="0.15">
      <c r="A996" t="s">
        <v>2434</v>
      </c>
      <c r="B996" t="s">
        <v>17487</v>
      </c>
      <c r="C996" t="s">
        <v>74</v>
      </c>
      <c r="D996" t="s">
        <v>17488</v>
      </c>
      <c r="E996" t="s">
        <v>74</v>
      </c>
      <c r="F996" t="s">
        <v>17489</v>
      </c>
      <c r="G996" t="s">
        <v>74</v>
      </c>
      <c r="H996" t="s">
        <v>74</v>
      </c>
      <c r="I996" t="s">
        <v>17490</v>
      </c>
      <c r="J996" t="s">
        <v>17491</v>
      </c>
      <c r="K996" t="s">
        <v>17492</v>
      </c>
      <c r="L996" t="s">
        <v>74</v>
      </c>
      <c r="M996" t="s">
        <v>78</v>
      </c>
      <c r="N996" t="s">
        <v>2440</v>
      </c>
      <c r="O996" t="s">
        <v>17493</v>
      </c>
      <c r="P996" t="s">
        <v>17494</v>
      </c>
      <c r="Q996" t="s">
        <v>17495</v>
      </c>
      <c r="R996" t="s">
        <v>74</v>
      </c>
      <c r="S996" t="s">
        <v>74</v>
      </c>
      <c r="T996" t="s">
        <v>74</v>
      </c>
      <c r="U996" t="s">
        <v>74</v>
      </c>
      <c r="V996" t="s">
        <v>74</v>
      </c>
      <c r="W996" t="s">
        <v>17496</v>
      </c>
      <c r="X996" t="s">
        <v>74</v>
      </c>
      <c r="Y996" t="s">
        <v>74</v>
      </c>
      <c r="Z996" t="s">
        <v>17497</v>
      </c>
      <c r="AA996" t="s">
        <v>74</v>
      </c>
      <c r="AB996" t="s">
        <v>74</v>
      </c>
      <c r="AC996" t="s">
        <v>74</v>
      </c>
      <c r="AD996" t="s">
        <v>74</v>
      </c>
      <c r="AE996" t="s">
        <v>74</v>
      </c>
      <c r="AF996" t="s">
        <v>74</v>
      </c>
      <c r="AG996">
        <v>0</v>
      </c>
      <c r="AH996">
        <v>0</v>
      </c>
      <c r="AI996">
        <v>0</v>
      </c>
      <c r="AJ996">
        <v>0</v>
      </c>
      <c r="AK996">
        <v>3</v>
      </c>
      <c r="AL996" t="s">
        <v>17498</v>
      </c>
      <c r="AM996" t="s">
        <v>17499</v>
      </c>
      <c r="AN996" t="s">
        <v>17500</v>
      </c>
      <c r="AO996" t="s">
        <v>17501</v>
      </c>
      <c r="AP996" t="s">
        <v>74</v>
      </c>
      <c r="AQ996" t="s">
        <v>17502</v>
      </c>
      <c r="AR996" t="s">
        <v>17503</v>
      </c>
      <c r="AS996" t="s">
        <v>17504</v>
      </c>
      <c r="AT996" t="s">
        <v>74</v>
      </c>
      <c r="AU996">
        <v>2009</v>
      </c>
      <c r="AV996">
        <v>35</v>
      </c>
      <c r="AW996" t="s">
        <v>972</v>
      </c>
      <c r="AX996" t="s">
        <v>74</v>
      </c>
      <c r="AY996" t="s">
        <v>74</v>
      </c>
      <c r="AZ996" t="s">
        <v>74</v>
      </c>
      <c r="BA996" t="s">
        <v>74</v>
      </c>
      <c r="BB996">
        <v>181</v>
      </c>
      <c r="BC996">
        <v>184</v>
      </c>
      <c r="BD996" t="s">
        <v>74</v>
      </c>
      <c r="BE996" t="s">
        <v>74</v>
      </c>
      <c r="BF996" t="s">
        <v>74</v>
      </c>
      <c r="BG996" t="s">
        <v>74</v>
      </c>
      <c r="BH996" t="s">
        <v>74</v>
      </c>
      <c r="BI996">
        <v>4</v>
      </c>
      <c r="BJ996" t="s">
        <v>17505</v>
      </c>
      <c r="BK996" t="s">
        <v>17506</v>
      </c>
      <c r="BL996" t="s">
        <v>17507</v>
      </c>
      <c r="BM996" t="s">
        <v>17508</v>
      </c>
      <c r="BN996" t="s">
        <v>74</v>
      </c>
      <c r="BO996" t="s">
        <v>74</v>
      </c>
      <c r="BP996" t="s">
        <v>74</v>
      </c>
      <c r="BQ996" t="s">
        <v>74</v>
      </c>
      <c r="BR996" t="s">
        <v>103</v>
      </c>
      <c r="BS996" t="s">
        <v>17509</v>
      </c>
      <c r="BT996" t="str">
        <f>HYPERLINK("https%3A%2F%2Fwww.webofscience.com%2Fwos%2Fwoscc%2Ffull-record%2FWOS:000279738900019","View Full Record in Web of Science")</f>
        <v>View Full Record in Web of Science</v>
      </c>
    </row>
    <row r="997" spans="1:72" x14ac:dyDescent="0.15">
      <c r="A997" t="s">
        <v>2434</v>
      </c>
      <c r="B997" t="s">
        <v>17510</v>
      </c>
      <c r="C997" t="s">
        <v>74</v>
      </c>
      <c r="D997" t="s">
        <v>74</v>
      </c>
      <c r="E997" t="s">
        <v>10901</v>
      </c>
      <c r="F997" t="s">
        <v>17511</v>
      </c>
      <c r="G997" t="s">
        <v>74</v>
      </c>
      <c r="H997" t="s">
        <v>74</v>
      </c>
      <c r="I997" t="s">
        <v>17512</v>
      </c>
      <c r="J997" t="s">
        <v>17513</v>
      </c>
      <c r="K997" t="s">
        <v>17514</v>
      </c>
      <c r="L997" t="s">
        <v>74</v>
      </c>
      <c r="M997" t="s">
        <v>78</v>
      </c>
      <c r="N997" t="s">
        <v>2440</v>
      </c>
      <c r="O997" t="s">
        <v>17515</v>
      </c>
      <c r="P997" t="s">
        <v>17516</v>
      </c>
      <c r="Q997" t="s">
        <v>17517</v>
      </c>
      <c r="R997" t="s">
        <v>74</v>
      </c>
      <c r="S997" t="s">
        <v>74</v>
      </c>
      <c r="T997" t="s">
        <v>74</v>
      </c>
      <c r="U997" t="s">
        <v>17518</v>
      </c>
      <c r="V997" t="s">
        <v>17519</v>
      </c>
      <c r="W997" t="s">
        <v>17520</v>
      </c>
      <c r="X997" t="s">
        <v>9917</v>
      </c>
      <c r="Y997" t="s">
        <v>17521</v>
      </c>
      <c r="Z997" t="s">
        <v>74</v>
      </c>
      <c r="AA997" t="s">
        <v>74</v>
      </c>
      <c r="AB997" t="s">
        <v>74</v>
      </c>
      <c r="AC997" t="s">
        <v>74</v>
      </c>
      <c r="AD997" t="s">
        <v>74</v>
      </c>
      <c r="AE997" t="s">
        <v>74</v>
      </c>
      <c r="AF997" t="s">
        <v>74</v>
      </c>
      <c r="AG997">
        <v>15</v>
      </c>
      <c r="AH997">
        <v>2</v>
      </c>
      <c r="AI997">
        <v>2</v>
      </c>
      <c r="AJ997">
        <v>4</v>
      </c>
      <c r="AK997">
        <v>10</v>
      </c>
      <c r="AL997" t="s">
        <v>10901</v>
      </c>
      <c r="AM997" t="s">
        <v>92</v>
      </c>
      <c r="AN997" t="s">
        <v>10914</v>
      </c>
      <c r="AO997" t="s">
        <v>17522</v>
      </c>
      <c r="AP997" t="s">
        <v>74</v>
      </c>
      <c r="AQ997" t="s">
        <v>17523</v>
      </c>
      <c r="AR997" t="s">
        <v>17514</v>
      </c>
      <c r="AS997" t="s">
        <v>74</v>
      </c>
      <c r="AT997" t="s">
        <v>74</v>
      </c>
      <c r="AU997">
        <v>2009</v>
      </c>
      <c r="AV997" t="s">
        <v>74</v>
      </c>
      <c r="AW997" t="s">
        <v>74</v>
      </c>
      <c r="AX997" t="s">
        <v>74</v>
      </c>
      <c r="AY997" t="s">
        <v>74</v>
      </c>
      <c r="AZ997" t="s">
        <v>74</v>
      </c>
      <c r="BA997" t="s">
        <v>74</v>
      </c>
      <c r="BB997">
        <v>510</v>
      </c>
      <c r="BC997">
        <v>517</v>
      </c>
      <c r="BD997" t="s">
        <v>74</v>
      </c>
      <c r="BE997" t="s">
        <v>74</v>
      </c>
      <c r="BF997" t="s">
        <v>74</v>
      </c>
      <c r="BG997" t="s">
        <v>74</v>
      </c>
      <c r="BH997" t="s">
        <v>74</v>
      </c>
      <c r="BI997">
        <v>8</v>
      </c>
      <c r="BJ997" t="s">
        <v>17524</v>
      </c>
      <c r="BK997" t="s">
        <v>2457</v>
      </c>
      <c r="BL997" t="s">
        <v>17525</v>
      </c>
      <c r="BM997" t="s">
        <v>17526</v>
      </c>
      <c r="BN997" t="s">
        <v>74</v>
      </c>
      <c r="BO997" t="s">
        <v>74</v>
      </c>
      <c r="BP997" t="s">
        <v>74</v>
      </c>
      <c r="BQ997" t="s">
        <v>74</v>
      </c>
      <c r="BR997" t="s">
        <v>103</v>
      </c>
      <c r="BS997" t="s">
        <v>17527</v>
      </c>
      <c r="BT997" t="str">
        <f>HYPERLINK("https%3A%2F%2Fwww.webofscience.com%2Fwos%2Fwoscc%2Ffull-record%2FWOS:000277066400081","View Full Record in Web of Science")</f>
        <v>View Full Record in Web of Science</v>
      </c>
    </row>
    <row r="998" spans="1:72" x14ac:dyDescent="0.15">
      <c r="A998" t="s">
        <v>2434</v>
      </c>
      <c r="B998" t="s">
        <v>17528</v>
      </c>
      <c r="C998" t="s">
        <v>74</v>
      </c>
      <c r="D998" t="s">
        <v>74</v>
      </c>
      <c r="E998" t="s">
        <v>10901</v>
      </c>
      <c r="F998" t="s">
        <v>17529</v>
      </c>
      <c r="G998" t="s">
        <v>74</v>
      </c>
      <c r="H998" t="s">
        <v>74</v>
      </c>
      <c r="I998" t="s">
        <v>17530</v>
      </c>
      <c r="J998" t="s">
        <v>17513</v>
      </c>
      <c r="K998" t="s">
        <v>17514</v>
      </c>
      <c r="L998" t="s">
        <v>74</v>
      </c>
      <c r="M998" t="s">
        <v>78</v>
      </c>
      <c r="N998" t="s">
        <v>2440</v>
      </c>
      <c r="O998" t="s">
        <v>17515</v>
      </c>
      <c r="P998" t="s">
        <v>17516</v>
      </c>
      <c r="Q998" t="s">
        <v>17517</v>
      </c>
      <c r="R998" t="s">
        <v>74</v>
      </c>
      <c r="S998" t="s">
        <v>74</v>
      </c>
      <c r="T998" t="s">
        <v>74</v>
      </c>
      <c r="U998" t="s">
        <v>74</v>
      </c>
      <c r="V998" t="s">
        <v>17531</v>
      </c>
      <c r="W998" t="s">
        <v>17532</v>
      </c>
      <c r="X998" t="s">
        <v>74</v>
      </c>
      <c r="Y998" t="s">
        <v>17533</v>
      </c>
      <c r="Z998" t="s">
        <v>74</v>
      </c>
      <c r="AA998" t="s">
        <v>74</v>
      </c>
      <c r="AB998" t="s">
        <v>74</v>
      </c>
      <c r="AC998" t="s">
        <v>74</v>
      </c>
      <c r="AD998" t="s">
        <v>74</v>
      </c>
      <c r="AE998" t="s">
        <v>74</v>
      </c>
      <c r="AF998" t="s">
        <v>74</v>
      </c>
      <c r="AG998">
        <v>2</v>
      </c>
      <c r="AH998">
        <v>10</v>
      </c>
      <c r="AI998">
        <v>12</v>
      </c>
      <c r="AJ998">
        <v>2</v>
      </c>
      <c r="AK998">
        <v>15</v>
      </c>
      <c r="AL998" t="s">
        <v>10901</v>
      </c>
      <c r="AM998" t="s">
        <v>92</v>
      </c>
      <c r="AN998" t="s">
        <v>10914</v>
      </c>
      <c r="AO998" t="s">
        <v>17522</v>
      </c>
      <c r="AP998" t="s">
        <v>74</v>
      </c>
      <c r="AQ998" t="s">
        <v>17523</v>
      </c>
      <c r="AR998" t="s">
        <v>17514</v>
      </c>
      <c r="AS998" t="s">
        <v>74</v>
      </c>
      <c r="AT998" t="s">
        <v>74</v>
      </c>
      <c r="AU998">
        <v>2009</v>
      </c>
      <c r="AV998" t="s">
        <v>74</v>
      </c>
      <c r="AW998" t="s">
        <v>74</v>
      </c>
      <c r="AX998" t="s">
        <v>74</v>
      </c>
      <c r="AY998" t="s">
        <v>74</v>
      </c>
      <c r="AZ998" t="s">
        <v>74</v>
      </c>
      <c r="BA998" t="s">
        <v>74</v>
      </c>
      <c r="BB998">
        <v>1434</v>
      </c>
      <c r="BC998">
        <v>1439</v>
      </c>
      <c r="BD998" t="s">
        <v>74</v>
      </c>
      <c r="BE998" t="s">
        <v>74</v>
      </c>
      <c r="BF998" t="s">
        <v>74</v>
      </c>
      <c r="BG998" t="s">
        <v>74</v>
      </c>
      <c r="BH998" t="s">
        <v>74</v>
      </c>
      <c r="BI998">
        <v>6</v>
      </c>
      <c r="BJ998" t="s">
        <v>17524</v>
      </c>
      <c r="BK998" t="s">
        <v>2457</v>
      </c>
      <c r="BL998" t="s">
        <v>17525</v>
      </c>
      <c r="BM998" t="s">
        <v>17526</v>
      </c>
      <c r="BN998" t="s">
        <v>74</v>
      </c>
      <c r="BO998" t="s">
        <v>74</v>
      </c>
      <c r="BP998" t="s">
        <v>74</v>
      </c>
      <c r="BQ998" t="s">
        <v>74</v>
      </c>
      <c r="BR998" t="s">
        <v>103</v>
      </c>
      <c r="BS998" t="s">
        <v>17534</v>
      </c>
      <c r="BT998" t="str">
        <f>HYPERLINK("https%3A%2F%2Fwww.webofscience.com%2Fwos%2Fwoscc%2Ffull-record%2FWOS:000277066400229","View Full Record in Web of Science")</f>
        <v>View Full Record in Web of Science</v>
      </c>
    </row>
    <row r="999" spans="1:72" x14ac:dyDescent="0.15">
      <c r="A999" t="s">
        <v>2434</v>
      </c>
      <c r="B999" t="s">
        <v>17535</v>
      </c>
      <c r="C999" t="s">
        <v>74</v>
      </c>
      <c r="D999" t="s">
        <v>74</v>
      </c>
      <c r="E999" t="s">
        <v>14720</v>
      </c>
      <c r="F999" t="s">
        <v>17536</v>
      </c>
      <c r="G999" t="s">
        <v>74</v>
      </c>
      <c r="H999" t="s">
        <v>74</v>
      </c>
      <c r="I999" t="s">
        <v>17537</v>
      </c>
      <c r="J999" t="s">
        <v>17538</v>
      </c>
      <c r="K999" t="s">
        <v>74</v>
      </c>
      <c r="L999" t="s">
        <v>74</v>
      </c>
      <c r="M999" t="s">
        <v>78</v>
      </c>
      <c r="N999" t="s">
        <v>2440</v>
      </c>
      <c r="O999" t="s">
        <v>17539</v>
      </c>
      <c r="P999" t="s">
        <v>17540</v>
      </c>
      <c r="Q999" t="s">
        <v>17541</v>
      </c>
      <c r="R999" t="s">
        <v>74</v>
      </c>
      <c r="S999" t="s">
        <v>74</v>
      </c>
      <c r="T999" t="s">
        <v>17542</v>
      </c>
      <c r="U999" t="s">
        <v>74</v>
      </c>
      <c r="V999" t="s">
        <v>17543</v>
      </c>
      <c r="W999" t="s">
        <v>17544</v>
      </c>
      <c r="X999" t="s">
        <v>17545</v>
      </c>
      <c r="Y999" t="s">
        <v>17546</v>
      </c>
      <c r="Z999" t="s">
        <v>17547</v>
      </c>
      <c r="AA999" t="s">
        <v>74</v>
      </c>
      <c r="AB999" t="s">
        <v>74</v>
      </c>
      <c r="AC999" t="s">
        <v>74</v>
      </c>
      <c r="AD999" t="s">
        <v>74</v>
      </c>
      <c r="AE999" t="s">
        <v>74</v>
      </c>
      <c r="AF999" t="s">
        <v>74</v>
      </c>
      <c r="AG999">
        <v>9</v>
      </c>
      <c r="AH999">
        <v>0</v>
      </c>
      <c r="AI999">
        <v>0</v>
      </c>
      <c r="AJ999">
        <v>0</v>
      </c>
      <c r="AK999">
        <v>0</v>
      </c>
      <c r="AL999" t="s">
        <v>14732</v>
      </c>
      <c r="AM999" t="s">
        <v>92</v>
      </c>
      <c r="AN999" t="s">
        <v>14733</v>
      </c>
      <c r="AO999" t="s">
        <v>74</v>
      </c>
      <c r="AP999" t="s">
        <v>74</v>
      </c>
      <c r="AQ999" t="s">
        <v>17548</v>
      </c>
      <c r="AR999" t="s">
        <v>74</v>
      </c>
      <c r="AS999" t="s">
        <v>74</v>
      </c>
      <c r="AT999" t="s">
        <v>74</v>
      </c>
      <c r="AU999">
        <v>2009</v>
      </c>
      <c r="AV999" t="s">
        <v>74</v>
      </c>
      <c r="AW999" t="s">
        <v>74</v>
      </c>
      <c r="AX999" t="s">
        <v>74</v>
      </c>
      <c r="AY999" t="s">
        <v>74</v>
      </c>
      <c r="AZ999" t="s">
        <v>74</v>
      </c>
      <c r="BA999" t="s">
        <v>74</v>
      </c>
      <c r="BB999">
        <v>195</v>
      </c>
      <c r="BC999">
        <v>203</v>
      </c>
      <c r="BD999" t="s">
        <v>74</v>
      </c>
      <c r="BE999" t="s">
        <v>74</v>
      </c>
      <c r="BF999" t="s">
        <v>74</v>
      </c>
      <c r="BG999" t="s">
        <v>74</v>
      </c>
      <c r="BH999" t="s">
        <v>74</v>
      </c>
      <c r="BI999">
        <v>9</v>
      </c>
      <c r="BJ999" t="s">
        <v>17549</v>
      </c>
      <c r="BK999" t="s">
        <v>2457</v>
      </c>
      <c r="BL999" t="s">
        <v>6122</v>
      </c>
      <c r="BM999" t="s">
        <v>17550</v>
      </c>
      <c r="BN999" t="s">
        <v>74</v>
      </c>
      <c r="BO999" t="s">
        <v>74</v>
      </c>
      <c r="BP999" t="s">
        <v>74</v>
      </c>
      <c r="BQ999" t="s">
        <v>74</v>
      </c>
      <c r="BR999" t="s">
        <v>103</v>
      </c>
      <c r="BS999" t="s">
        <v>17551</v>
      </c>
      <c r="BT999" t="str">
        <f>HYPERLINK("https%3A%2F%2Fwww.webofscience.com%2Fwos%2Fwoscc%2Ffull-record%2FWOS:000282991700022","View Full Record in Web of Science")</f>
        <v>View Full Record in Web of Science</v>
      </c>
    </row>
    <row r="1000" spans="1:72" x14ac:dyDescent="0.15">
      <c r="A1000" t="s">
        <v>2434</v>
      </c>
      <c r="B1000" t="s">
        <v>17552</v>
      </c>
      <c r="C1000" t="s">
        <v>74</v>
      </c>
      <c r="D1000" t="s">
        <v>17553</v>
      </c>
      <c r="E1000" t="s">
        <v>74</v>
      </c>
      <c r="F1000" t="s">
        <v>17554</v>
      </c>
      <c r="G1000" t="s">
        <v>74</v>
      </c>
      <c r="H1000" t="s">
        <v>74</v>
      </c>
      <c r="I1000" t="s">
        <v>17555</v>
      </c>
      <c r="J1000" t="s">
        <v>17556</v>
      </c>
      <c r="K1000" t="s">
        <v>74</v>
      </c>
      <c r="L1000" t="s">
        <v>74</v>
      </c>
      <c r="M1000" t="s">
        <v>78</v>
      </c>
      <c r="N1000" t="s">
        <v>2440</v>
      </c>
      <c r="O1000" t="s">
        <v>17557</v>
      </c>
      <c r="P1000" t="s">
        <v>17558</v>
      </c>
      <c r="Q1000" t="s">
        <v>17559</v>
      </c>
      <c r="R1000" t="s">
        <v>74</v>
      </c>
      <c r="S1000" t="s">
        <v>74</v>
      </c>
      <c r="T1000" t="s">
        <v>74</v>
      </c>
      <c r="U1000" t="s">
        <v>17560</v>
      </c>
      <c r="V1000" t="s">
        <v>17561</v>
      </c>
      <c r="W1000" t="s">
        <v>74</v>
      </c>
      <c r="X1000" t="s">
        <v>74</v>
      </c>
      <c r="Y1000" t="s">
        <v>74</v>
      </c>
      <c r="Z1000" t="s">
        <v>17562</v>
      </c>
      <c r="AA1000" t="s">
        <v>74</v>
      </c>
      <c r="AB1000" t="s">
        <v>74</v>
      </c>
      <c r="AC1000" t="s">
        <v>74</v>
      </c>
      <c r="AD1000" t="s">
        <v>74</v>
      </c>
      <c r="AE1000" t="s">
        <v>74</v>
      </c>
      <c r="AF1000" t="s">
        <v>74</v>
      </c>
      <c r="AG1000">
        <v>6</v>
      </c>
      <c r="AH1000">
        <v>0</v>
      </c>
      <c r="AI1000">
        <v>0</v>
      </c>
      <c r="AJ1000">
        <v>0</v>
      </c>
      <c r="AK1000">
        <v>2</v>
      </c>
      <c r="AL1000" t="s">
        <v>17563</v>
      </c>
      <c r="AM1000" t="s">
        <v>17564</v>
      </c>
      <c r="AN1000" t="s">
        <v>17565</v>
      </c>
      <c r="AO1000" t="s">
        <v>74</v>
      </c>
      <c r="AP1000" t="s">
        <v>74</v>
      </c>
      <c r="AQ1000" t="s">
        <v>17566</v>
      </c>
      <c r="AR1000" t="s">
        <v>74</v>
      </c>
      <c r="AS1000" t="s">
        <v>74</v>
      </c>
      <c r="AT1000" t="s">
        <v>74</v>
      </c>
      <c r="AU1000">
        <v>2009</v>
      </c>
      <c r="AV1000" t="s">
        <v>74</v>
      </c>
      <c r="AW1000" t="s">
        <v>74</v>
      </c>
      <c r="AX1000" t="s">
        <v>74</v>
      </c>
      <c r="AY1000" t="s">
        <v>74</v>
      </c>
      <c r="AZ1000" t="s">
        <v>74</v>
      </c>
      <c r="BA1000" t="s">
        <v>74</v>
      </c>
      <c r="BB1000">
        <v>23</v>
      </c>
      <c r="BC1000">
        <v>25</v>
      </c>
      <c r="BD1000" t="s">
        <v>74</v>
      </c>
      <c r="BE1000" t="s">
        <v>74</v>
      </c>
      <c r="BF1000" t="s">
        <v>74</v>
      </c>
      <c r="BG1000" t="s">
        <v>74</v>
      </c>
      <c r="BH1000" t="s">
        <v>74</v>
      </c>
      <c r="BI1000">
        <v>3</v>
      </c>
      <c r="BJ1000" t="s">
        <v>17567</v>
      </c>
      <c r="BK1000" t="s">
        <v>2457</v>
      </c>
      <c r="BL1000" t="s">
        <v>17567</v>
      </c>
      <c r="BM1000" t="s">
        <v>17568</v>
      </c>
      <c r="BN1000" t="s">
        <v>74</v>
      </c>
      <c r="BO1000" t="s">
        <v>74</v>
      </c>
      <c r="BP1000" t="s">
        <v>74</v>
      </c>
      <c r="BQ1000" t="s">
        <v>74</v>
      </c>
      <c r="BR1000" t="s">
        <v>103</v>
      </c>
      <c r="BS1000" t="s">
        <v>17569</v>
      </c>
      <c r="BT1000" t="str">
        <f>HYPERLINK("https%3A%2F%2Fwww.webofscience.com%2Fwos%2Fwoscc%2Ffull-record%2FWOS:000273869900003","View Full Record in Web of Science")</f>
        <v>View Full Record in Web of Science</v>
      </c>
    </row>
    <row r="1001" spans="1:72" x14ac:dyDescent="0.15">
      <c r="A1001" t="s">
        <v>2434</v>
      </c>
      <c r="B1001" t="s">
        <v>17570</v>
      </c>
      <c r="C1001" t="s">
        <v>74</v>
      </c>
      <c r="D1001" t="s">
        <v>17553</v>
      </c>
      <c r="E1001" t="s">
        <v>74</v>
      </c>
      <c r="F1001" t="s">
        <v>17571</v>
      </c>
      <c r="G1001" t="s">
        <v>74</v>
      </c>
      <c r="H1001" t="s">
        <v>74</v>
      </c>
      <c r="I1001" t="s">
        <v>17572</v>
      </c>
      <c r="J1001" t="s">
        <v>17556</v>
      </c>
      <c r="K1001" t="s">
        <v>74</v>
      </c>
      <c r="L1001" t="s">
        <v>74</v>
      </c>
      <c r="M1001" t="s">
        <v>78</v>
      </c>
      <c r="N1001" t="s">
        <v>2440</v>
      </c>
      <c r="O1001" t="s">
        <v>17557</v>
      </c>
      <c r="P1001" t="s">
        <v>17558</v>
      </c>
      <c r="Q1001" t="s">
        <v>17559</v>
      </c>
      <c r="R1001" t="s">
        <v>74</v>
      </c>
      <c r="S1001" t="s">
        <v>74</v>
      </c>
      <c r="T1001" t="s">
        <v>74</v>
      </c>
      <c r="U1001" t="s">
        <v>17573</v>
      </c>
      <c r="V1001" t="s">
        <v>17574</v>
      </c>
      <c r="W1001" t="s">
        <v>17575</v>
      </c>
      <c r="X1001" t="s">
        <v>1888</v>
      </c>
      <c r="Y1001" t="s">
        <v>17576</v>
      </c>
      <c r="Z1001" t="s">
        <v>74</v>
      </c>
      <c r="AA1001" t="s">
        <v>74</v>
      </c>
      <c r="AB1001" t="s">
        <v>17577</v>
      </c>
      <c r="AC1001" t="s">
        <v>74</v>
      </c>
      <c r="AD1001" t="s">
        <v>74</v>
      </c>
      <c r="AE1001" t="s">
        <v>74</v>
      </c>
      <c r="AF1001" t="s">
        <v>74</v>
      </c>
      <c r="AG1001">
        <v>37</v>
      </c>
      <c r="AH1001">
        <v>2</v>
      </c>
      <c r="AI1001">
        <v>2</v>
      </c>
      <c r="AJ1001">
        <v>0</v>
      </c>
      <c r="AK1001">
        <v>0</v>
      </c>
      <c r="AL1001" t="s">
        <v>17578</v>
      </c>
      <c r="AM1001" t="s">
        <v>17564</v>
      </c>
      <c r="AN1001" t="s">
        <v>17565</v>
      </c>
      <c r="AO1001" t="s">
        <v>74</v>
      </c>
      <c r="AP1001" t="s">
        <v>74</v>
      </c>
      <c r="AQ1001" t="s">
        <v>17566</v>
      </c>
      <c r="AR1001" t="s">
        <v>74</v>
      </c>
      <c r="AS1001" t="s">
        <v>74</v>
      </c>
      <c r="AT1001" t="s">
        <v>74</v>
      </c>
      <c r="AU1001">
        <v>2009</v>
      </c>
      <c r="AV1001" t="s">
        <v>74</v>
      </c>
      <c r="AW1001" t="s">
        <v>74</v>
      </c>
      <c r="AX1001" t="s">
        <v>74</v>
      </c>
      <c r="AY1001" t="s">
        <v>74</v>
      </c>
      <c r="AZ1001" t="s">
        <v>74</v>
      </c>
      <c r="BA1001" t="s">
        <v>74</v>
      </c>
      <c r="BB1001">
        <v>82</v>
      </c>
      <c r="BC1001">
        <v>89</v>
      </c>
      <c r="BD1001" t="s">
        <v>74</v>
      </c>
      <c r="BE1001" t="s">
        <v>74</v>
      </c>
      <c r="BF1001" t="s">
        <v>74</v>
      </c>
      <c r="BG1001" t="s">
        <v>74</v>
      </c>
      <c r="BH1001" t="s">
        <v>74</v>
      </c>
      <c r="BI1001">
        <v>8</v>
      </c>
      <c r="BJ1001" t="s">
        <v>17567</v>
      </c>
      <c r="BK1001" t="s">
        <v>2457</v>
      </c>
      <c r="BL1001" t="s">
        <v>17567</v>
      </c>
      <c r="BM1001" t="s">
        <v>17568</v>
      </c>
      <c r="BN1001" t="s">
        <v>74</v>
      </c>
      <c r="BO1001" t="s">
        <v>74</v>
      </c>
      <c r="BP1001" t="s">
        <v>74</v>
      </c>
      <c r="BQ1001" t="s">
        <v>74</v>
      </c>
      <c r="BR1001" t="s">
        <v>103</v>
      </c>
      <c r="BS1001" t="s">
        <v>17579</v>
      </c>
      <c r="BT1001" t="str">
        <f>HYPERLINK("https%3A%2F%2Fwww.webofscience.com%2Fwos%2Fwoscc%2Ffull-record%2FWOS:000273869900011","View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2024-07-28T15:24:37Z</dcterms:created>
  <dcterms:modified xsi:type="dcterms:W3CDTF">2024-07-28T15:24:37Z</dcterms:modified>
</cp:coreProperties>
</file>